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468" documentId="11_6E0B046EDD9BB76CE1AE0D58A5B4A3882C73F02E" xr6:coauthVersionLast="45" xr6:coauthVersionMax="45" xr10:uidLastSave="{5A9D8684-00B3-4B2A-B781-C1DD07E38433}"/>
  <bookViews>
    <workbookView xWindow="240" yWindow="105" windowWidth="14805" windowHeight="8010" xr2:uid="{00000000-000D-0000-FFFF-FFFF00000000}"/>
  </bookViews>
  <sheets>
    <sheet name="Kickstarter" sheetId="1" r:id="rId1"/>
    <sheet name="Exchange Rate Tab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21" i="1" l="1"/>
  <c r="B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AN19" i="1" l="1"/>
  <c r="AN18" i="1"/>
  <c r="AN17" i="1"/>
  <c r="AN16" i="1"/>
  <c r="AN15" i="1"/>
  <c r="AM15" i="1" a="1"/>
  <c r="AM15" i="1"/>
  <c r="Y83" i="1" l="1"/>
  <c r="I2" i="1" l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AN12" i="1" l="1"/>
  <c r="AN11" i="1"/>
  <c r="AN10" i="1"/>
  <c r="AN9" i="1"/>
  <c r="AN8" i="1"/>
  <c r="K2" i="1" l="1"/>
  <c r="N2" i="1" s="1"/>
  <c r="K3" i="1"/>
  <c r="K4" i="1"/>
  <c r="N4" i="1" s="1"/>
  <c r="K5" i="1"/>
  <c r="K6" i="1"/>
  <c r="N6" i="1" s="1"/>
  <c r="K7" i="1"/>
  <c r="N7" i="1" s="1"/>
  <c r="K8" i="1"/>
  <c r="N8" i="1" s="1"/>
  <c r="K9" i="1"/>
  <c r="N9" i="1" s="1"/>
  <c r="K10" i="1"/>
  <c r="N10" i="1" s="1"/>
  <c r="K11" i="1"/>
  <c r="N11" i="1" s="1"/>
  <c r="K12" i="1"/>
  <c r="N12" i="1" s="1"/>
  <c r="K13" i="1"/>
  <c r="N13" i="1" s="1"/>
  <c r="K14" i="1"/>
  <c r="N14" i="1" s="1"/>
  <c r="K15" i="1"/>
  <c r="N15" i="1" s="1"/>
  <c r="K16" i="1"/>
  <c r="N16" i="1" s="1"/>
  <c r="K17" i="1"/>
  <c r="N17" i="1" s="1"/>
  <c r="K18" i="1"/>
  <c r="N18" i="1" s="1"/>
  <c r="K19" i="1"/>
  <c r="N19" i="1" s="1"/>
  <c r="K20" i="1"/>
  <c r="N20" i="1" s="1"/>
  <c r="K21" i="1"/>
  <c r="N21" i="1" s="1"/>
  <c r="K22" i="1"/>
  <c r="N22" i="1" s="1"/>
  <c r="K23" i="1"/>
  <c r="N23" i="1" s="1"/>
  <c r="K24" i="1"/>
  <c r="N24" i="1" s="1"/>
  <c r="K25" i="1"/>
  <c r="N25" i="1" s="1"/>
  <c r="K26" i="1"/>
  <c r="N26" i="1" s="1"/>
  <c r="K27" i="1"/>
  <c r="N27" i="1" s="1"/>
  <c r="K28" i="1"/>
  <c r="N28" i="1" s="1"/>
  <c r="K29" i="1"/>
  <c r="N29" i="1" s="1"/>
  <c r="K30" i="1"/>
  <c r="N30" i="1" s="1"/>
  <c r="K31" i="1"/>
  <c r="N31" i="1" s="1"/>
  <c r="K32" i="1"/>
  <c r="N32" i="1" s="1"/>
  <c r="K33" i="1"/>
  <c r="N33" i="1" s="1"/>
  <c r="K34" i="1"/>
  <c r="N34" i="1" s="1"/>
  <c r="K35" i="1"/>
  <c r="N35" i="1" s="1"/>
  <c r="K36" i="1"/>
  <c r="N36" i="1" s="1"/>
  <c r="K37" i="1"/>
  <c r="N37" i="1" s="1"/>
  <c r="K38" i="1"/>
  <c r="N38" i="1" s="1"/>
  <c r="K39" i="1"/>
  <c r="N39" i="1" s="1"/>
  <c r="K40" i="1"/>
  <c r="N40" i="1" s="1"/>
  <c r="K41" i="1"/>
  <c r="N41" i="1" s="1"/>
  <c r="K42" i="1"/>
  <c r="N42" i="1" s="1"/>
  <c r="K43" i="1"/>
  <c r="N43" i="1" s="1"/>
  <c r="K44" i="1"/>
  <c r="N44" i="1" s="1"/>
  <c r="K45" i="1"/>
  <c r="N45" i="1" s="1"/>
  <c r="K46" i="1"/>
  <c r="N46" i="1" s="1"/>
  <c r="K47" i="1"/>
  <c r="N47" i="1" s="1"/>
  <c r="K48" i="1"/>
  <c r="N48" i="1" s="1"/>
  <c r="K49" i="1"/>
  <c r="N49" i="1" s="1"/>
  <c r="K50" i="1"/>
  <c r="N50" i="1" s="1"/>
  <c r="K51" i="1"/>
  <c r="N51" i="1" s="1"/>
  <c r="K52" i="1"/>
  <c r="N52" i="1" s="1"/>
  <c r="K53" i="1"/>
  <c r="N53" i="1" s="1"/>
  <c r="K54" i="1"/>
  <c r="N54" i="1" s="1"/>
  <c r="K55" i="1"/>
  <c r="N55" i="1" s="1"/>
  <c r="K56" i="1"/>
  <c r="N56" i="1" s="1"/>
  <c r="K57" i="1"/>
  <c r="N57" i="1" s="1"/>
  <c r="K58" i="1"/>
  <c r="N58" i="1" s="1"/>
  <c r="K59" i="1"/>
  <c r="N59" i="1" s="1"/>
  <c r="K60" i="1"/>
  <c r="N60" i="1" s="1"/>
  <c r="K61" i="1"/>
  <c r="N61" i="1" s="1"/>
  <c r="K62" i="1"/>
  <c r="N62" i="1" s="1"/>
  <c r="K63" i="1"/>
  <c r="K64" i="1"/>
  <c r="N64" i="1" s="1"/>
  <c r="K65" i="1"/>
  <c r="N65" i="1" s="1"/>
  <c r="K66" i="1"/>
  <c r="N66" i="1" s="1"/>
  <c r="K67" i="1"/>
  <c r="N67" i="1" s="1"/>
  <c r="K68" i="1"/>
  <c r="N68" i="1" s="1"/>
  <c r="K69" i="1"/>
  <c r="N69" i="1" s="1"/>
  <c r="K70" i="1"/>
  <c r="N70" i="1" s="1"/>
  <c r="K71" i="1"/>
  <c r="N71" i="1" s="1"/>
  <c r="K72" i="1"/>
  <c r="N72" i="1" s="1"/>
  <c r="K73" i="1"/>
  <c r="N73" i="1" s="1"/>
  <c r="K74" i="1"/>
  <c r="N74" i="1" s="1"/>
  <c r="K75" i="1"/>
  <c r="N75" i="1" s="1"/>
  <c r="K76" i="1"/>
  <c r="N76" i="1" s="1"/>
  <c r="K77" i="1"/>
  <c r="N77" i="1" s="1"/>
  <c r="K78" i="1"/>
  <c r="N78" i="1" s="1"/>
  <c r="K79" i="1"/>
  <c r="N79" i="1" s="1"/>
  <c r="K80" i="1"/>
  <c r="N80" i="1" s="1"/>
  <c r="K81" i="1"/>
  <c r="N81" i="1" s="1"/>
  <c r="K82" i="1"/>
  <c r="N82" i="1" s="1"/>
  <c r="K83" i="1"/>
  <c r="K84" i="1"/>
  <c r="N84" i="1" s="1"/>
  <c r="K85" i="1"/>
  <c r="N85" i="1" s="1"/>
  <c r="K86" i="1"/>
  <c r="N86" i="1" s="1"/>
  <c r="K87" i="1"/>
  <c r="N87" i="1" s="1"/>
  <c r="K88" i="1"/>
  <c r="N88" i="1" s="1"/>
  <c r="K89" i="1"/>
  <c r="N89" i="1" s="1"/>
  <c r="K90" i="1"/>
  <c r="N90" i="1" s="1"/>
  <c r="K91" i="1"/>
  <c r="N91" i="1" s="1"/>
  <c r="K92" i="1"/>
  <c r="N92" i="1" s="1"/>
  <c r="K93" i="1"/>
  <c r="N93" i="1" s="1"/>
  <c r="K94" i="1"/>
  <c r="K95" i="1"/>
  <c r="N95" i="1" s="1"/>
  <c r="K96" i="1"/>
  <c r="N96" i="1" s="1"/>
  <c r="K97" i="1"/>
  <c r="K98" i="1"/>
  <c r="K99" i="1"/>
  <c r="N99" i="1" s="1"/>
  <c r="K100" i="1"/>
  <c r="K101" i="1"/>
  <c r="N101" i="1" s="1"/>
  <c r="K102" i="1"/>
  <c r="N102" i="1" s="1"/>
  <c r="K103" i="1"/>
  <c r="N103" i="1" s="1"/>
  <c r="K104" i="1"/>
  <c r="N104" i="1" s="1"/>
  <c r="K105" i="1"/>
  <c r="N105" i="1" s="1"/>
  <c r="K106" i="1"/>
  <c r="N106" i="1" s="1"/>
  <c r="K107" i="1"/>
  <c r="N107" i="1" s="1"/>
  <c r="K108" i="1"/>
  <c r="N108" i="1" s="1"/>
  <c r="K109" i="1"/>
  <c r="K110" i="1"/>
  <c r="K111" i="1"/>
  <c r="N111" i="1" s="1"/>
  <c r="K112" i="1"/>
  <c r="N112" i="1" s="1"/>
  <c r="K113" i="1"/>
  <c r="N113" i="1" s="1"/>
  <c r="K114" i="1"/>
  <c r="K115" i="1"/>
  <c r="N115" i="1" s="1"/>
  <c r="K116" i="1"/>
  <c r="N116" i="1" s="1"/>
  <c r="K117" i="1"/>
  <c r="N117" i="1" s="1"/>
  <c r="K118" i="1"/>
  <c r="N118" i="1" s="1"/>
  <c r="K119" i="1"/>
  <c r="N119" i="1" s="1"/>
  <c r="K120" i="1"/>
  <c r="N120" i="1" s="1"/>
  <c r="K121" i="1"/>
  <c r="N121" i="1" s="1"/>
  <c r="K122" i="1"/>
  <c r="N122" i="1" s="1"/>
  <c r="K123" i="1"/>
  <c r="K124" i="1"/>
  <c r="N124" i="1" s="1"/>
  <c r="K125" i="1"/>
  <c r="N125" i="1" s="1"/>
  <c r="K126" i="1"/>
  <c r="K127" i="1"/>
  <c r="K128" i="1"/>
  <c r="N128" i="1" s="1"/>
  <c r="K129" i="1"/>
  <c r="K130" i="1"/>
  <c r="K131" i="1"/>
  <c r="N131" i="1" s="1"/>
  <c r="K132" i="1"/>
  <c r="N132" i="1" s="1"/>
  <c r="K133" i="1"/>
  <c r="N133" i="1" s="1"/>
  <c r="K134" i="1"/>
  <c r="K135" i="1"/>
  <c r="N135" i="1" s="1"/>
  <c r="K136" i="1"/>
  <c r="K137" i="1"/>
  <c r="N137" i="1" s="1"/>
  <c r="K138" i="1"/>
  <c r="K139" i="1"/>
  <c r="N139" i="1" s="1"/>
  <c r="K140" i="1"/>
  <c r="K141" i="1"/>
  <c r="N141" i="1" s="1"/>
  <c r="K142" i="1"/>
  <c r="K143" i="1"/>
  <c r="N143" i="1" s="1"/>
  <c r="K144" i="1"/>
  <c r="K145" i="1"/>
  <c r="N145" i="1" s="1"/>
  <c r="K146" i="1"/>
  <c r="N146" i="1" s="1"/>
  <c r="K147" i="1"/>
  <c r="N147" i="1" s="1"/>
  <c r="K148" i="1"/>
  <c r="N148" i="1" s="1"/>
  <c r="K149" i="1"/>
  <c r="N149" i="1" s="1"/>
  <c r="K150" i="1"/>
  <c r="N150" i="1" s="1"/>
  <c r="K151" i="1"/>
  <c r="N151" i="1" s="1"/>
  <c r="K152" i="1"/>
  <c r="N152" i="1" s="1"/>
  <c r="K153" i="1"/>
  <c r="N153" i="1" s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AD153" i="1" l="1"/>
  <c r="AE153" i="1" s="1"/>
  <c r="AD152" i="1"/>
  <c r="AE152" i="1" s="1"/>
  <c r="AD151" i="1"/>
  <c r="AE151" i="1" s="1"/>
  <c r="AD150" i="1"/>
  <c r="AE150" i="1" s="1"/>
  <c r="AD149" i="1"/>
  <c r="AE149" i="1" s="1"/>
  <c r="AD148" i="1"/>
  <c r="AE148" i="1" s="1"/>
  <c r="AD147" i="1"/>
  <c r="AE147" i="1" s="1"/>
  <c r="AD146" i="1"/>
  <c r="AE146" i="1" s="1"/>
  <c r="AD145" i="1"/>
  <c r="AE145" i="1" s="1"/>
  <c r="AD144" i="1"/>
  <c r="AE144" i="1" s="1"/>
  <c r="AD143" i="1"/>
  <c r="AE143" i="1" s="1"/>
  <c r="AD142" i="1"/>
  <c r="AE142" i="1" s="1"/>
  <c r="AD141" i="1"/>
  <c r="AE141" i="1" s="1"/>
  <c r="AD140" i="1"/>
  <c r="AE140" i="1" s="1"/>
  <c r="AD139" i="1"/>
  <c r="AE139" i="1" s="1"/>
  <c r="AD138" i="1"/>
  <c r="AE138" i="1" s="1"/>
  <c r="AD137" i="1"/>
  <c r="AE137" i="1" s="1"/>
  <c r="AD136" i="1"/>
  <c r="AE136" i="1" s="1"/>
  <c r="AD135" i="1"/>
  <c r="AE135" i="1" s="1"/>
  <c r="AD134" i="1"/>
  <c r="AE134" i="1" s="1"/>
  <c r="AD133" i="1"/>
  <c r="AE133" i="1" s="1"/>
  <c r="AD132" i="1"/>
  <c r="AE132" i="1" s="1"/>
  <c r="AD131" i="1"/>
  <c r="AE131" i="1" s="1"/>
  <c r="AD130" i="1"/>
  <c r="AE130" i="1" s="1"/>
  <c r="AD129" i="1"/>
  <c r="AE129" i="1" s="1"/>
  <c r="AD128" i="1"/>
  <c r="AE128" i="1" s="1"/>
  <c r="AD127" i="1"/>
  <c r="AE127" i="1" s="1"/>
  <c r="AD126" i="1"/>
  <c r="AE126" i="1" s="1"/>
  <c r="AD125" i="1"/>
  <c r="AE125" i="1" s="1"/>
  <c r="AD124" i="1"/>
  <c r="AE124" i="1" s="1"/>
  <c r="AD123" i="1"/>
  <c r="AE123" i="1" s="1"/>
  <c r="AD122" i="1"/>
  <c r="AE122" i="1" s="1"/>
  <c r="AD121" i="1"/>
  <c r="AE121" i="1" s="1"/>
  <c r="AD120" i="1"/>
  <c r="AE120" i="1" s="1"/>
  <c r="AD119" i="1"/>
  <c r="AE119" i="1" s="1"/>
  <c r="AD118" i="1"/>
  <c r="AE118" i="1" s="1"/>
  <c r="AD117" i="1"/>
  <c r="AE117" i="1" s="1"/>
  <c r="AD116" i="1"/>
  <c r="AE116" i="1" s="1"/>
  <c r="AD115" i="1"/>
  <c r="AE115" i="1" s="1"/>
  <c r="AD114" i="1"/>
  <c r="AE114" i="1" s="1"/>
  <c r="AD113" i="1"/>
  <c r="AE113" i="1" s="1"/>
  <c r="AD112" i="1"/>
  <c r="AE112" i="1" s="1"/>
  <c r="AD111" i="1"/>
  <c r="AE111" i="1" s="1"/>
  <c r="AD110" i="1"/>
  <c r="AE110" i="1" s="1"/>
  <c r="AD109" i="1"/>
  <c r="AE109" i="1" s="1"/>
  <c r="AD108" i="1"/>
  <c r="AE108" i="1" s="1"/>
  <c r="AD107" i="1"/>
  <c r="AE107" i="1" s="1"/>
  <c r="AD106" i="1"/>
  <c r="AE106" i="1" s="1"/>
  <c r="AD105" i="1"/>
  <c r="AE105" i="1" s="1"/>
  <c r="AD104" i="1"/>
  <c r="AE104" i="1" s="1"/>
  <c r="AD103" i="1"/>
  <c r="AE103" i="1" s="1"/>
  <c r="AD102" i="1"/>
  <c r="AE102" i="1" s="1"/>
  <c r="AD101" i="1"/>
  <c r="AE101" i="1" s="1"/>
  <c r="AD100" i="1"/>
  <c r="AE100" i="1" s="1"/>
  <c r="AD99" i="1"/>
  <c r="AE99" i="1" s="1"/>
  <c r="AD98" i="1"/>
  <c r="AE98" i="1" s="1"/>
  <c r="AD97" i="1"/>
  <c r="AE97" i="1" s="1"/>
  <c r="AD96" i="1"/>
  <c r="AE96" i="1" s="1"/>
  <c r="AD95" i="1"/>
  <c r="AE95" i="1" s="1"/>
  <c r="AD94" i="1"/>
  <c r="AE94" i="1" s="1"/>
  <c r="AD93" i="1"/>
  <c r="AE93" i="1" s="1"/>
  <c r="AD92" i="1"/>
  <c r="AE92" i="1" s="1"/>
  <c r="AD91" i="1"/>
  <c r="AE91" i="1" s="1"/>
  <c r="AD90" i="1"/>
  <c r="AE90" i="1" s="1"/>
  <c r="AD89" i="1"/>
  <c r="AE89" i="1" s="1"/>
  <c r="AD88" i="1"/>
  <c r="AE88" i="1" s="1"/>
  <c r="AD87" i="1"/>
  <c r="AE87" i="1" s="1"/>
  <c r="AD86" i="1"/>
  <c r="AE86" i="1" s="1"/>
  <c r="AD85" i="1"/>
  <c r="AE85" i="1" s="1"/>
  <c r="AD84" i="1"/>
  <c r="AE84" i="1" s="1"/>
  <c r="AD83" i="1"/>
  <c r="AE83" i="1" s="1"/>
  <c r="AD82" i="1"/>
  <c r="AE82" i="1" s="1"/>
  <c r="AD81" i="1"/>
  <c r="AE81" i="1" s="1"/>
  <c r="AD80" i="1"/>
  <c r="AE80" i="1" s="1"/>
  <c r="AD79" i="1"/>
  <c r="AE79" i="1" s="1"/>
  <c r="AD78" i="1"/>
  <c r="AE78" i="1" s="1"/>
  <c r="AD77" i="1"/>
  <c r="AE77" i="1" s="1"/>
  <c r="AD76" i="1"/>
  <c r="AE76" i="1" s="1"/>
  <c r="AD75" i="1"/>
  <c r="AE75" i="1" s="1"/>
  <c r="AD74" i="1"/>
  <c r="AE74" i="1" s="1"/>
  <c r="AD73" i="1"/>
  <c r="AD72" i="1"/>
  <c r="AE72" i="1" s="1"/>
  <c r="AD71" i="1"/>
  <c r="AE71" i="1" s="1"/>
  <c r="AD70" i="1"/>
  <c r="AE70" i="1" s="1"/>
  <c r="AD69" i="1"/>
  <c r="AE69" i="1" s="1"/>
  <c r="AD68" i="1"/>
  <c r="AE68" i="1" s="1"/>
  <c r="AD67" i="1"/>
  <c r="AE67" i="1" s="1"/>
  <c r="AD66" i="1"/>
  <c r="AE66" i="1" s="1"/>
  <c r="AD65" i="1"/>
  <c r="AE65" i="1" s="1"/>
  <c r="AD64" i="1"/>
  <c r="AE64" i="1" s="1"/>
  <c r="AD63" i="1"/>
  <c r="AE63" i="1" s="1"/>
  <c r="AD62" i="1"/>
  <c r="AE62" i="1" s="1"/>
  <c r="AD61" i="1"/>
  <c r="AE61" i="1" s="1"/>
  <c r="AD60" i="1"/>
  <c r="AE60" i="1" s="1"/>
  <c r="AD59" i="1"/>
  <c r="AE59" i="1" s="1"/>
  <c r="AD58" i="1"/>
  <c r="AE58" i="1" s="1"/>
  <c r="AD57" i="1"/>
  <c r="AE57" i="1" s="1"/>
  <c r="AD56" i="1"/>
  <c r="AE56" i="1" s="1"/>
  <c r="AD55" i="1"/>
  <c r="AE55" i="1" s="1"/>
  <c r="AD54" i="1"/>
  <c r="AE54" i="1" s="1"/>
  <c r="AD53" i="1"/>
  <c r="AE53" i="1" s="1"/>
  <c r="AD52" i="1"/>
  <c r="AE52" i="1" s="1"/>
  <c r="AD51" i="1"/>
  <c r="AE51" i="1" s="1"/>
  <c r="AD50" i="1"/>
  <c r="AE50" i="1" s="1"/>
  <c r="AD49" i="1"/>
  <c r="AE49" i="1" s="1"/>
  <c r="AD48" i="1"/>
  <c r="AE48" i="1" s="1"/>
  <c r="AD47" i="1"/>
  <c r="AE47" i="1" s="1"/>
  <c r="AD46" i="1"/>
  <c r="AE46" i="1" s="1"/>
  <c r="AD45" i="1"/>
  <c r="AE45" i="1" s="1"/>
  <c r="AD44" i="1"/>
  <c r="AE44" i="1" s="1"/>
  <c r="AD43" i="1"/>
  <c r="AE43" i="1" s="1"/>
  <c r="AD42" i="1"/>
  <c r="AE42" i="1" s="1"/>
  <c r="AD41" i="1"/>
  <c r="AE41" i="1" s="1"/>
  <c r="AD40" i="1"/>
  <c r="AE40" i="1" s="1"/>
  <c r="AD39" i="1"/>
  <c r="AE39" i="1" s="1"/>
  <c r="AD38" i="1"/>
  <c r="AE38" i="1" s="1"/>
  <c r="AD37" i="1"/>
  <c r="AE37" i="1" s="1"/>
  <c r="AD36" i="1"/>
  <c r="AE36" i="1" s="1"/>
  <c r="AD35" i="1"/>
  <c r="AE35" i="1" s="1"/>
  <c r="AD34" i="1"/>
  <c r="AE34" i="1" s="1"/>
  <c r="AD33" i="1"/>
  <c r="AE33" i="1" s="1"/>
  <c r="AD32" i="1"/>
  <c r="AE32" i="1" s="1"/>
  <c r="AD31" i="1"/>
  <c r="AE31" i="1" s="1"/>
  <c r="AD30" i="1"/>
  <c r="AE30" i="1" s="1"/>
  <c r="AD29" i="1"/>
  <c r="AE29" i="1" s="1"/>
  <c r="AD28" i="1"/>
  <c r="AE28" i="1" s="1"/>
  <c r="AD27" i="1"/>
  <c r="AE27" i="1" s="1"/>
  <c r="AD26" i="1"/>
  <c r="AE26" i="1" s="1"/>
  <c r="AD25" i="1"/>
  <c r="AE25" i="1" s="1"/>
  <c r="AD24" i="1"/>
  <c r="AE24" i="1" s="1"/>
  <c r="AD23" i="1"/>
  <c r="AE23" i="1" s="1"/>
  <c r="AD22" i="1"/>
  <c r="AE22" i="1" s="1"/>
  <c r="AD21" i="1"/>
  <c r="AE21" i="1" s="1"/>
  <c r="AD20" i="1"/>
  <c r="AE20" i="1" s="1"/>
  <c r="AD19" i="1"/>
  <c r="AE19" i="1" s="1"/>
  <c r="AD18" i="1"/>
  <c r="AE18" i="1" s="1"/>
  <c r="AD17" i="1"/>
  <c r="AE1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10" i="1"/>
  <c r="AE10" i="1" s="1"/>
  <c r="AD9" i="1"/>
  <c r="AE9" i="1" s="1"/>
  <c r="AD8" i="1"/>
  <c r="AE8" i="1" s="1"/>
  <c r="AD7" i="1"/>
  <c r="AE7" i="1" s="1"/>
  <c r="AD6" i="1"/>
  <c r="AE6" i="1" s="1"/>
  <c r="AD5" i="1"/>
  <c r="AE5" i="1" s="1"/>
  <c r="AD4" i="1"/>
  <c r="AE4" i="1" s="1"/>
  <c r="AD3" i="1"/>
  <c r="AE3" i="1" s="1"/>
  <c r="AD2" i="1"/>
  <c r="AE2" i="1" s="1"/>
  <c r="AE73" i="1" l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P2" i="1" l="1"/>
  <c r="Q2" i="1" s="1"/>
  <c r="S2" i="1" s="1"/>
  <c r="P3" i="1"/>
  <c r="Q3" i="1" s="1"/>
  <c r="S3" i="1" s="1"/>
  <c r="P4" i="1"/>
  <c r="Q4" i="1" s="1"/>
  <c r="S4" i="1" s="1"/>
  <c r="P5" i="1"/>
  <c r="Q5" i="1" s="1"/>
  <c r="S5" i="1" s="1"/>
  <c r="P6" i="1"/>
  <c r="Q6" i="1" s="1"/>
  <c r="S6" i="1" s="1"/>
  <c r="P7" i="1"/>
  <c r="Q7" i="1" s="1"/>
  <c r="S7" i="1" s="1"/>
  <c r="P8" i="1"/>
  <c r="Q8" i="1" s="1"/>
  <c r="S8" i="1" s="1"/>
  <c r="P9" i="1"/>
  <c r="Q9" i="1" s="1"/>
  <c r="S9" i="1" s="1"/>
  <c r="P10" i="1"/>
  <c r="Q10" i="1" s="1"/>
  <c r="S10" i="1" s="1"/>
  <c r="P11" i="1"/>
  <c r="Q11" i="1" s="1"/>
  <c r="S11" i="1" s="1"/>
  <c r="P12" i="1"/>
  <c r="Q12" i="1" s="1"/>
  <c r="S12" i="1" s="1"/>
  <c r="P13" i="1"/>
  <c r="Q13" i="1" s="1"/>
  <c r="S13" i="1" s="1"/>
  <c r="P14" i="1"/>
  <c r="Q14" i="1" s="1"/>
  <c r="S14" i="1" s="1"/>
  <c r="P15" i="1"/>
  <c r="Q15" i="1" s="1"/>
  <c r="S15" i="1" s="1"/>
  <c r="P16" i="1"/>
  <c r="Q16" i="1" s="1"/>
  <c r="S16" i="1" s="1"/>
  <c r="P17" i="1"/>
  <c r="Q17" i="1" s="1"/>
  <c r="S17" i="1" s="1"/>
  <c r="P18" i="1"/>
  <c r="Q18" i="1" s="1"/>
  <c r="S18" i="1" s="1"/>
  <c r="P19" i="1"/>
  <c r="Q19" i="1" s="1"/>
  <c r="S19" i="1" s="1"/>
  <c r="P20" i="1"/>
  <c r="Q20" i="1" s="1"/>
  <c r="S20" i="1" s="1"/>
  <c r="P21" i="1"/>
  <c r="Q21" i="1" s="1"/>
  <c r="S21" i="1" s="1"/>
  <c r="P22" i="1"/>
  <c r="Q22" i="1" s="1"/>
  <c r="S22" i="1" s="1"/>
  <c r="P23" i="1"/>
  <c r="Q23" i="1" s="1"/>
  <c r="S23" i="1" s="1"/>
  <c r="P24" i="1"/>
  <c r="Q24" i="1" s="1"/>
  <c r="S24" i="1" s="1"/>
  <c r="P25" i="1"/>
  <c r="Q25" i="1" s="1"/>
  <c r="S25" i="1" s="1"/>
  <c r="P26" i="1"/>
  <c r="Q26" i="1" s="1"/>
  <c r="S26" i="1" s="1"/>
  <c r="P27" i="1"/>
  <c r="Q27" i="1" s="1"/>
  <c r="S27" i="1" s="1"/>
  <c r="P28" i="1"/>
  <c r="Q28" i="1" s="1"/>
  <c r="S28" i="1" s="1"/>
  <c r="P29" i="1"/>
  <c r="Q29" i="1" s="1"/>
  <c r="S29" i="1" s="1"/>
  <c r="P30" i="1"/>
  <c r="Q30" i="1" s="1"/>
  <c r="S30" i="1" s="1"/>
  <c r="P31" i="1"/>
  <c r="Q31" i="1" s="1"/>
  <c r="S31" i="1" s="1"/>
  <c r="P32" i="1"/>
  <c r="Q32" i="1" s="1"/>
  <c r="S32" i="1" s="1"/>
  <c r="P33" i="1"/>
  <c r="Q33" i="1" s="1"/>
  <c r="S33" i="1" s="1"/>
  <c r="P34" i="1"/>
  <c r="Q34" i="1" s="1"/>
  <c r="S34" i="1" s="1"/>
  <c r="P35" i="1"/>
  <c r="Q35" i="1" s="1"/>
  <c r="S35" i="1" s="1"/>
  <c r="P36" i="1"/>
  <c r="Q36" i="1" s="1"/>
  <c r="S36" i="1" s="1"/>
  <c r="P37" i="1"/>
  <c r="Q37" i="1" s="1"/>
  <c r="S37" i="1" s="1"/>
  <c r="P38" i="1"/>
  <c r="Q38" i="1" s="1"/>
  <c r="S38" i="1" s="1"/>
  <c r="P39" i="1"/>
  <c r="Q39" i="1" s="1"/>
  <c r="S39" i="1" s="1"/>
  <c r="P40" i="1"/>
  <c r="Q40" i="1" s="1"/>
  <c r="S40" i="1" s="1"/>
  <c r="P41" i="1"/>
  <c r="Q41" i="1" s="1"/>
  <c r="S41" i="1" s="1"/>
  <c r="P42" i="1"/>
  <c r="Q42" i="1" s="1"/>
  <c r="S42" i="1" s="1"/>
  <c r="P43" i="1"/>
  <c r="Q43" i="1" s="1"/>
  <c r="S43" i="1" s="1"/>
  <c r="P44" i="1"/>
  <c r="Q44" i="1" s="1"/>
  <c r="S44" i="1" s="1"/>
  <c r="P45" i="1"/>
  <c r="Q45" i="1" s="1"/>
  <c r="S45" i="1" s="1"/>
  <c r="P46" i="1"/>
  <c r="Q46" i="1" s="1"/>
  <c r="S46" i="1" s="1"/>
  <c r="P47" i="1"/>
  <c r="Q47" i="1" s="1"/>
  <c r="S47" i="1" s="1"/>
  <c r="P48" i="1"/>
  <c r="Q48" i="1" s="1"/>
  <c r="S48" i="1" s="1"/>
  <c r="P49" i="1"/>
  <c r="Q49" i="1" s="1"/>
  <c r="S49" i="1" s="1"/>
  <c r="P50" i="1"/>
  <c r="Q50" i="1" s="1"/>
  <c r="S50" i="1" s="1"/>
  <c r="P51" i="1"/>
  <c r="Q51" i="1" s="1"/>
  <c r="S51" i="1" s="1"/>
  <c r="P52" i="1"/>
  <c r="Q52" i="1" s="1"/>
  <c r="S52" i="1" s="1"/>
  <c r="P53" i="1"/>
  <c r="Q53" i="1" s="1"/>
  <c r="S53" i="1" s="1"/>
  <c r="P54" i="1"/>
  <c r="Q54" i="1" s="1"/>
  <c r="S54" i="1" s="1"/>
  <c r="P55" i="1"/>
  <c r="Q55" i="1" s="1"/>
  <c r="S55" i="1" s="1"/>
  <c r="P56" i="1"/>
  <c r="Q56" i="1" s="1"/>
  <c r="S56" i="1" s="1"/>
  <c r="P57" i="1"/>
  <c r="Q57" i="1" s="1"/>
  <c r="S57" i="1" s="1"/>
  <c r="P58" i="1"/>
  <c r="Q58" i="1" s="1"/>
  <c r="S58" i="1" s="1"/>
  <c r="P59" i="1"/>
  <c r="Q59" i="1" s="1"/>
  <c r="S59" i="1" s="1"/>
  <c r="P60" i="1"/>
  <c r="Q60" i="1" s="1"/>
  <c r="S60" i="1" s="1"/>
  <c r="P61" i="1"/>
  <c r="Q61" i="1" s="1"/>
  <c r="S61" i="1" s="1"/>
  <c r="P62" i="1"/>
  <c r="Q62" i="1" s="1"/>
  <c r="S62" i="1" s="1"/>
  <c r="P63" i="1"/>
  <c r="Q63" i="1" s="1"/>
  <c r="S63" i="1" s="1"/>
  <c r="P64" i="1"/>
  <c r="Q64" i="1" s="1"/>
  <c r="S64" i="1" s="1"/>
  <c r="P65" i="1"/>
  <c r="Q65" i="1" s="1"/>
  <c r="S65" i="1" s="1"/>
  <c r="P66" i="1"/>
  <c r="Q66" i="1" s="1"/>
  <c r="S66" i="1" s="1"/>
  <c r="P67" i="1"/>
  <c r="Q67" i="1" s="1"/>
  <c r="S67" i="1" s="1"/>
  <c r="P68" i="1"/>
  <c r="Q68" i="1" s="1"/>
  <c r="S68" i="1" s="1"/>
  <c r="P69" i="1"/>
  <c r="Q69" i="1" s="1"/>
  <c r="S69" i="1" s="1"/>
  <c r="P70" i="1"/>
  <c r="Q70" i="1" s="1"/>
  <c r="S70" i="1" s="1"/>
  <c r="P71" i="1"/>
  <c r="Q71" i="1" s="1"/>
  <c r="S71" i="1" s="1"/>
  <c r="P72" i="1"/>
  <c r="Q72" i="1" s="1"/>
  <c r="S72" i="1" s="1"/>
  <c r="P73" i="1"/>
  <c r="Q73" i="1" s="1"/>
  <c r="S73" i="1" s="1"/>
  <c r="P74" i="1"/>
  <c r="Q74" i="1" s="1"/>
  <c r="S74" i="1" s="1"/>
  <c r="P75" i="1"/>
  <c r="Q75" i="1" s="1"/>
  <c r="S75" i="1" s="1"/>
  <c r="P76" i="1"/>
  <c r="Q76" i="1" s="1"/>
  <c r="S76" i="1" s="1"/>
  <c r="P77" i="1"/>
  <c r="Q77" i="1" s="1"/>
  <c r="S77" i="1" s="1"/>
  <c r="P78" i="1"/>
  <c r="Q78" i="1" s="1"/>
  <c r="S78" i="1" s="1"/>
  <c r="P79" i="1"/>
  <c r="Q79" i="1" s="1"/>
  <c r="S79" i="1" s="1"/>
  <c r="P80" i="1"/>
  <c r="Q80" i="1" s="1"/>
  <c r="S80" i="1" s="1"/>
  <c r="P81" i="1"/>
  <c r="Q81" i="1" s="1"/>
  <c r="S81" i="1" s="1"/>
  <c r="P82" i="1"/>
  <c r="Q82" i="1" s="1"/>
  <c r="S82" i="1" s="1"/>
  <c r="P83" i="1"/>
  <c r="Q83" i="1" s="1"/>
  <c r="S83" i="1" s="1"/>
  <c r="P84" i="1"/>
  <c r="Q84" i="1" s="1"/>
  <c r="S84" i="1" s="1"/>
  <c r="P85" i="1"/>
  <c r="Q85" i="1" s="1"/>
  <c r="S85" i="1" s="1"/>
  <c r="P86" i="1"/>
  <c r="Q86" i="1" s="1"/>
  <c r="S86" i="1" s="1"/>
  <c r="P87" i="1"/>
  <c r="Q87" i="1" s="1"/>
  <c r="S87" i="1" s="1"/>
  <c r="P88" i="1"/>
  <c r="Q88" i="1" s="1"/>
  <c r="S88" i="1" s="1"/>
  <c r="P89" i="1"/>
  <c r="Q89" i="1" s="1"/>
  <c r="S89" i="1" s="1"/>
  <c r="P90" i="1"/>
  <c r="Q90" i="1" s="1"/>
  <c r="S90" i="1" s="1"/>
  <c r="P91" i="1"/>
  <c r="Q91" i="1" s="1"/>
  <c r="S91" i="1" s="1"/>
  <c r="P92" i="1"/>
  <c r="Q92" i="1" s="1"/>
  <c r="S92" i="1" s="1"/>
  <c r="P93" i="1"/>
  <c r="Q93" i="1" s="1"/>
  <c r="S93" i="1" s="1"/>
  <c r="P94" i="1"/>
  <c r="Q94" i="1" s="1"/>
  <c r="S94" i="1" s="1"/>
  <c r="P95" i="1"/>
  <c r="Q95" i="1" s="1"/>
  <c r="S95" i="1" s="1"/>
  <c r="P96" i="1"/>
  <c r="Q96" i="1" s="1"/>
  <c r="S96" i="1" s="1"/>
  <c r="P97" i="1"/>
  <c r="Q97" i="1" s="1"/>
  <c r="S97" i="1" s="1"/>
  <c r="P98" i="1"/>
  <c r="Q98" i="1" s="1"/>
  <c r="S98" i="1" s="1"/>
  <c r="P99" i="1"/>
  <c r="Q99" i="1" s="1"/>
  <c r="S99" i="1" s="1"/>
  <c r="P100" i="1"/>
  <c r="Q100" i="1" s="1"/>
  <c r="S100" i="1" s="1"/>
  <c r="P101" i="1"/>
  <c r="Q101" i="1" s="1"/>
  <c r="S101" i="1" s="1"/>
  <c r="P102" i="1"/>
  <c r="Q102" i="1" s="1"/>
  <c r="S102" i="1" s="1"/>
  <c r="P103" i="1"/>
  <c r="Q103" i="1" s="1"/>
  <c r="S103" i="1" s="1"/>
  <c r="P104" i="1"/>
  <c r="Q104" i="1" s="1"/>
  <c r="S104" i="1" s="1"/>
  <c r="P105" i="1"/>
  <c r="Q105" i="1" s="1"/>
  <c r="S105" i="1" s="1"/>
  <c r="P106" i="1"/>
  <c r="Q106" i="1" s="1"/>
  <c r="S106" i="1" s="1"/>
  <c r="P107" i="1"/>
  <c r="Q107" i="1" s="1"/>
  <c r="S107" i="1" s="1"/>
  <c r="P108" i="1"/>
  <c r="Q108" i="1" s="1"/>
  <c r="S108" i="1" s="1"/>
  <c r="P109" i="1"/>
  <c r="Q109" i="1" s="1"/>
  <c r="S109" i="1" s="1"/>
  <c r="P110" i="1"/>
  <c r="Q110" i="1" s="1"/>
  <c r="S110" i="1" s="1"/>
  <c r="P111" i="1"/>
  <c r="Q111" i="1" s="1"/>
  <c r="S111" i="1" s="1"/>
  <c r="P112" i="1"/>
  <c r="Q112" i="1" s="1"/>
  <c r="S112" i="1" s="1"/>
  <c r="P113" i="1"/>
  <c r="Q113" i="1" s="1"/>
  <c r="S113" i="1" s="1"/>
  <c r="P114" i="1"/>
  <c r="Q114" i="1" s="1"/>
  <c r="S114" i="1" s="1"/>
  <c r="P115" i="1"/>
  <c r="Q115" i="1" s="1"/>
  <c r="S115" i="1" s="1"/>
  <c r="P116" i="1"/>
  <c r="Q116" i="1" s="1"/>
  <c r="S116" i="1" s="1"/>
  <c r="P117" i="1"/>
  <c r="Q117" i="1" s="1"/>
  <c r="S117" i="1" s="1"/>
  <c r="P118" i="1"/>
  <c r="Q118" i="1" s="1"/>
  <c r="S118" i="1" s="1"/>
  <c r="P119" i="1"/>
  <c r="Q119" i="1" s="1"/>
  <c r="S119" i="1" s="1"/>
  <c r="P120" i="1"/>
  <c r="Q120" i="1" s="1"/>
  <c r="S120" i="1" s="1"/>
  <c r="P121" i="1"/>
  <c r="Q121" i="1" s="1"/>
  <c r="S121" i="1" s="1"/>
  <c r="P122" i="1"/>
  <c r="Q122" i="1" s="1"/>
  <c r="S122" i="1" s="1"/>
  <c r="P123" i="1"/>
  <c r="Q123" i="1" s="1"/>
  <c r="S123" i="1" s="1"/>
  <c r="P124" i="1"/>
  <c r="Q124" i="1" s="1"/>
  <c r="S124" i="1" s="1"/>
  <c r="P125" i="1"/>
  <c r="Q125" i="1" s="1"/>
  <c r="S125" i="1" s="1"/>
  <c r="P126" i="1"/>
  <c r="Q126" i="1" s="1"/>
  <c r="S126" i="1" s="1"/>
  <c r="P127" i="1"/>
  <c r="Q127" i="1" s="1"/>
  <c r="S127" i="1" s="1"/>
  <c r="P128" i="1"/>
  <c r="Q128" i="1" s="1"/>
  <c r="S128" i="1" s="1"/>
  <c r="P129" i="1"/>
  <c r="Q129" i="1" s="1"/>
  <c r="S129" i="1" s="1"/>
  <c r="P130" i="1"/>
  <c r="Q130" i="1" s="1"/>
  <c r="S130" i="1" s="1"/>
  <c r="P131" i="1"/>
  <c r="Q131" i="1" s="1"/>
  <c r="S131" i="1" s="1"/>
  <c r="P132" i="1"/>
  <c r="Q132" i="1" s="1"/>
  <c r="S132" i="1" s="1"/>
  <c r="P133" i="1"/>
  <c r="Q133" i="1" s="1"/>
  <c r="S133" i="1" s="1"/>
  <c r="P134" i="1"/>
  <c r="Q134" i="1" s="1"/>
  <c r="S134" i="1" s="1"/>
  <c r="P135" i="1"/>
  <c r="Q135" i="1" s="1"/>
  <c r="S135" i="1" s="1"/>
  <c r="P136" i="1"/>
  <c r="Q136" i="1" s="1"/>
  <c r="S136" i="1" s="1"/>
  <c r="P137" i="1"/>
  <c r="Q137" i="1" s="1"/>
  <c r="S137" i="1" s="1"/>
  <c r="P138" i="1"/>
  <c r="Q138" i="1" s="1"/>
  <c r="S138" i="1" s="1"/>
  <c r="P139" i="1"/>
  <c r="Q139" i="1" s="1"/>
  <c r="S139" i="1" s="1"/>
  <c r="P140" i="1"/>
  <c r="Q140" i="1" s="1"/>
  <c r="S140" i="1" s="1"/>
  <c r="P141" i="1"/>
  <c r="Q141" i="1" s="1"/>
  <c r="S141" i="1" s="1"/>
  <c r="P142" i="1"/>
  <c r="Q142" i="1" s="1"/>
  <c r="S142" i="1" s="1"/>
  <c r="P143" i="1"/>
  <c r="Q143" i="1" s="1"/>
  <c r="S143" i="1" s="1"/>
  <c r="P144" i="1"/>
  <c r="Q144" i="1" s="1"/>
  <c r="S144" i="1" s="1"/>
  <c r="P145" i="1"/>
  <c r="Q145" i="1" s="1"/>
  <c r="S145" i="1" s="1"/>
  <c r="P146" i="1"/>
  <c r="Q146" i="1" s="1"/>
  <c r="S146" i="1" s="1"/>
  <c r="P147" i="1"/>
  <c r="Q147" i="1" s="1"/>
  <c r="S147" i="1" s="1"/>
  <c r="P148" i="1"/>
  <c r="Q148" i="1" s="1"/>
  <c r="S148" i="1" s="1"/>
  <c r="P149" i="1"/>
  <c r="Q149" i="1" s="1"/>
  <c r="S149" i="1" s="1"/>
  <c r="P150" i="1"/>
  <c r="Q150" i="1" s="1"/>
  <c r="S150" i="1" s="1"/>
  <c r="P151" i="1"/>
  <c r="Q151" i="1" s="1"/>
  <c r="S151" i="1" s="1"/>
  <c r="P152" i="1"/>
  <c r="Q152" i="1" s="1"/>
  <c r="S152" i="1" s="1"/>
  <c r="P153" i="1"/>
  <c r="Q153" i="1" s="1"/>
  <c r="S153" i="1" s="1"/>
  <c r="AG2" i="1" l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D2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AN2" i="1" l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V153" i="1" l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AN5" i="1" s="1"/>
  <c r="AK2" i="1" l="1" a="1"/>
  <c r="AK2" i="1"/>
  <c r="AJ2" i="1" l="1" a="1"/>
  <c r="AJ2" i="1"/>
  <c r="AA2" i="1" l="1"/>
  <c r="AA3" i="1"/>
  <c r="N3" i="1" s="1"/>
  <c r="AA4" i="1"/>
  <c r="AA5" i="1"/>
  <c r="N5" i="1" s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N63" i="1" s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N83" i="1" s="1"/>
  <c r="AA84" i="1"/>
  <c r="AA85" i="1"/>
  <c r="AA86" i="1"/>
  <c r="AA87" i="1"/>
  <c r="AA88" i="1"/>
  <c r="AA89" i="1"/>
  <c r="AA90" i="1"/>
  <c r="AA91" i="1"/>
  <c r="AA92" i="1"/>
  <c r="AA93" i="1"/>
  <c r="AA94" i="1"/>
  <c r="N94" i="1" s="1"/>
  <c r="AA95" i="1"/>
  <c r="AA96" i="1"/>
  <c r="AA97" i="1"/>
  <c r="N97" i="1" s="1"/>
  <c r="AA98" i="1"/>
  <c r="N98" i="1" s="1"/>
  <c r="AA99" i="1"/>
  <c r="AA100" i="1"/>
  <c r="N100" i="1" s="1"/>
  <c r="AA101" i="1"/>
  <c r="AA102" i="1"/>
  <c r="AA103" i="1"/>
  <c r="AA104" i="1"/>
  <c r="AA105" i="1"/>
  <c r="AA106" i="1"/>
  <c r="AA107" i="1"/>
  <c r="AA108" i="1"/>
  <c r="AA109" i="1"/>
  <c r="N109" i="1" s="1"/>
  <c r="AA110" i="1"/>
  <c r="N110" i="1" s="1"/>
  <c r="AA111" i="1"/>
  <c r="AA112" i="1"/>
  <c r="AA113" i="1"/>
  <c r="AA114" i="1"/>
  <c r="N114" i="1" s="1"/>
  <c r="AA115" i="1"/>
  <c r="AA116" i="1"/>
  <c r="AA117" i="1"/>
  <c r="AA118" i="1"/>
  <c r="AA119" i="1"/>
  <c r="AA120" i="1"/>
  <c r="AA121" i="1"/>
  <c r="AA122" i="1"/>
  <c r="AA123" i="1"/>
  <c r="N123" i="1" s="1"/>
  <c r="AA124" i="1"/>
  <c r="AA125" i="1"/>
  <c r="AA126" i="1"/>
  <c r="N126" i="1" s="1"/>
  <c r="AA127" i="1"/>
  <c r="N127" i="1" s="1"/>
  <c r="AA128" i="1"/>
  <c r="AA129" i="1"/>
  <c r="N129" i="1" s="1"/>
  <c r="AA130" i="1"/>
  <c r="N130" i="1" s="1"/>
  <c r="AA131" i="1"/>
  <c r="AA132" i="1"/>
  <c r="AA133" i="1"/>
  <c r="AA134" i="1"/>
  <c r="N134" i="1" s="1"/>
  <c r="AA135" i="1"/>
  <c r="AA136" i="1"/>
  <c r="N136" i="1" s="1"/>
  <c r="AA137" i="1"/>
  <c r="AA138" i="1"/>
  <c r="N138" i="1" s="1"/>
  <c r="AA139" i="1"/>
  <c r="AA140" i="1"/>
  <c r="N140" i="1" s="1"/>
  <c r="AA141" i="1"/>
  <c r="AA142" i="1"/>
  <c r="N142" i="1" s="1"/>
  <c r="AA143" i="1"/>
  <c r="AA144" i="1"/>
  <c r="N144" i="1" s="1"/>
  <c r="AA145" i="1"/>
  <c r="AA146" i="1"/>
  <c r="AA147" i="1"/>
  <c r="AA148" i="1"/>
  <c r="AA149" i="1"/>
  <c r="AA150" i="1"/>
  <c r="AA151" i="1"/>
  <c r="AA152" i="1"/>
  <c r="AA153" i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AN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<sst xmlns="http://schemas.openxmlformats.org/spreadsheetml/2006/main" count="1276" uniqueCount="488">
  <si>
    <t>id</t>
  </si>
  <si>
    <t>id_text</t>
  </si>
  <si>
    <t>name</t>
  </si>
  <si>
    <t>name_capitalized</t>
  </si>
  <si>
    <t>created_at</t>
  </si>
  <si>
    <t>launched_at</t>
  </si>
  <si>
    <t>deadline</t>
  </si>
  <si>
    <t>funding_period</t>
  </si>
  <si>
    <t>launched_at_day</t>
  </si>
  <si>
    <t>launch_timing</t>
  </si>
  <si>
    <t>launched_at_month</t>
  </si>
  <si>
    <t>exact_match</t>
  </si>
  <si>
    <t>backers_count</t>
  </si>
  <si>
    <t>backers_count_corrected</t>
  </si>
  <si>
    <t>currency_original</t>
  </si>
  <si>
    <t>currency</t>
  </si>
  <si>
    <t>exchange_rate</t>
  </si>
  <si>
    <t>pledged</t>
  </si>
  <si>
    <t>pledged_USD</t>
  </si>
  <si>
    <t>pledged_rounded</t>
  </si>
  <si>
    <t>goal_USD</t>
  </si>
  <si>
    <t>goal_USD_numeric</t>
  </si>
  <si>
    <t>city</t>
  </si>
  <si>
    <t>state</t>
  </si>
  <si>
    <t>location</t>
  </si>
  <si>
    <t>country</t>
  </si>
  <si>
    <t>country_trimmed</t>
  </si>
  <si>
    <t>source_url</t>
  </si>
  <si>
    <t>source_url_length</t>
  </si>
  <si>
    <t>source_url_category</t>
  </si>
  <si>
    <t>source_url_category_cleaned</t>
  </si>
  <si>
    <t>staff_pick</t>
  </si>
  <si>
    <t>staff_pick_lower</t>
  </si>
  <si>
    <t>status</t>
  </si>
  <si>
    <t>pledged_sorted_asc</t>
  </si>
  <si>
    <t>pledged_sorted_desc</t>
  </si>
  <si>
    <t>Hex Tile content Add-Ons for MapForge map-making software</t>
  </si>
  <si>
    <t>usd</t>
  </si>
  <si>
    <t>$15000</t>
  </si>
  <si>
    <t>Orlando</t>
  </si>
  <si>
    <t>FL</t>
  </si>
  <si>
    <t xml:space="preserve">   United States</t>
  </si>
  <si>
    <t>https://www.kickstarter.com/discover/categories/games/live%20games</t>
  </si>
  <si>
    <t>successful</t>
  </si>
  <si>
    <t>Non-blank cells in columns D-G</t>
  </si>
  <si>
    <t>Epic Stuff Library vol 4: D&amp;D 5E/Pathfinder adaptable.</t>
  </si>
  <si>
    <t>$28000</t>
  </si>
  <si>
    <t>Arlington</t>
  </si>
  <si>
    <t>VA</t>
  </si>
  <si>
    <t>https://www.kickstarter.com/discover/categories/games/mobile%20games</t>
  </si>
  <si>
    <t>failed</t>
  </si>
  <si>
    <t>Blank cells</t>
  </si>
  <si>
    <t>Our House: The Lore Driven Card Game</t>
  </si>
  <si>
    <t>gbp</t>
  </si>
  <si>
    <t>$2000</t>
  </si>
  <si>
    <t>Nottingham</t>
  </si>
  <si>
    <t>England</t>
  </si>
  <si>
    <t xml:space="preserve">   United Kingdom</t>
  </si>
  <si>
    <t>https://www.kickstarter.com/discover/categories/games/tabletop%20games</t>
  </si>
  <si>
    <t>Zombicide: 2nd Edition</t>
  </si>
  <si>
    <t>cad</t>
  </si>
  <si>
    <t>$3300</t>
  </si>
  <si>
    <t>Vancouver</t>
  </si>
  <si>
    <t>BC</t>
  </si>
  <si>
    <t xml:space="preserve">   Canada</t>
  </si>
  <si>
    <t>Minimum goal USD</t>
  </si>
  <si>
    <t>Longest Number Ever Written</t>
  </si>
  <si>
    <t>$2500</t>
  </si>
  <si>
    <t>Los Gatos</t>
  </si>
  <si>
    <t>CA</t>
  </si>
  <si>
    <t>https://www.kickstarter.com/discover/categories/games/playing%20cards</t>
  </si>
  <si>
    <t>DEAD+GONE: A Competitive Horror Game</t>
  </si>
  <si>
    <t>eur</t>
  </si>
  <si>
    <t>$17000</t>
  </si>
  <si>
    <t>Lentate sul Seveso</t>
  </si>
  <si>
    <t>Lombardy</t>
  </si>
  <si>
    <t xml:space="preserve">   Italy</t>
  </si>
  <si>
    <t>Backers count</t>
  </si>
  <si>
    <t>the oracle of heaven and hell</t>
  </si>
  <si>
    <t>$5000</t>
  </si>
  <si>
    <t>Phoenix</t>
  </si>
  <si>
    <t>AZ</t>
  </si>
  <si>
    <t>Sum</t>
  </si>
  <si>
    <t>Dwarf board game</t>
  </si>
  <si>
    <t>$1800</t>
  </si>
  <si>
    <t>Los Angeles</t>
  </si>
  <si>
    <t>Minimum</t>
  </si>
  <si>
    <t>Traveller Fifth Edition</t>
  </si>
  <si>
    <t>$15013</t>
  </si>
  <si>
    <t>Maximum</t>
  </si>
  <si>
    <t>My Pad</t>
  </si>
  <si>
    <t>$2200</t>
  </si>
  <si>
    <t>Virginia Beach</t>
  </si>
  <si>
    <t>Average</t>
  </si>
  <si>
    <t>In Thoth's Wake - Zine Quest Edition!</t>
  </si>
  <si>
    <t>$40000</t>
  </si>
  <si>
    <t>Oakland</t>
  </si>
  <si>
    <t>Median</t>
  </si>
  <si>
    <t>OVER THE HILLS 2ND EDITION - THE NAPOLEONIC WARGAMES RULES</t>
  </si>
  <si>
    <t>$1250</t>
  </si>
  <si>
    <t>Rochester</t>
  </si>
  <si>
    <t>NY</t>
  </si>
  <si>
    <t>Capone: The Business of Prohibition</t>
  </si>
  <si>
    <t>$250</t>
  </si>
  <si>
    <t>Guildford</t>
  </si>
  <si>
    <t>Unique categories</t>
  </si>
  <si>
    <t>Count</t>
  </si>
  <si>
    <t>The EMPATH TAROT: for Inner Healing</t>
  </si>
  <si>
    <t>$3500</t>
  </si>
  <si>
    <t>Seattle</t>
  </si>
  <si>
    <t>WA</t>
  </si>
  <si>
    <t>Mutants et Zombie</t>
  </si>
  <si>
    <t>sgd</t>
  </si>
  <si>
    <t>$9000</t>
  </si>
  <si>
    <t>Singapore</t>
  </si>
  <si>
    <t>Central Singapore</t>
  </si>
  <si>
    <t xml:space="preserve">   Singapore</t>
  </si>
  <si>
    <t>Playing Cards: The Jedi of the Old Republic</t>
  </si>
  <si>
    <t>$50000</t>
  </si>
  <si>
    <t>Poulsbo</t>
  </si>
  <si>
    <t>Azote playing cards | First edition</t>
  </si>
  <si>
    <t>Franklin</t>
  </si>
  <si>
    <t>WI</t>
  </si>
  <si>
    <t>Monster Menagerie: Gruesome Foes</t>
  </si>
  <si>
    <t>Philadelphia</t>
  </si>
  <si>
    <t>PA</t>
  </si>
  <si>
    <t>Hit the Streets: Defend the Block tabletop RPG</t>
  </si>
  <si>
    <t>$1500</t>
  </si>
  <si>
    <t>Barcelona</t>
  </si>
  <si>
    <t>Catalonia</t>
  </si>
  <si>
    <t xml:space="preserve">   Spain</t>
  </si>
  <si>
    <t>Dice Palace: Display &amp; Storage Case for Dice &amp; Miniatures</t>
  </si>
  <si>
    <t>$7000</t>
  </si>
  <si>
    <t>Rennes</t>
  </si>
  <si>
    <t>Ile-de-France</t>
  </si>
  <si>
    <t xml:space="preserve">   France</t>
  </si>
  <si>
    <t>Average pledged USD tabletop</t>
  </si>
  <si>
    <t>peculiarity oracle, sacred space and beautiful word cards</t>
  </si>
  <si>
    <t>$30000</t>
  </si>
  <si>
    <t>Seville</t>
  </si>
  <si>
    <t>Andalusia</t>
  </si>
  <si>
    <t>DoubleSix Dice: Generation Two</t>
  </si>
  <si>
    <t>$3000</t>
  </si>
  <si>
    <t>Columbia</t>
  </si>
  <si>
    <t>SC</t>
  </si>
  <si>
    <t>The World of the Lost Lands</t>
  </si>
  <si>
    <t>$1000</t>
  </si>
  <si>
    <t>Ashland</t>
  </si>
  <si>
    <t>OR</t>
  </si>
  <si>
    <t>Super Dude Jump</t>
  </si>
  <si>
    <t>Little Rock</t>
  </si>
  <si>
    <t>AR</t>
  </si>
  <si>
    <t>Sloosh Cards</t>
  </si>
  <si>
    <t>$6800</t>
  </si>
  <si>
    <t>Dice Friend - Innovative Dice Tray &amp; Dice Bag - 2 in 1</t>
  </si>
  <si>
    <t>$3200</t>
  </si>
  <si>
    <t>Dungeon Craft: Build your own battle maps!</t>
  </si>
  <si>
    <t>$80</t>
  </si>
  <si>
    <t>Italia</t>
  </si>
  <si>
    <t>Piedmont</t>
  </si>
  <si>
    <t>THE MANA POOL FOR MAGIC THE GATHERING</t>
  </si>
  <si>
    <t>Kalamazoo</t>
  </si>
  <si>
    <t>MI</t>
  </si>
  <si>
    <t>RPG Pins show off your love of roleplaying games! Series 1.5</t>
  </si>
  <si>
    <t>$500</t>
  </si>
  <si>
    <t>Astoria</t>
  </si>
  <si>
    <t>Way of the samurai</t>
  </si>
  <si>
    <t>$8500</t>
  </si>
  <si>
    <t>Reading</t>
  </si>
  <si>
    <t>Budzzles...It's a bud, it's a puzzle, it's a Budzzle!</t>
  </si>
  <si>
    <t>London</t>
  </si>
  <si>
    <t>FIEF: The Lords Miniatures! KS Exclusive!</t>
  </si>
  <si>
    <t>Chicago</t>
  </si>
  <si>
    <t>IL</t>
  </si>
  <si>
    <t>Warbands of the Dark Beyond</t>
  </si>
  <si>
    <t>$27000</t>
  </si>
  <si>
    <t>Sensory White Playing Cards By Lunzi</t>
  </si>
  <si>
    <t>Paris</t>
  </si>
  <si>
    <t>Tremor</t>
  </si>
  <si>
    <t>Fremont</t>
  </si>
  <si>
    <t>Bellum Sacrum Card Game</t>
  </si>
  <si>
    <t>Denver</t>
  </si>
  <si>
    <t>CO</t>
  </si>
  <si>
    <t>Aether Studios - Swamp of Sorrows</t>
  </si>
  <si>
    <t>Ogden</t>
  </si>
  <si>
    <t>UT</t>
  </si>
  <si>
    <t>Dark Streets &amp; Darker Secrets</t>
  </si>
  <si>
    <t>$10000</t>
  </si>
  <si>
    <t>Sovereign Skies</t>
  </si>
  <si>
    <t>$5550</t>
  </si>
  <si>
    <t>Kissimmee</t>
  </si>
  <si>
    <t>DOUBLEHEAD KIDS</t>
  </si>
  <si>
    <t>$4200</t>
  </si>
  <si>
    <t>San Antonio</t>
  </si>
  <si>
    <t>TX</t>
  </si>
  <si>
    <t>Mission Adventure</t>
  </si>
  <si>
    <t>Tours</t>
  </si>
  <si>
    <t>Centre</t>
  </si>
  <si>
    <t>Electric Volleyball: LED Volleyball Net</t>
  </si>
  <si>
    <t>$550000</t>
  </si>
  <si>
    <t>Hampton</t>
  </si>
  <si>
    <t>Breachstorm: Reloaded - 30mm Sci-fi Miniatures</t>
  </si>
  <si>
    <t>Collingswood</t>
  </si>
  <si>
    <t>NJ</t>
  </si>
  <si>
    <t>Sea Shanties: A Pirate-Centric Board Game</t>
  </si>
  <si>
    <t>Krempe</t>
  </si>
  <si>
    <t>Schleswig-Holstein</t>
  </si>
  <si>
    <t xml:space="preserve">   Germany</t>
  </si>
  <si>
    <t>A collection based game for people to show off</t>
  </si>
  <si>
    <t>$400</t>
  </si>
  <si>
    <t>San Francisco</t>
  </si>
  <si>
    <t>Secrets of the World Harvesters</t>
  </si>
  <si>
    <t>hkd</t>
  </si>
  <si>
    <t>Hong Kong</t>
  </si>
  <si>
    <t>Hong Kong Island</t>
  </si>
  <si>
    <t xml:space="preserve">   Hong Kong</t>
  </si>
  <si>
    <t>Vengeance : Director's Cut</t>
  </si>
  <si>
    <t>New Brunswick</t>
  </si>
  <si>
    <t>Reaping at River's End for 5e and S&amp;W RPG!</t>
  </si>
  <si>
    <t>Provo</t>
  </si>
  <si>
    <t>Night Parade of 100 Demons: the Board Game (English)</t>
  </si>
  <si>
    <t>East Lansing</t>
  </si>
  <si>
    <t>GAYM</t>
  </si>
  <si>
    <t>New York</t>
  </si>
  <si>
    <t>FIRST US FANTASY SPORTS SITE FOR WOMEN'S LEAGUES: SHE PLAYS</t>
  </si>
  <si>
    <t>Brandon</t>
  </si>
  <si>
    <t>MS</t>
  </si>
  <si>
    <t>Football Fantasy, a first-and-dungeon zine.</t>
  </si>
  <si>
    <t>Wales</t>
  </si>
  <si>
    <t>The Umerican Road Atlas and Umerica Unnatural</t>
  </si>
  <si>
    <t>Naperville</t>
  </si>
  <si>
    <t>Fantasy Towers in STL format for 3D printing</t>
  </si>
  <si>
    <t>$100</t>
  </si>
  <si>
    <t>Bretagne</t>
  </si>
  <si>
    <t>Ashes to Ashes - KS Exclusive Game</t>
  </si>
  <si>
    <t>$20000</t>
  </si>
  <si>
    <t>Boynton Beach</t>
  </si>
  <si>
    <t>Aeon's End: The New Age</t>
  </si>
  <si>
    <t>$7500</t>
  </si>
  <si>
    <t>College Park</t>
  </si>
  <si>
    <t>MD</t>
  </si>
  <si>
    <t>The Bridge of the Damned</t>
  </si>
  <si>
    <t>Durango</t>
  </si>
  <si>
    <t>https://www.kickstarter.com/discover/categories/games/puzzles</t>
  </si>
  <si>
    <t>Monster Cards: DnD 5e Reference Cards</t>
  </si>
  <si>
    <t>Salt Lake City</t>
  </si>
  <si>
    <t>Cash Quiz Live: Making Ads Fun, Challenging, &amp; Rewarding</t>
  </si>
  <si>
    <t>Dice &amp; Ink: A Roll &amp; Write Anthology</t>
  </si>
  <si>
    <t>$4500</t>
  </si>
  <si>
    <t>Hayward</t>
  </si>
  <si>
    <t>Japanese Mythology for Dungeons &amp; Dragons 5e and Pathfinder</t>
  </si>
  <si>
    <t>Carrollton</t>
  </si>
  <si>
    <t>GA</t>
  </si>
  <si>
    <t>28mm scale Orc Defence Turrets</t>
  </si>
  <si>
    <t>Detroit</t>
  </si>
  <si>
    <t>Alkemy, Rados Cults</t>
  </si>
  <si>
    <t>Perugia</t>
  </si>
  <si>
    <t>Umbria</t>
  </si>
  <si>
    <t>Nude figure playing cards</t>
  </si>
  <si>
    <t>$75000</t>
  </si>
  <si>
    <t>Redmond</t>
  </si>
  <si>
    <t>MUSICAL BREAKOUT</t>
  </si>
  <si>
    <t>Bloomington</t>
  </si>
  <si>
    <t>Equality // Integrity \\\\ Justice Playing Cards</t>
  </si>
  <si>
    <t>Pasadena</t>
  </si>
  <si>
    <t>Tabletop terrain from XPS foam: Buildings</t>
  </si>
  <si>
    <t>nok</t>
  </si>
  <si>
    <t>$1079668</t>
  </si>
  <si>
    <t>Oslo</t>
  </si>
  <si>
    <t>Oslo Fylke</t>
  </si>
  <si>
    <t xml:space="preserve">   Norway</t>
  </si>
  <si>
    <t>Critical Dice</t>
  </si>
  <si>
    <t>Plainfield</t>
  </si>
  <si>
    <t>Burrows &amp; Badgers: Great &amp; Small anthro minis by Oathsworn</t>
  </si>
  <si>
    <t>Minneapolis</t>
  </si>
  <si>
    <t>MN</t>
  </si>
  <si>
    <t>Lux Runa: Metal Playing Cards</t>
  </si>
  <si>
    <t>The 72 Angels Talisman Coins &amp; Spiritual Cards</t>
  </si>
  <si>
    <t>$20</t>
  </si>
  <si>
    <t>Pixel Blocks by Little Problem Solvers</t>
  </si>
  <si>
    <t>live</t>
  </si>
  <si>
    <t>Quests and Chaos Merchandise Launch</t>
  </si>
  <si>
    <t>Vacaville</t>
  </si>
  <si>
    <t>Team Stack Cup - The Game</t>
  </si>
  <si>
    <t>Dance of Death Playing Cards - LIMITED 1,2,3 deck of cards</t>
  </si>
  <si>
    <t>$300</t>
  </si>
  <si>
    <t>perfectTrine - playing cards</t>
  </si>
  <si>
    <t>Charlottesville</t>
  </si>
  <si>
    <t>Monolith Playing Cards</t>
  </si>
  <si>
    <t>$12000</t>
  </si>
  <si>
    <t>Traverse City</t>
  </si>
  <si>
    <t>Odyssey: ANTHROPOS</t>
  </si>
  <si>
    <t>$36500</t>
  </si>
  <si>
    <t>Toronto</t>
  </si>
  <si>
    <t>ON</t>
  </si>
  <si>
    <t>Mosaic the board game.</t>
  </si>
  <si>
    <t>Houston</t>
  </si>
  <si>
    <t>US NATIONAL PARK PLAYING CARDS</t>
  </si>
  <si>
    <t>Salzburg</t>
  </si>
  <si>
    <t xml:space="preserve">   Austria</t>
  </si>
  <si>
    <t>Attribute Dice</t>
  </si>
  <si>
    <t>Cintru√©nigo</t>
  </si>
  <si>
    <t>Navarre</t>
  </si>
  <si>
    <t>Medieval, 3d printable terrain for tabletop and modeling</t>
  </si>
  <si>
    <t>Murder Mystery Manor</t>
  </si>
  <si>
    <t>Shacklefords</t>
  </si>
  <si>
    <t>Castles &amp; Crusades Codex Egyptium</t>
  </si>
  <si>
    <t>Portland</t>
  </si>
  <si>
    <t>TITANS: historical fantasy miniature board game</t>
  </si>
  <si>
    <t>DADO</t>
  </si>
  <si>
    <t>Coral Springs</t>
  </si>
  <si>
    <t>Iwari</t>
  </si>
  <si>
    <t>$8000</t>
  </si>
  <si>
    <t>Kiev</t>
  </si>
  <si>
    <t>Kiev City Municipality</t>
  </si>
  <si>
    <t xml:space="preserve">   Ukraine</t>
  </si>
  <si>
    <t>Steve Hampson's Tabletop Games Kickstarter Report 2019</t>
  </si>
  <si>
    <t>$800</t>
  </si>
  <si>
    <t>DUMBO</t>
  </si>
  <si>
    <t>Incoming Transmission: CoOp Deduction Boardgame (plus App!)</t>
  </si>
  <si>
    <t>Rod, Reel, &amp; Fist</t>
  </si>
  <si>
    <t>$23000</t>
  </si>
  <si>
    <t>Oshkosh</t>
  </si>
  <si>
    <t>Camp Pinetop</t>
  </si>
  <si>
    <t>Edinburgh</t>
  </si>
  <si>
    <t>Scotland</t>
  </si>
  <si>
    <t>Montana: Goldrush &amp; Longhorns (Heritage Edition Expansions)</t>
  </si>
  <si>
    <t>Cologne</t>
  </si>
  <si>
    <t>North Rhine-Westphalia</t>
  </si>
  <si>
    <t>The Spy Game: 5th Edition Action/Espionage Roleplaying Game</t>
  </si>
  <si>
    <t>Austin</t>
  </si>
  <si>
    <t>Space Raiders - The Space Goblins!</t>
  </si>
  <si>
    <t>New Albany</t>
  </si>
  <si>
    <t>IN</t>
  </si>
  <si>
    <t>Insecta; a transformations deck of intricate insects</t>
  </si>
  <si>
    <t>MINE CITY</t>
  </si>
  <si>
    <t>Nashville</t>
  </si>
  <si>
    <t>TN</t>
  </si>
  <si>
    <t>Devil Dogs: Belleau Wood 1918</t>
  </si>
  <si>
    <t>Fort Collins</t>
  </si>
  <si>
    <t>The Few and Cursed: Board Game</t>
  </si>
  <si>
    <t>CAPERS Covert RPG</t>
  </si>
  <si>
    <t>Marietta</t>
  </si>
  <si>
    <t>American Civil War printable terrain tabletop and modeling</t>
  </si>
  <si>
    <t>$80000</t>
  </si>
  <si>
    <t>Pozna≈Ñ</t>
  </si>
  <si>
    <t>Lublin</t>
  </si>
  <si>
    <t xml:space="preserve">   Poland</t>
  </si>
  <si>
    <t>SPARK: The Magic of Storytelling</t>
  </si>
  <si>
    <t>Berlin</t>
  </si>
  <si>
    <t>canceled</t>
  </si>
  <si>
    <t>Heritage Luxury playing cards ‚îÇ printed by Cartamundi</t>
  </si>
  <si>
    <t>Bydgoszcz</t>
  </si>
  <si>
    <t>Kuiavia-Pomerania</t>
  </si>
  <si>
    <t>G.O.H.K (Game of Hong Kong)</t>
  </si>
  <si>
    <t>Blume</t>
  </si>
  <si>
    <t>$650</t>
  </si>
  <si>
    <t>Beverly</t>
  </si>
  <si>
    <t>MA</t>
  </si>
  <si>
    <t>The Road to Hell - 3D Print-Ready Models</t>
  </si>
  <si>
    <t>Memphis</t>
  </si>
  <si>
    <t>Monsters of the Underworld for 5E</t>
  </si>
  <si>
    <t>Calgary</t>
  </si>
  <si>
    <t>AB</t>
  </si>
  <si>
    <t>TaleSpire</t>
  </si>
  <si>
    <t>Northampton</t>
  </si>
  <si>
    <t>SPACE BASE II -Futuristic / Apocalyptic Scenery STLs in 28mm</t>
  </si>
  <si>
    <t>Colorado Springs</t>
  </si>
  <si>
    <t>Dice Spell Tracker</t>
  </si>
  <si>
    <t>$750</t>
  </si>
  <si>
    <t>Raccoon Tycoon: The Fat Cat Expansion</t>
  </si>
  <si>
    <t>$1</t>
  </si>
  <si>
    <t>Milano</t>
  </si>
  <si>
    <t>AMAZONS!</t>
  </si>
  <si>
    <t>Cambridgeshire</t>
  </si>
  <si>
    <t>WarCHESS</t>
  </si>
  <si>
    <t>Dry Erase Game Tokens</t>
  </si>
  <si>
    <t>Surprise</t>
  </si>
  <si>
    <t>Cochin Industrial District: 3d Printable World Building</t>
  </si>
  <si>
    <t>$25000</t>
  </si>
  <si>
    <t>Centerville</t>
  </si>
  <si>
    <t>Matter Playing Cards</t>
  </si>
  <si>
    <t>$5500</t>
  </si>
  <si>
    <t>Bangor</t>
  </si>
  <si>
    <t>Endeavor: Age of Expansion</t>
  </si>
  <si>
    <t>Richmond</t>
  </si>
  <si>
    <t>The Which Way? Coding Board Game</t>
  </si>
  <si>
    <t>Miami</t>
  </si>
  <si>
    <t>Bridgehouse Playing Cards</t>
  </si>
  <si>
    <t>maximum mayhem dungeons #7: dread swamp of the banshee</t>
  </si>
  <si>
    <t>$6400</t>
  </si>
  <si>
    <t>Manniku</t>
  </si>
  <si>
    <t>Laane-Viru County</t>
  </si>
  <si>
    <t xml:space="preserve">   Estonia</t>
  </si>
  <si>
    <t>Axis Playing Cards</t>
  </si>
  <si>
    <t>aud</t>
  </si>
  <si>
    <t>Sydney</t>
  </si>
  <si>
    <t>NSW</t>
  </si>
  <si>
    <t xml:space="preserve">   Australia</t>
  </si>
  <si>
    <t>Terraforming Mars: Turmoil</t>
  </si>
  <si>
    <t>$4000</t>
  </si>
  <si>
    <t>dungeon crawl classics: soul for the ocean dark</t>
  </si>
  <si>
    <t>$40</t>
  </si>
  <si>
    <t>Montesson</t>
  </si>
  <si>
    <t>Vampire Cards: Specialized playing cards!</t>
  </si>
  <si>
    <t>6th Sense Connection Oracle Cards</t>
  </si>
  <si>
    <t>Fort Worth</t>
  </si>
  <si>
    <t>BolaBots (Steam game)</t>
  </si>
  <si>
    <t>$600</t>
  </si>
  <si>
    <t>Boston</t>
  </si>
  <si>
    <t>Metal Gods of Ur-Hadad Zine Returns!</t>
  </si>
  <si>
    <t>Saginaw</t>
  </si>
  <si>
    <t>Flight Club: Performance Artwork and Live Street Game</t>
  </si>
  <si>
    <t>Santa Cruz de Tenerife</t>
  </si>
  <si>
    <t>Canary Islands</t>
  </si>
  <si>
    <t>Night Life Tabletop Game</t>
  </si>
  <si>
    <t>Launceston</t>
  </si>
  <si>
    <t>TAS</t>
  </si>
  <si>
    <t>The Mescalaro Prophecy: Dungeons and Dragons Adventure (5E)</t>
  </si>
  <si>
    <t>The Hedgehog Hop</t>
  </si>
  <si>
    <t>Cincinnati</t>
  </si>
  <si>
    <t>OH</t>
  </si>
  <si>
    <t>Storosso, new beach, backyard, tailgate game (Canceled)</t>
  </si>
  <si>
    <t>$6000</t>
  </si>
  <si>
    <t>BULLSHIP! - Never Trust A Pirate!</t>
  </si>
  <si>
    <t>$8400</t>
  </si>
  <si>
    <t>Bordeaux</t>
  </si>
  <si>
    <t>Aquitaine</t>
  </si>
  <si>
    <t>Savage Realms - Escape from Darkmoor Keep</t>
  </si>
  <si>
    <t>Handsome - An elegant wordgame by TC Petty III</t>
  </si>
  <si>
    <t>Winchester</t>
  </si>
  <si>
    <t>King H√πng Era</t>
  </si>
  <si>
    <t>Rome</t>
  </si>
  <si>
    <t>Lazio</t>
  </si>
  <si>
    <t>Matryoshka: A set-collection and trading game for 3-5p</t>
  </si>
  <si>
    <t>Orem</t>
  </si>
  <si>
    <t>Catch The Letch</t>
  </si>
  <si>
    <t>Stevens Point</t>
  </si>
  <si>
    <t>Troll's Teeth: A Tabletop RPG Game of Chance‚Ñ¢</t>
  </si>
  <si>
    <t>Fearsome Critters</t>
  </si>
  <si>
    <t>Hamburg</t>
  </si>
  <si>
    <t>53 Films</t>
  </si>
  <si>
    <t>$5600</t>
  </si>
  <si>
    <t>Twist Gaming - Year 4</t>
  </si>
  <si>
    <t>$1600</t>
  </si>
  <si>
    <t>Idaho Falls</t>
  </si>
  <si>
    <t>ID</t>
  </si>
  <si>
    <t>Burgle Bros 2: The Casino Capers</t>
  </si>
  <si>
    <t>$250000</t>
  </si>
  <si>
    <t>Atlanta</t>
  </si>
  <si>
    <t>Cigar Box Battle - Double Sided Battle Mats! New Designs!</t>
  </si>
  <si>
    <t>$48000</t>
  </si>
  <si>
    <t>Cheung Chau</t>
  </si>
  <si>
    <t>Outlying Islands</t>
  </si>
  <si>
    <t>Wooden Exquisite Collection Playing Cards Display</t>
  </si>
  <si>
    <t>County Durham</t>
  </si>
  <si>
    <t>Double Cards - Cards that give you choices</t>
  </si>
  <si>
    <t>$26000</t>
  </si>
  <si>
    <t>Longview</t>
  </si>
  <si>
    <t>The 1 Dollar Campaign: Break Kickstarter</t>
  </si>
  <si>
    <t>Porto Mantovano</t>
  </si>
  <si>
    <t>Emberlord</t>
  </si>
  <si>
    <t>Prowlers &amp; Paragons Ultimate Edition</t>
  </si>
  <si>
    <t>Burbank</t>
  </si>
  <si>
    <t>Magic Trick Science Tutoring Package, Fool your fellow!</t>
  </si>
  <si>
    <t>Marlborough</t>
  </si>
  <si>
    <t>Drunko Card - Game Nights Now Officially Forgettable</t>
  </si>
  <si>
    <t>Highlords Firstborn Playing Cards - Volume 1 Fantasy Series</t>
  </si>
  <si>
    <t>$7200</t>
  </si>
  <si>
    <t>Karvin√°</t>
  </si>
  <si>
    <t>Moravian-Silesian Region</t>
  </si>
  <si>
    <t xml:space="preserve">   Czech Republic</t>
  </si>
  <si>
    <t>Open Cards, Open Hearts</t>
  </si>
  <si>
    <t>$200</t>
  </si>
  <si>
    <t>AUD</t>
  </si>
  <si>
    <t>CAD</t>
  </si>
  <si>
    <t>CHF</t>
  </si>
  <si>
    <t>DKK</t>
  </si>
  <si>
    <t>EUR</t>
  </si>
  <si>
    <t>GBP</t>
  </si>
  <si>
    <t>HKD</t>
  </si>
  <si>
    <t>JPY</t>
  </si>
  <si>
    <t>MXN</t>
  </si>
  <si>
    <t>NOK</t>
  </si>
  <si>
    <t>NZD</t>
  </si>
  <si>
    <t>SEK</t>
  </si>
  <si>
    <t>SGD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</si>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</sst>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 tint="0.34998626667073579"/>
      <name val="Arial"/>
      <family val="2"/>
      <scheme val="minor"/>
    </font>
    <font>
      <b/>
      <sz val="11"/>
      <color theme="1" tint="0.34998626667073579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595959"/>
        <bgColor indexed="64"/>
      </patternFill>
    </fill>
  </fills>
  <borders count="7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4" fontId="2" fillId="0" borderId="0" xfId="1" applyFont="1" applyAlignment="1">
      <alignment horizontal="center"/>
    </xf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5" fillId="2" borderId="2" xfId="0" applyFont="1" applyFill="1" applyBorder="1"/>
    <xf numFmtId="0" fontId="5" fillId="2" borderId="1" xfId="0" applyFont="1" applyFill="1" applyBorder="1"/>
    <xf numFmtId="0" fontId="6" fillId="3" borderId="0" xfId="0" applyFont="1" applyFill="1" applyAlignment="1">
      <alignment horizontal="left" vertical="center" wrapText="1" indent="1"/>
    </xf>
    <xf numFmtId="0" fontId="7" fillId="3" borderId="3" xfId="0" applyFont="1" applyFill="1" applyBorder="1"/>
    <xf numFmtId="0" fontId="7" fillId="3" borderId="4" xfId="0" applyFont="1" applyFill="1" applyBorder="1"/>
    <xf numFmtId="0" fontId="8" fillId="2" borderId="1" xfId="0" applyFont="1" applyFill="1" applyBorder="1"/>
    <xf numFmtId="0" fontId="7" fillId="3" borderId="5" xfId="0" applyFont="1" applyFill="1" applyBorder="1"/>
    <xf numFmtId="0" fontId="0" fillId="0" borderId="6" xfId="0" applyBorder="1"/>
  </cellXfs>
  <cellStyles count="2">
    <cellStyle name="Currency" xfId="1" builtinId="4"/>
    <cellStyle name="Normal" xfId="0" builtinId="0"/>
  </cellStyles>
  <dxfs count="36">
    <dxf>
      <alignment horizontal="general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ck">
          <color theme="0"/>
        </top>
        <bottom style="thick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560D8-CE50-4D8A-84CA-0715702EEE5C}" name="Table68" displayName="Table68" ref="A1:AH153" totalsRowShown="0" headerRowDxfId="35" dataDxfId="34">
  <autoFilter ref="A1:AH153" xr:uid="{297771F9-D495-444D-A8CE-7CC7F948FB39}"/>
  <tableColumns count="34">
    <tableColumn id="1" xr3:uid="{E72EE873-BD5A-4FCC-868F-882B0B896F62}" name="id" dataDxfId="33"/>
    <tableColumn id="18" xr3:uid="{53A54391-13B0-4D70-822B-9E2C1D725D9C}" name="id_text" dataDxfId="32">
      <calculatedColumnFormula>TEXT(A2,"00000000")</calculatedColumnFormula>
    </tableColumn>
    <tableColumn id="2" xr3:uid="{290D1614-F38B-440D-AE10-8D4D5AF0250B}" name="name" dataDxfId="31"/>
    <tableColumn id="22" xr3:uid="{47F6FB63-39E0-4B13-AE03-86B688AF382B}" name="name_capitalized" dataDxfId="30">
      <calculatedColumnFormula>PROPER(C2)</calculatedColumnFormula>
    </tableColumn>
    <tableColumn id="3" xr3:uid="{06F2C2F3-A948-4DAD-BA42-C900238F7FF2}" name="created_at" dataDxfId="29"/>
    <tableColumn id="4" xr3:uid="{8FACCA50-283D-4DCB-A07D-483CA9212F66}" name="launched_at" dataDxfId="28"/>
    <tableColumn id="5" xr3:uid="{26307759-7C94-45CD-944C-28C0EC70294C}" name="deadline" dataDxfId="27"/>
    <tableColumn id="28" xr3:uid="{9D54D205-6CFD-4FD4-8838-147659AFDE66}" name="funding_period" dataDxfId="26">
      <calculatedColumnFormula>G2-F2</calculatedColumnFormula>
    </tableColumn>
    <tableColumn id="29" xr3:uid="{4CAF61C9-5B12-40CB-9C2E-D7CE32265AC6}" name="launched_at_day" dataDxfId="25">
      <calculatedColumnFormula>WEEKDAY(F2, 2)</calculatedColumnFormula>
    </tableColumn>
    <tableColumn id="32" xr3:uid="{8661DDA1-1BBB-486D-BFBC-5BCAFCD7EA84}" name="launch_timing" dataDxfId="24">
      <calculatedColumnFormula>IF(I2&gt;5, "Weekend", "Week Day")</calculatedColumnFormula>
    </tableColumn>
    <tableColumn id="30" xr3:uid="{C960EF91-6253-42E6-8D39-C8176391F074}" name="launched_at_month" dataDxfId="23">
      <calculatedColumnFormula>MONTH(F2)</calculatedColumnFormula>
    </tableColumn>
    <tableColumn id="16" xr3:uid="{A1C8E0AE-607A-4C23-ACB5-5A63D6C4D3A8}" name="exact_match" dataDxfId="22">
      <calculatedColumnFormula>EXACT(E2,F2)</calculatedColumnFormula>
    </tableColumn>
    <tableColumn id="6" xr3:uid="{9C75CE7A-25FE-43AF-9AB0-67BA08BCA13F}" name="backers_count" dataDxfId="21"/>
    <tableColumn id="34" xr3:uid="{99B93636-FD6A-41FA-B252-16D19DB7AB99}" name="backers_count_corrected" dataDxfId="20">
      <calculatedColumnFormula>IF(OR(K2=1,K2=9), IF(AND(W2="Vancouver",AA2="Canada"), M2+5, M2), M2)</calculatedColumnFormula>
    </tableColumn>
    <tableColumn id="7" xr3:uid="{8068A3D9-EAB3-41F9-AFD5-DE9738DF68D6}" name="currency_original" dataDxfId="19"/>
    <tableColumn id="23" xr3:uid="{18CD20D8-ACB1-4A9D-AC47-AC62C92403A8}" name="currency" dataDxfId="18">
      <calculatedColumnFormula>UPPER(O2)</calculatedColumnFormula>
    </tableColumn>
    <tableColumn id="31" xr3:uid="{81A2CAFC-2A76-4031-8347-553213EA8E55}" name="exchange_rate" dataDxfId="17">
      <calculatedColumnFormula>VLOOKUP(P2,'Exchange Rate Table'!A:B,2,FALSE)</calculatedColumnFormula>
    </tableColumn>
    <tableColumn id="8" xr3:uid="{454ECD7D-D7CD-41CA-928D-DDABED47640E}" name="pledged" dataDxfId="16"/>
    <tableColumn id="33" xr3:uid="{A8F94CD8-68DF-4805-A250-5B34C1089A37}" name="pledged_USD" dataDxfId="15">
      <calculatedColumnFormula>Q2*R2</calculatedColumnFormula>
    </tableColumn>
    <tableColumn id="21" xr3:uid="{E5FC467F-C79E-4A6D-944A-456AEF4A98E9}" name="pledged_rounded" dataDxfId="14">
      <calculatedColumnFormula>ROUND(R2, 0)</calculatedColumnFormula>
    </tableColumn>
    <tableColumn id="9" xr3:uid="{56328BC9-7E2E-4650-9544-34895C614A21}" name="goal_USD" dataDxfId="13" dataCellStyle="Currency"/>
    <tableColumn id="20" xr3:uid="{9A060A75-FB4E-410B-8475-A71E745D3EB1}" name="goal_USD_numeric" dataDxfId="12" dataCellStyle="Currency">
      <calculatedColumnFormula>VALUE(U2)</calculatedColumnFormula>
    </tableColumn>
    <tableColumn id="10" xr3:uid="{611DBECD-C4AE-41F1-87E9-88CABA91FBD4}" name="city" dataDxfId="11"/>
    <tableColumn id="11" xr3:uid="{61B013AF-56DC-42EE-A03C-86AADEE33696}" name="state" dataDxfId="10"/>
    <tableColumn id="19" xr3:uid="{D829C922-E45E-4A12-A872-42ED4CECF45A}" name="location" dataDxfId="9">
      <calculatedColumnFormula>CONCATENATE(W2,", ",X2)</calculatedColumnFormula>
    </tableColumn>
    <tableColumn id="12" xr3:uid="{5A04C1F5-BF32-438A-8DDD-D83BDC25CAED}" name="country" dataDxfId="8"/>
    <tableColumn id="17" xr3:uid="{9D0A81F5-3326-40A2-9A2F-FD9433A24421}" name="country_trimmed" dataDxfId="7">
      <calculatedColumnFormula>TRIM(Z2)</calculatedColumnFormula>
    </tableColumn>
    <tableColumn id="13" xr3:uid="{3C9E6D09-1A73-489C-B388-75685B8C3B29}" name="source_url" dataDxfId="6"/>
    <tableColumn id="25" xr3:uid="{E679CA9F-F2CF-4328-8A46-2F6E634F0D5D}" name="source_url_length" dataDxfId="5">
      <calculatedColumnFormula>LEN("https://www.kickstarter.com/discover/categories/games/")</calculatedColumnFormula>
    </tableColumn>
    <tableColumn id="26" xr3:uid="{047AD6C3-6667-4646-9A3A-FDE2CCFC2BF1}" name="source_url_category" dataDxfId="4">
      <calculatedColumnFormula>RIGHT(AB2,LEN(AB2)-54)</calculatedColumnFormula>
    </tableColumn>
    <tableColumn id="27" xr3:uid="{96582B0F-BB75-4749-830C-55A6A97E42D1}" name="source_url_category_cleaned" dataDxfId="3">
      <calculatedColumnFormula>SUBSTITUTE(AD2,"%20"," ")</calculatedColumnFormula>
    </tableColumn>
    <tableColumn id="14" xr3:uid="{8F18BC5F-E584-4BCA-8250-88E88F2E034C}" name="staff_pick" dataDxfId="2"/>
    <tableColumn id="24" xr3:uid="{70005BB1-FCAC-486D-B5AB-789BB26D2765}" name="staff_pick_lower" dataDxfId="1">
      <calculatedColumnFormula>LOWER(AF2)</calculatedColumnFormula>
    </tableColumn>
    <tableColumn id="15" xr3:uid="{CEDBFF08-C076-41EA-8E89-39C0B7EA1BE7}" name="status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EDCBEA-ECFF-41A7-B616-C44DD9164ED3}" name="Table3" displayName="Table3" ref="A1:B15" totalsRowShown="0">
  <autoFilter ref="A1:B15" xr:uid="{7AA1DC6B-BA1E-42BF-927D-57414574A0C8}"/>
  <tableColumns count="2">
    <tableColumn id="1" xr3:uid="{82508AB7-E4F4-4741-BEE2-A5561C2465F7}" name="currency"/>
    <tableColumn id="2" xr3:uid="{EFBC9D27-20B6-44F6-B6F9-9E45CDF1AEF3}" name="exchange_r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0"/>
  <sheetViews>
    <sheetView tabSelected="1" topLeftCell="AB1" workbookViewId="0">
      <selection activeCell="AN22" sqref="AN22"/>
    </sheetView>
  </sheetViews>
  <sheetFormatPr defaultRowHeight="15"/>
  <cols>
    <col min="1" max="2" width="13.42578125" customWidth="1"/>
    <col min="3" max="3" width="62" bestFit="1" customWidth="1"/>
    <col min="4" max="4" width="62" customWidth="1"/>
    <col min="5" max="5" width="16.140625" customWidth="1"/>
    <col min="6" max="6" width="17.5703125" customWidth="1"/>
    <col min="7" max="7" width="13.85546875" customWidth="1"/>
    <col min="8" max="8" width="18.5703125" style="13" customWidth="1"/>
    <col min="9" max="10" width="20.140625" style="13" customWidth="1"/>
    <col min="11" max="11" width="21.140625" style="13" customWidth="1"/>
    <col min="12" max="12" width="16.42578125" customWidth="1"/>
    <col min="13" max="13" width="19.85546875" customWidth="1"/>
    <col min="14" max="14" width="28.7109375" bestFit="1" customWidth="1"/>
    <col min="15" max="15" width="21" customWidth="1"/>
    <col min="16" max="17" width="20.140625" customWidth="1"/>
    <col min="18" max="18" width="13" customWidth="1"/>
    <col min="19" max="19" width="19.7109375" customWidth="1"/>
    <col min="20" max="20" width="21" bestFit="1" customWidth="1"/>
    <col min="21" max="21" width="14.85546875" customWidth="1"/>
    <col min="22" max="22" width="22.42578125" customWidth="1"/>
    <col min="23" max="23" width="21.28515625" bestFit="1" customWidth="1"/>
    <col min="24" max="24" width="24" bestFit="1" customWidth="1"/>
    <col min="25" max="25" width="24" customWidth="1"/>
    <col min="26" max="26" width="16.85546875" bestFit="1" customWidth="1"/>
    <col min="27" max="27" width="22" customWidth="1"/>
    <col min="28" max="28" width="71.5703125" bestFit="1" customWidth="1"/>
    <col min="29" max="30" width="23.28515625" customWidth="1"/>
    <col min="31" max="31" width="32.7109375" bestFit="1" customWidth="1"/>
    <col min="32" max="32" width="15.140625" customWidth="1"/>
    <col min="33" max="33" width="19.7109375" customWidth="1"/>
    <col min="34" max="34" width="11.5703125" customWidth="1"/>
    <col min="36" max="36" width="23.28515625" customWidth="1"/>
    <col min="37" max="37" width="23.42578125" customWidth="1"/>
    <col min="39" max="39" width="29" customWidth="1"/>
    <col min="40" max="40" width="14.42578125" customWidth="1"/>
  </cols>
  <sheetData>
    <row r="1" spans="1:41" ht="15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J1" s="19" t="s">
        <v>34</v>
      </c>
      <c r="AK1" s="19" t="s">
        <v>35</v>
      </c>
      <c r="AL1" s="16"/>
      <c r="AM1" s="15"/>
      <c r="AN1" s="16"/>
      <c r="AO1" s="16"/>
    </row>
    <row r="2" spans="1:41">
      <c r="A2" s="5">
        <v>12846160</v>
      </c>
      <c r="B2" s="5" t="str">
        <f>TEXT(A2,"00000000")</f>
        <v>12846160</v>
      </c>
      <c r="C2" t="s">
        <v>36</v>
      </c>
      <c r="D2" t="str">
        <f>PROPER(C2)</f>
        <v>Hex Tile Content Add-Ons For Mapforge Map-Making Software</v>
      </c>
      <c r="E2" s="6">
        <v>43521</v>
      </c>
      <c r="F2" s="6">
        <v>43549</v>
      </c>
      <c r="G2" s="6">
        <v>43609</v>
      </c>
      <c r="H2" s="13">
        <f>G2-F2</f>
        <v>60</v>
      </c>
      <c r="I2" s="13">
        <f t="shared" ref="I2:I33" si="0">WEEKDAY(F2, 2)</f>
        <v>1</v>
      </c>
      <c r="J2" s="13" t="str">
        <f t="shared" ref="J2:J33" si="1">IF(I2&gt;5, "Weekend", "Week Day")</f>
        <v>Week Day</v>
      </c>
      <c r="K2" s="13">
        <f>MONTH(F2)</f>
        <v>3</v>
      </c>
      <c r="L2" s="6" t="b">
        <f>EXACT(E2,F2)</f>
        <v>0</v>
      </c>
      <c r="M2">
        <v>138</v>
      </c>
      <c r="N2">
        <f t="shared" ref="N2:N33" si="2">IF(OR(K2=1,K2=9), IF(AND(W2="Vancouver",AA2="Canada"), M2+5, M2), M2)</f>
        <v>138</v>
      </c>
      <c r="O2" t="s">
        <v>37</v>
      </c>
      <c r="P2" t="str">
        <f>UPPER(O2)</f>
        <v>USD</v>
      </c>
      <c r="Q2">
        <f>VLOOKUP(P2,'Exchange Rate Table'!A:B,2,FALSE)</f>
        <v>1</v>
      </c>
      <c r="R2">
        <v>15047</v>
      </c>
      <c r="S2">
        <f>Q2*R2</f>
        <v>15047</v>
      </c>
      <c r="T2">
        <f>ROUND(R2, 0)</f>
        <v>15047</v>
      </c>
      <c r="U2" s="7" t="s">
        <v>38</v>
      </c>
      <c r="V2">
        <f>VALUE(U2)</f>
        <v>15000</v>
      </c>
      <c r="W2" t="s">
        <v>39</v>
      </c>
      <c r="X2" t="s">
        <v>40</v>
      </c>
      <c r="Y2" t="str">
        <f>CONCATENATE(W2,", ",X2)</f>
        <v>Orlando, FL</v>
      </c>
      <c r="Z2" t="s">
        <v>41</v>
      </c>
      <c r="AA2" t="str">
        <f>TRIM(Z2)</f>
        <v>United States</v>
      </c>
      <c r="AB2" t="s">
        <v>42</v>
      </c>
      <c r="AC2">
        <f>LEN("https://www.kickstarter.com/discover/categories/games/")</f>
        <v>54</v>
      </c>
      <c r="AD2" t="str">
        <f>RIGHT(AB2,LEN(AB2)-54)</f>
        <v>live%20games</v>
      </c>
      <c r="AE2" t="str">
        <f>SUBSTITUTE(AD2,"%20"," ")</f>
        <v>live games</v>
      </c>
      <c r="AF2" s="8" t="b">
        <v>0</v>
      </c>
      <c r="AG2" s="8" t="str">
        <f>LOWER(AF2)</f>
        <v>false</v>
      </c>
      <c r="AH2" t="s">
        <v>43</v>
      </c>
      <c r="AJ2" s="18" cm="1">
        <f t="array" ref="AJ2:AJ153">_xlfn._xlws.SORT(R2:R153)</f>
        <v>1</v>
      </c>
      <c r="AK2" s="17" cm="1">
        <f t="array" ref="AK2:AK18">_xlfn._xlws.SORT(_xlfn._xlws.FILTER(R2:R153,R2:R153&gt;100000),1,-1)</f>
        <v>3542035.74</v>
      </c>
      <c r="AL2" s="16"/>
      <c r="AM2" s="20" t="s">
        <v>44</v>
      </c>
      <c r="AN2" s="17">
        <f>COUNTA(D2:G153)</f>
        <v>601</v>
      </c>
      <c r="AO2" s="16"/>
    </row>
    <row r="3" spans="1:41">
      <c r="A3" s="5">
        <v>13547406</v>
      </c>
      <c r="B3" s="5" t="str">
        <f t="shared" ref="B3:B66" si="3">TEXT(A3,"00000000")</f>
        <v>13547406</v>
      </c>
      <c r="C3" t="s">
        <v>45</v>
      </c>
      <c r="D3" t="str">
        <f>PROPER(C3)</f>
        <v>Epic Stuff Library Vol 4: D&amp;D 5E/Pathfinder Adaptable.</v>
      </c>
      <c r="E3" s="6">
        <v>43478</v>
      </c>
      <c r="F3" s="6">
        <v>43491</v>
      </c>
      <c r="G3" s="6">
        <v>43526</v>
      </c>
      <c r="H3" s="13">
        <f>G3-F3</f>
        <v>35</v>
      </c>
      <c r="I3" s="13">
        <f t="shared" si="0"/>
        <v>6</v>
      </c>
      <c r="J3" s="13" t="str">
        <f t="shared" si="1"/>
        <v>Weekend</v>
      </c>
      <c r="K3" s="13">
        <f>MONTH(F3)</f>
        <v>1</v>
      </c>
      <c r="L3" s="6" t="b">
        <f>EXACT(E3,F3)</f>
        <v>0</v>
      </c>
      <c r="M3">
        <v>1</v>
      </c>
      <c r="N3">
        <f t="shared" si="2"/>
        <v>1</v>
      </c>
      <c r="O3" t="s">
        <v>37</v>
      </c>
      <c r="P3" t="str">
        <f>UPPER(O3)</f>
        <v>USD</v>
      </c>
      <c r="Q3">
        <f>VLOOKUP(P3,'Exchange Rate Table'!A:B,2,FALSE)</f>
        <v>1</v>
      </c>
      <c r="R3">
        <v>1</v>
      </c>
      <c r="S3">
        <f>Q3*R3</f>
        <v>1</v>
      </c>
      <c r="T3">
        <f>ROUND(R3, 0)</f>
        <v>1</v>
      </c>
      <c r="U3" s="7" t="s">
        <v>46</v>
      </c>
      <c r="V3">
        <f>VALUE(U3)</f>
        <v>28000</v>
      </c>
      <c r="W3" t="s">
        <v>47</v>
      </c>
      <c r="X3" t="s">
        <v>48</v>
      </c>
      <c r="Y3" t="str">
        <f>CONCATENATE(W3,", ",X3)</f>
        <v>Arlington, VA</v>
      </c>
      <c r="Z3" t="s">
        <v>41</v>
      </c>
      <c r="AA3" t="str">
        <f>TRIM(Z3)</f>
        <v>United States</v>
      </c>
      <c r="AB3" t="s">
        <v>49</v>
      </c>
      <c r="AC3">
        <f>LEN("https://www.kickstarter.com/discover/categories/games/")</f>
        <v>54</v>
      </c>
      <c r="AD3" t="str">
        <f>RIGHT(AB3,LEN(AB3)-54)</f>
        <v>mobile%20games</v>
      </c>
      <c r="AE3" t="str">
        <f>SUBSTITUTE(AD3,"%20"," ")</f>
        <v>mobile games</v>
      </c>
      <c r="AF3" s="8" t="b">
        <v>0</v>
      </c>
      <c r="AG3" s="8" t="str">
        <f>LOWER(AF3)</f>
        <v>false</v>
      </c>
      <c r="AH3" t="s">
        <v>50</v>
      </c>
      <c r="AJ3" s="18">
        <v>1</v>
      </c>
      <c r="AK3" s="17">
        <v>3410084.24</v>
      </c>
      <c r="AL3" s="16"/>
      <c r="AM3" s="20" t="s">
        <v>51</v>
      </c>
      <c r="AN3" s="17">
        <f>COUNTBLANK(A2:AH153)</f>
        <v>16</v>
      </c>
      <c r="AO3" s="16"/>
    </row>
    <row r="4" spans="1:41">
      <c r="A4" s="5">
        <v>20761861</v>
      </c>
      <c r="B4" s="5" t="str">
        <f t="shared" si="3"/>
        <v>20761861</v>
      </c>
      <c r="C4" t="s">
        <v>52</v>
      </c>
      <c r="D4" t="str">
        <f>PROPER(C4)</f>
        <v>Our House: The Lore Driven Card Game</v>
      </c>
      <c r="E4" s="6">
        <v>43504</v>
      </c>
      <c r="F4" s="6">
        <v>43504</v>
      </c>
      <c r="G4" s="6">
        <v>43534</v>
      </c>
      <c r="H4" s="13">
        <f>G4-F4</f>
        <v>30</v>
      </c>
      <c r="I4" s="13">
        <f t="shared" si="0"/>
        <v>5</v>
      </c>
      <c r="J4" s="13" t="str">
        <f t="shared" si="1"/>
        <v>Week Day</v>
      </c>
      <c r="K4" s="13">
        <f>MONTH(F4)</f>
        <v>2</v>
      </c>
      <c r="L4" s="6" t="b">
        <f>EXACT(E4,F4)</f>
        <v>1</v>
      </c>
      <c r="M4">
        <v>170</v>
      </c>
      <c r="N4">
        <f t="shared" si="2"/>
        <v>170</v>
      </c>
      <c r="O4" t="s">
        <v>53</v>
      </c>
      <c r="P4" t="str">
        <f>UPPER(O4)</f>
        <v>GBP</v>
      </c>
      <c r="Q4">
        <f>VLOOKUP(P4,'Exchange Rate Table'!A:B,2,FALSE)</f>
        <v>1.49576325</v>
      </c>
      <c r="R4">
        <v>6324</v>
      </c>
      <c r="S4">
        <f>Q4*R4</f>
        <v>9459.2067929999994</v>
      </c>
      <c r="T4">
        <f>ROUND(R4, 0)</f>
        <v>6324</v>
      </c>
      <c r="U4" s="7" t="s">
        <v>54</v>
      </c>
      <c r="V4">
        <f>VALUE(U4)</f>
        <v>2000</v>
      </c>
      <c r="W4" t="s">
        <v>55</v>
      </c>
      <c r="X4" t="s">
        <v>56</v>
      </c>
      <c r="Y4" t="str">
        <f>CONCATENATE(W4,", ",X4)</f>
        <v>Nottingham, England</v>
      </c>
      <c r="Z4" t="s">
        <v>57</v>
      </c>
      <c r="AA4" t="str">
        <f>TRIM(Z4)</f>
        <v>United Kingdom</v>
      </c>
      <c r="AB4" t="s">
        <v>58</v>
      </c>
      <c r="AC4">
        <f>LEN("https://www.kickstarter.com/discover/categories/games/")</f>
        <v>54</v>
      </c>
      <c r="AD4" t="str">
        <f>RIGHT(AB4,LEN(AB4)-54)</f>
        <v>tabletop%20games</v>
      </c>
      <c r="AE4" t="str">
        <f>SUBSTITUTE(AD4,"%20"," ")</f>
        <v>tabletop games</v>
      </c>
      <c r="AF4" s="8" t="b">
        <v>0</v>
      </c>
      <c r="AG4" s="8" t="str">
        <f>LOWER(AF4)</f>
        <v>false</v>
      </c>
      <c r="AH4" t="s">
        <v>43</v>
      </c>
      <c r="AJ4" s="18">
        <v>1</v>
      </c>
      <c r="AK4" s="17">
        <v>1367901.33</v>
      </c>
      <c r="AL4" s="16"/>
      <c r="AM4" s="16"/>
      <c r="AN4" s="16"/>
      <c r="AO4" s="16"/>
    </row>
    <row r="5" spans="1:41">
      <c r="A5" s="5">
        <v>30059044</v>
      </c>
      <c r="B5" s="5" t="str">
        <f t="shared" si="3"/>
        <v>30059044</v>
      </c>
      <c r="C5" t="s">
        <v>59</v>
      </c>
      <c r="D5" t="str">
        <f>PROPER(C5)</f>
        <v>Zombicide: 2Nd Edition</v>
      </c>
      <c r="E5" s="6">
        <v>43676</v>
      </c>
      <c r="F5" s="6">
        <v>43721</v>
      </c>
      <c r="G5" s="6">
        <v>43746</v>
      </c>
      <c r="H5" s="13">
        <f>G5-F5</f>
        <v>25</v>
      </c>
      <c r="I5" s="13">
        <f t="shared" si="0"/>
        <v>5</v>
      </c>
      <c r="J5" s="13" t="str">
        <f t="shared" si="1"/>
        <v>Week Day</v>
      </c>
      <c r="K5" s="13">
        <f>MONTH(F5)</f>
        <v>9</v>
      </c>
      <c r="L5" s="6" t="b">
        <f>EXACT(E5,F5)</f>
        <v>0</v>
      </c>
      <c r="M5">
        <v>45</v>
      </c>
      <c r="N5">
        <f t="shared" si="2"/>
        <v>50</v>
      </c>
      <c r="O5" t="s">
        <v>60</v>
      </c>
      <c r="P5" t="str">
        <f>UPPER(O5)</f>
        <v>CAD</v>
      </c>
      <c r="Q5">
        <f>VLOOKUP(P5,'Exchange Rate Table'!A:B,2,FALSE)</f>
        <v>0.76932900999999998</v>
      </c>
      <c r="R5">
        <v>4408.29</v>
      </c>
      <c r="S5">
        <f>Q5*R5</f>
        <v>3391.4253814928998</v>
      </c>
      <c r="T5">
        <f>ROUND(R5, 0)</f>
        <v>4408</v>
      </c>
      <c r="U5" s="7" t="s">
        <v>61</v>
      </c>
      <c r="V5">
        <f>VALUE(U5)</f>
        <v>3300</v>
      </c>
      <c r="W5" t="s">
        <v>62</v>
      </c>
      <c r="X5" t="s">
        <v>63</v>
      </c>
      <c r="Y5" t="str">
        <f>CONCATENATE(W5,", ",X5)</f>
        <v>Vancouver, BC</v>
      </c>
      <c r="Z5" t="s">
        <v>64</v>
      </c>
      <c r="AA5" t="str">
        <f>TRIM(Z5)</f>
        <v>Canada</v>
      </c>
      <c r="AB5" t="s">
        <v>58</v>
      </c>
      <c r="AC5">
        <f>LEN("https://www.kickstarter.com/discover/categories/games/")</f>
        <v>54</v>
      </c>
      <c r="AD5" t="str">
        <f>RIGHT(AB5,LEN(AB5)-54)</f>
        <v>tabletop%20games</v>
      </c>
      <c r="AE5" t="str">
        <f>SUBSTITUTE(AD5,"%20"," ")</f>
        <v>tabletop games</v>
      </c>
      <c r="AF5" s="8" t="b">
        <v>0</v>
      </c>
      <c r="AG5" s="8" t="str">
        <f>LOWER(AF5)</f>
        <v>false</v>
      </c>
      <c r="AH5" t="s">
        <v>43</v>
      </c>
      <c r="AJ5" s="18">
        <v>1</v>
      </c>
      <c r="AK5" s="17">
        <v>528786</v>
      </c>
      <c r="AL5" s="16"/>
      <c r="AM5" s="20" t="s">
        <v>65</v>
      </c>
      <c r="AN5" s="17">
        <f>MIN(V2:V153)</f>
        <v>1</v>
      </c>
      <c r="AO5" s="16"/>
    </row>
    <row r="6" spans="1:41">
      <c r="A6" s="5">
        <v>49752892</v>
      </c>
      <c r="B6" s="5" t="str">
        <f t="shared" si="3"/>
        <v>49752892</v>
      </c>
      <c r="C6" t="s">
        <v>66</v>
      </c>
      <c r="D6" t="str">
        <f>PROPER(C6)</f>
        <v>Longest Number Ever Written</v>
      </c>
      <c r="E6" s="6">
        <v>43471</v>
      </c>
      <c r="F6" s="6">
        <v>43622</v>
      </c>
      <c r="G6" s="6">
        <v>43652</v>
      </c>
      <c r="H6" s="13">
        <f>G6-F6</f>
        <v>30</v>
      </c>
      <c r="I6" s="13">
        <f t="shared" si="0"/>
        <v>4</v>
      </c>
      <c r="J6" s="13" t="str">
        <f t="shared" si="1"/>
        <v>Week Day</v>
      </c>
      <c r="K6" s="13">
        <f>MONTH(F6)</f>
        <v>6</v>
      </c>
      <c r="L6" s="6" t="b">
        <f>EXACT(E6,F6)</f>
        <v>0</v>
      </c>
      <c r="M6">
        <v>250</v>
      </c>
      <c r="N6">
        <f t="shared" si="2"/>
        <v>250</v>
      </c>
      <c r="O6" t="s">
        <v>37</v>
      </c>
      <c r="P6" t="str">
        <f>UPPER(O6)</f>
        <v>USD</v>
      </c>
      <c r="Q6">
        <f>VLOOKUP(P6,'Exchange Rate Table'!A:B,2,FALSE)</f>
        <v>1</v>
      </c>
      <c r="R6">
        <v>6341</v>
      </c>
      <c r="S6">
        <f>Q6*R6</f>
        <v>6341</v>
      </c>
      <c r="T6">
        <f>ROUND(R6, 0)</f>
        <v>6341</v>
      </c>
      <c r="U6" s="7" t="s">
        <v>67</v>
      </c>
      <c r="V6">
        <f>VALUE(U6)</f>
        <v>2500</v>
      </c>
      <c r="W6" t="s">
        <v>68</v>
      </c>
      <c r="X6" t="s">
        <v>69</v>
      </c>
      <c r="Y6" t="str">
        <f>CONCATENATE(W6,", ",X6)</f>
        <v>Los Gatos, CA</v>
      </c>
      <c r="Z6" t="s">
        <v>41</v>
      </c>
      <c r="AA6" t="str">
        <f>TRIM(Z6)</f>
        <v>United States</v>
      </c>
      <c r="AB6" t="s">
        <v>70</v>
      </c>
      <c r="AC6">
        <f>LEN("https://www.kickstarter.com/discover/categories/games/")</f>
        <v>54</v>
      </c>
      <c r="AD6" t="str">
        <f>RIGHT(AB6,LEN(AB6)-54)</f>
        <v>playing%20cards</v>
      </c>
      <c r="AE6" t="str">
        <f>SUBSTITUTE(AD6,"%20"," ")</f>
        <v>playing cards</v>
      </c>
      <c r="AF6" s="8" t="b">
        <v>0</v>
      </c>
      <c r="AG6" s="8" t="str">
        <f>LOWER(AF6)</f>
        <v>false</v>
      </c>
      <c r="AH6" t="s">
        <v>43</v>
      </c>
      <c r="AJ6" s="18">
        <v>1.29</v>
      </c>
      <c r="AK6" s="17">
        <v>431368.21</v>
      </c>
      <c r="AL6" s="16"/>
      <c r="AM6" s="16"/>
      <c r="AN6" s="16"/>
      <c r="AO6" s="16"/>
    </row>
    <row r="7" spans="1:41">
      <c r="A7" s="5">
        <v>52444976</v>
      </c>
      <c r="B7" s="5" t="str">
        <f t="shared" si="3"/>
        <v>52444976</v>
      </c>
      <c r="C7" t="s">
        <v>71</v>
      </c>
      <c r="D7" t="str">
        <f>PROPER(C7)</f>
        <v>Dead+Gone: A Competitive Horror Game</v>
      </c>
      <c r="E7" s="6">
        <v>43466</v>
      </c>
      <c r="F7" s="6">
        <v>43511</v>
      </c>
      <c r="G7" s="6">
        <v>43527</v>
      </c>
      <c r="H7" s="13">
        <f>G7-F7</f>
        <v>16</v>
      </c>
      <c r="I7" s="13">
        <f t="shared" si="0"/>
        <v>5</v>
      </c>
      <c r="J7" s="13" t="str">
        <f t="shared" si="1"/>
        <v>Week Day</v>
      </c>
      <c r="K7" s="13">
        <f>MONTH(F7)</f>
        <v>2</v>
      </c>
      <c r="L7" s="6" t="b">
        <f>EXACT(E7,F7)</f>
        <v>0</v>
      </c>
      <c r="M7">
        <v>667</v>
      </c>
      <c r="N7">
        <f t="shared" si="2"/>
        <v>667</v>
      </c>
      <c r="O7" t="s">
        <v>72</v>
      </c>
      <c r="P7" t="str">
        <f>UPPER(O7)</f>
        <v>EUR</v>
      </c>
      <c r="Q7">
        <f>VLOOKUP(P7,'Exchange Rate Table'!A:B,2,FALSE)</f>
        <v>1.16955371</v>
      </c>
      <c r="R7">
        <v>50384</v>
      </c>
      <c r="S7">
        <f>Q7*R7</f>
        <v>58926.794124640001</v>
      </c>
      <c r="T7">
        <f>ROUND(R7, 0)</f>
        <v>50384</v>
      </c>
      <c r="U7" s="7" t="s">
        <v>73</v>
      </c>
      <c r="V7">
        <f>VALUE(U7)</f>
        <v>17000</v>
      </c>
      <c r="W7" t="s">
        <v>74</v>
      </c>
      <c r="X7" t="s">
        <v>75</v>
      </c>
      <c r="Y7" t="str">
        <f>CONCATENATE(W7,", ",X7)</f>
        <v>Lentate sul Seveso, Lombardy</v>
      </c>
      <c r="Z7" t="s">
        <v>76</v>
      </c>
      <c r="AA7" t="str">
        <f>TRIM(Z7)</f>
        <v>Italy</v>
      </c>
      <c r="AB7" t="s">
        <v>70</v>
      </c>
      <c r="AC7">
        <f>LEN("https://www.kickstarter.com/discover/categories/games/")</f>
        <v>54</v>
      </c>
      <c r="AD7" t="str">
        <f>RIGHT(AB7,LEN(AB7)-54)</f>
        <v>playing%20cards</v>
      </c>
      <c r="AE7" t="str">
        <f>SUBSTITUTE(AD7,"%20"," ")</f>
        <v>playing cards</v>
      </c>
      <c r="AF7" s="8" t="b">
        <v>0</v>
      </c>
      <c r="AG7" s="8" t="str">
        <f>LOWER(AF7)</f>
        <v>false</v>
      </c>
      <c r="AJ7" s="18">
        <v>2</v>
      </c>
      <c r="AK7" s="17">
        <v>389552</v>
      </c>
      <c r="AL7" s="16"/>
      <c r="AM7" s="22" t="s">
        <v>77</v>
      </c>
      <c r="AO7" s="16"/>
    </row>
    <row r="8" spans="1:41">
      <c r="A8" s="5">
        <v>61166675</v>
      </c>
      <c r="B8" s="5" t="str">
        <f t="shared" si="3"/>
        <v>61166675</v>
      </c>
      <c r="C8" t="s">
        <v>78</v>
      </c>
      <c r="D8" t="str">
        <f>PROPER(C8)</f>
        <v>The Oracle Of Heaven And Hell</v>
      </c>
      <c r="E8" s="6">
        <v>43467</v>
      </c>
      <c r="F8" s="6">
        <v>43503</v>
      </c>
      <c r="G8" s="6">
        <v>43523</v>
      </c>
      <c r="H8" s="13">
        <f>G8-F8</f>
        <v>20</v>
      </c>
      <c r="I8" s="13">
        <f t="shared" si="0"/>
        <v>4</v>
      </c>
      <c r="J8" s="13" t="str">
        <f t="shared" si="1"/>
        <v>Week Day</v>
      </c>
      <c r="K8" s="13">
        <f>MONTH(F8)</f>
        <v>2</v>
      </c>
      <c r="L8" s="6" t="b">
        <f>EXACT(E8,F8)</f>
        <v>0</v>
      </c>
      <c r="M8">
        <v>243</v>
      </c>
      <c r="N8">
        <f t="shared" si="2"/>
        <v>243</v>
      </c>
      <c r="O8" t="s">
        <v>37</v>
      </c>
      <c r="P8" t="str">
        <f>UPPER(O8)</f>
        <v>USD</v>
      </c>
      <c r="Q8">
        <f>VLOOKUP(P8,'Exchange Rate Table'!A:B,2,FALSE)</f>
        <v>1</v>
      </c>
      <c r="R8">
        <v>7402</v>
      </c>
      <c r="S8">
        <f>Q8*R8</f>
        <v>7402</v>
      </c>
      <c r="T8">
        <f>ROUND(R8, 0)</f>
        <v>7402</v>
      </c>
      <c r="U8" s="7" t="s">
        <v>79</v>
      </c>
      <c r="V8">
        <f>VALUE(U8)</f>
        <v>5000</v>
      </c>
      <c r="W8" t="s">
        <v>80</v>
      </c>
      <c r="X8" t="s">
        <v>81</v>
      </c>
      <c r="Y8" t="str">
        <f>CONCATENATE(W8,", ",X8)</f>
        <v>Phoenix, AZ</v>
      </c>
      <c r="Z8" t="s">
        <v>41</v>
      </c>
      <c r="AA8" t="str">
        <f>TRIM(Z8)</f>
        <v>United States</v>
      </c>
      <c r="AB8" t="s">
        <v>58</v>
      </c>
      <c r="AC8">
        <f>LEN("https://www.kickstarter.com/discover/categories/games/")</f>
        <v>54</v>
      </c>
      <c r="AD8" t="str">
        <f>RIGHT(AB8,LEN(AB8)-54)</f>
        <v>tabletop%20games</v>
      </c>
      <c r="AE8" t="str">
        <f>SUBSTITUTE(AD8,"%20"," ")</f>
        <v>tabletop games</v>
      </c>
      <c r="AF8" s="8" t="b">
        <v>0</v>
      </c>
      <c r="AG8" s="8" t="str">
        <f>LOWER(AF8)</f>
        <v>false</v>
      </c>
      <c r="AH8" t="s">
        <v>43</v>
      </c>
      <c r="AJ8" s="18">
        <v>2</v>
      </c>
      <c r="AK8" s="17">
        <v>358133</v>
      </c>
      <c r="AL8" s="16"/>
      <c r="AM8" s="21" t="s">
        <v>82</v>
      </c>
      <c r="AN8" s="17">
        <f>SUM(M2:M153)</f>
        <v>134773</v>
      </c>
      <c r="AO8" s="16"/>
    </row>
    <row r="9" spans="1:41">
      <c r="A9" s="5">
        <v>63381877</v>
      </c>
      <c r="B9" s="5" t="str">
        <f t="shared" si="3"/>
        <v>63381877</v>
      </c>
      <c r="C9" t="s">
        <v>83</v>
      </c>
      <c r="D9" t="str">
        <f>PROPER(C9)</f>
        <v>Dwarf Board Game</v>
      </c>
      <c r="E9" s="6">
        <v>43469</v>
      </c>
      <c r="F9" s="6">
        <v>43497</v>
      </c>
      <c r="G9" s="6">
        <v>43525</v>
      </c>
      <c r="H9" s="13">
        <f>G9-F9</f>
        <v>28</v>
      </c>
      <c r="I9" s="13">
        <f t="shared" si="0"/>
        <v>5</v>
      </c>
      <c r="J9" s="13" t="str">
        <f t="shared" si="1"/>
        <v>Week Day</v>
      </c>
      <c r="K9" s="13">
        <f>MONTH(F9)</f>
        <v>2</v>
      </c>
      <c r="L9" s="6" t="b">
        <f>EXACT(E9,F9)</f>
        <v>0</v>
      </c>
      <c r="M9">
        <v>144</v>
      </c>
      <c r="N9">
        <f t="shared" si="2"/>
        <v>144</v>
      </c>
      <c r="O9" t="s">
        <v>37</v>
      </c>
      <c r="P9" t="str">
        <f>UPPER(O9)</f>
        <v>USD</v>
      </c>
      <c r="Q9">
        <f>VLOOKUP(P9,'Exchange Rate Table'!A:B,2,FALSE)</f>
        <v>1</v>
      </c>
      <c r="R9">
        <v>1816</v>
      </c>
      <c r="S9">
        <f>Q9*R9</f>
        <v>1816</v>
      </c>
      <c r="T9">
        <f>ROUND(R9, 0)</f>
        <v>1816</v>
      </c>
      <c r="U9" s="7" t="s">
        <v>84</v>
      </c>
      <c r="V9">
        <f>VALUE(U9)</f>
        <v>1800</v>
      </c>
      <c r="W9" t="s">
        <v>85</v>
      </c>
      <c r="X9" t="s">
        <v>69</v>
      </c>
      <c r="Y9" t="str">
        <f>CONCATENATE(W9,", ",X9)</f>
        <v>Los Angeles, CA</v>
      </c>
      <c r="Z9" t="s">
        <v>41</v>
      </c>
      <c r="AA9" t="str">
        <f>TRIM(Z9)</f>
        <v>United States</v>
      </c>
      <c r="AB9" t="s">
        <v>58</v>
      </c>
      <c r="AC9">
        <f>LEN("https://www.kickstarter.com/discover/categories/games/")</f>
        <v>54</v>
      </c>
      <c r="AD9" t="str">
        <f>RIGHT(AB9,LEN(AB9)-54)</f>
        <v>tabletop%20games</v>
      </c>
      <c r="AE9" t="str">
        <f>SUBSTITUTE(AD9,"%20"," ")</f>
        <v>tabletop games</v>
      </c>
      <c r="AF9" s="8" t="b">
        <v>1</v>
      </c>
      <c r="AG9" s="8" t="str">
        <f>LOWER(AF9)</f>
        <v>true</v>
      </c>
      <c r="AH9" t="s">
        <v>43</v>
      </c>
      <c r="AJ9" s="18">
        <v>4</v>
      </c>
      <c r="AK9" s="17">
        <v>265211.90999999997</v>
      </c>
      <c r="AL9" s="16"/>
      <c r="AM9" s="20" t="s">
        <v>86</v>
      </c>
      <c r="AN9" s="17">
        <f>MIN(M2:M153)</f>
        <v>1</v>
      </c>
      <c r="AO9" s="16"/>
    </row>
    <row r="10" spans="1:41">
      <c r="A10" s="5">
        <v>92129914</v>
      </c>
      <c r="B10" s="5" t="str">
        <f t="shared" si="3"/>
        <v>92129914</v>
      </c>
      <c r="C10" t="s">
        <v>87</v>
      </c>
      <c r="D10" t="str">
        <f>PROPER(C10)</f>
        <v>Traveller Fifth Edition</v>
      </c>
      <c r="E10" s="6">
        <v>43472</v>
      </c>
      <c r="F10" s="6">
        <v>43550</v>
      </c>
      <c r="G10" s="6">
        <v>43587</v>
      </c>
      <c r="H10" s="13">
        <f>G10-F10</f>
        <v>37</v>
      </c>
      <c r="I10" s="13">
        <f t="shared" si="0"/>
        <v>2</v>
      </c>
      <c r="J10" s="13" t="str">
        <f t="shared" si="1"/>
        <v>Week Day</v>
      </c>
      <c r="K10" s="13">
        <f>MONTH(F10)</f>
        <v>3</v>
      </c>
      <c r="L10" s="6" t="b">
        <f>EXACT(E10,F10)</f>
        <v>0</v>
      </c>
      <c r="M10">
        <v>4009</v>
      </c>
      <c r="N10">
        <f t="shared" si="2"/>
        <v>4009</v>
      </c>
      <c r="O10" t="s">
        <v>37</v>
      </c>
      <c r="P10" t="str">
        <f>UPPER(O10)</f>
        <v>USD</v>
      </c>
      <c r="Q10">
        <f>VLOOKUP(P10,'Exchange Rate Table'!A:B,2,FALSE)</f>
        <v>1</v>
      </c>
      <c r="R10">
        <v>109565.5</v>
      </c>
      <c r="S10">
        <f>Q10*R10</f>
        <v>109565.5</v>
      </c>
      <c r="T10">
        <f>ROUND(R10, 0)</f>
        <v>109566</v>
      </c>
      <c r="U10" s="7" t="s">
        <v>88</v>
      </c>
      <c r="V10">
        <f>VALUE(U10)</f>
        <v>15013</v>
      </c>
      <c r="W10" t="s">
        <v>47</v>
      </c>
      <c r="X10" t="s">
        <v>48</v>
      </c>
      <c r="Y10" t="str">
        <f>CONCATENATE(W10,", ",X10)</f>
        <v>Arlington, VA</v>
      </c>
      <c r="Z10" t="s">
        <v>41</v>
      </c>
      <c r="AA10" t="str">
        <f>TRIM(Z10)</f>
        <v>United States</v>
      </c>
      <c r="AB10" t="s">
        <v>58</v>
      </c>
      <c r="AC10">
        <f>LEN("https://www.kickstarter.com/discover/categories/games/")</f>
        <v>54</v>
      </c>
      <c r="AD10" t="str">
        <f>RIGHT(AB10,LEN(AB10)-54)</f>
        <v>tabletop%20games</v>
      </c>
      <c r="AE10" t="str">
        <f>SUBSTITUTE(AD10,"%20"," ")</f>
        <v>tabletop games</v>
      </c>
      <c r="AF10" s="8" t="b">
        <v>0</v>
      </c>
      <c r="AG10" s="8" t="str">
        <f>LOWER(AF10)</f>
        <v>false</v>
      </c>
      <c r="AH10" t="s">
        <v>43</v>
      </c>
      <c r="AJ10" s="18">
        <v>14</v>
      </c>
      <c r="AK10" s="17">
        <v>166304</v>
      </c>
      <c r="AL10" s="16"/>
      <c r="AM10" s="20" t="s">
        <v>89</v>
      </c>
      <c r="AN10" s="17">
        <f>MAX(M2:M153)</f>
        <v>26004</v>
      </c>
      <c r="AO10" s="16"/>
    </row>
    <row r="11" spans="1:41">
      <c r="A11" s="5">
        <v>96526024</v>
      </c>
      <c r="B11" s="5" t="str">
        <f t="shared" si="3"/>
        <v>96526024</v>
      </c>
      <c r="C11" t="s">
        <v>90</v>
      </c>
      <c r="D11" t="str">
        <f>PROPER(C11)</f>
        <v>My Pad</v>
      </c>
      <c r="E11" s="6">
        <v>43474</v>
      </c>
      <c r="F11" s="6">
        <v>43522</v>
      </c>
      <c r="G11" s="6">
        <v>43549</v>
      </c>
      <c r="H11" s="13">
        <f>G11-F11</f>
        <v>27</v>
      </c>
      <c r="I11" s="13">
        <f t="shared" si="0"/>
        <v>2</v>
      </c>
      <c r="J11" s="13" t="str">
        <f t="shared" si="1"/>
        <v>Week Day</v>
      </c>
      <c r="K11" s="13">
        <f>MONTH(F11)</f>
        <v>2</v>
      </c>
      <c r="L11" s="6" t="b">
        <f>EXACT(E11,F11)</f>
        <v>0</v>
      </c>
      <c r="M11">
        <v>143</v>
      </c>
      <c r="N11">
        <f t="shared" si="2"/>
        <v>143</v>
      </c>
      <c r="O11" t="s">
        <v>37</v>
      </c>
      <c r="P11" t="str">
        <f>UPPER(O11)</f>
        <v>USD</v>
      </c>
      <c r="Q11">
        <f>VLOOKUP(P11,'Exchange Rate Table'!A:B,2,FALSE)</f>
        <v>1</v>
      </c>
      <c r="R11">
        <v>4868.25</v>
      </c>
      <c r="S11">
        <f>Q11*R11</f>
        <v>4868.25</v>
      </c>
      <c r="T11">
        <f>ROUND(R11, 0)</f>
        <v>4868</v>
      </c>
      <c r="U11" s="7" t="s">
        <v>91</v>
      </c>
      <c r="V11">
        <f>VALUE(U11)</f>
        <v>2200</v>
      </c>
      <c r="W11" t="s">
        <v>92</v>
      </c>
      <c r="X11" t="s">
        <v>48</v>
      </c>
      <c r="Y11" t="str">
        <f>CONCATENATE(W11,", ",X11)</f>
        <v>Virginia Beach, VA</v>
      </c>
      <c r="Z11" t="s">
        <v>41</v>
      </c>
      <c r="AA11" t="str">
        <f>TRIM(Z11)</f>
        <v>United States</v>
      </c>
      <c r="AB11" t="s">
        <v>58</v>
      </c>
      <c r="AC11">
        <f>LEN("https://www.kickstarter.com/discover/categories/games/")</f>
        <v>54</v>
      </c>
      <c r="AD11" t="str">
        <f>RIGHT(AB11,LEN(AB11)-54)</f>
        <v>tabletop%20games</v>
      </c>
      <c r="AE11" t="str">
        <f>SUBSTITUTE(AD11,"%20"," ")</f>
        <v>tabletop games</v>
      </c>
      <c r="AF11" s="8" t="b">
        <v>0</v>
      </c>
      <c r="AG11" s="8" t="str">
        <f>LOWER(AF11)</f>
        <v>false</v>
      </c>
      <c r="AH11" t="s">
        <v>43</v>
      </c>
      <c r="AJ11" s="18">
        <v>21</v>
      </c>
      <c r="AK11" s="17">
        <v>157049</v>
      </c>
      <c r="AL11" s="16"/>
      <c r="AM11" s="20" t="s">
        <v>93</v>
      </c>
      <c r="AN11" s="17">
        <f>AVERAGE(M2:M153)</f>
        <v>886.66447368421052</v>
      </c>
      <c r="AO11" s="16"/>
    </row>
    <row r="12" spans="1:41">
      <c r="A12" s="5">
        <v>148612159</v>
      </c>
      <c r="B12" s="5" t="str">
        <f t="shared" si="3"/>
        <v>148612159</v>
      </c>
      <c r="C12" t="s">
        <v>94</v>
      </c>
      <c r="D12" t="str">
        <f>PROPER(C12)</f>
        <v>In Thoth'S Wake - Zine Quest Edition!</v>
      </c>
      <c r="E12" s="6">
        <v>43475</v>
      </c>
      <c r="F12" s="6">
        <v>43508</v>
      </c>
      <c r="G12" s="6">
        <v>43539</v>
      </c>
      <c r="H12" s="13">
        <f>G12-F12</f>
        <v>31</v>
      </c>
      <c r="I12" s="13">
        <f t="shared" si="0"/>
        <v>2</v>
      </c>
      <c r="J12" s="13" t="str">
        <f t="shared" si="1"/>
        <v>Week Day</v>
      </c>
      <c r="K12" s="13">
        <f>MONTH(F12)</f>
        <v>2</v>
      </c>
      <c r="L12" s="6" t="b">
        <f>EXACT(E12,F12)</f>
        <v>0</v>
      </c>
      <c r="M12">
        <v>5431</v>
      </c>
      <c r="N12">
        <f t="shared" si="2"/>
        <v>5431</v>
      </c>
      <c r="O12" t="s">
        <v>37</v>
      </c>
      <c r="P12" t="str">
        <f>UPPER(O12)</f>
        <v>USD</v>
      </c>
      <c r="Q12">
        <f>VLOOKUP(P12,'Exchange Rate Table'!A:B,2,FALSE)</f>
        <v>1</v>
      </c>
      <c r="R12">
        <v>528786</v>
      </c>
      <c r="S12">
        <f>Q12*R12</f>
        <v>528786</v>
      </c>
      <c r="T12">
        <f>ROUND(R12, 0)</f>
        <v>528786</v>
      </c>
      <c r="U12" s="7" t="s">
        <v>95</v>
      </c>
      <c r="V12">
        <f>VALUE(U12)</f>
        <v>40000</v>
      </c>
      <c r="W12" t="s">
        <v>96</v>
      </c>
      <c r="X12" t="s">
        <v>69</v>
      </c>
      <c r="Y12" t="str">
        <f>CONCATENATE(W12,", ",X12)</f>
        <v>Oakland, CA</v>
      </c>
      <c r="Z12" t="s">
        <v>41</v>
      </c>
      <c r="AA12" t="str">
        <f>TRIM(Z12)</f>
        <v>United States</v>
      </c>
      <c r="AB12" t="s">
        <v>58</v>
      </c>
      <c r="AC12">
        <f>LEN("https://www.kickstarter.com/discover/categories/games/")</f>
        <v>54</v>
      </c>
      <c r="AD12" t="str">
        <f>RIGHT(AB12,LEN(AB12)-54)</f>
        <v>tabletop%20games</v>
      </c>
      <c r="AE12" t="str">
        <f>SUBSTITUTE(AD12,"%20"," ")</f>
        <v>tabletop games</v>
      </c>
      <c r="AF12" s="8" t="b">
        <v>0</v>
      </c>
      <c r="AG12" s="8" t="str">
        <f>LOWER(AF12)</f>
        <v>false</v>
      </c>
      <c r="AH12" t="s">
        <v>43</v>
      </c>
      <c r="AJ12" s="18">
        <v>40</v>
      </c>
      <c r="AK12" s="17">
        <v>139131</v>
      </c>
      <c r="AL12" s="16"/>
      <c r="AM12" s="20" t="s">
        <v>97</v>
      </c>
      <c r="AN12" s="17">
        <f>MEDIAN(M2:M153)</f>
        <v>155</v>
      </c>
      <c r="AO12" s="16"/>
    </row>
    <row r="13" spans="1:41">
      <c r="A13" s="5">
        <v>154179006</v>
      </c>
      <c r="B13" s="5" t="str">
        <f t="shared" si="3"/>
        <v>154179006</v>
      </c>
      <c r="C13" t="s">
        <v>98</v>
      </c>
      <c r="D13" t="str">
        <f>PROPER(C13)</f>
        <v>Over The Hills 2Nd Edition - The Napoleonic Wargames Rules</v>
      </c>
      <c r="E13" s="6">
        <v>43478</v>
      </c>
      <c r="F13" s="6">
        <v>43546</v>
      </c>
      <c r="G13" s="6">
        <v>43576</v>
      </c>
      <c r="H13" s="13">
        <f>G13-F13</f>
        <v>30</v>
      </c>
      <c r="I13" s="13">
        <f t="shared" si="0"/>
        <v>5</v>
      </c>
      <c r="J13" s="13" t="str">
        <f t="shared" si="1"/>
        <v>Week Day</v>
      </c>
      <c r="K13" s="13">
        <f>MONTH(F13)</f>
        <v>3</v>
      </c>
      <c r="L13" s="6" t="b">
        <f>EXACT(E13,F13)</f>
        <v>0</v>
      </c>
      <c r="M13">
        <v>286</v>
      </c>
      <c r="N13">
        <f t="shared" si="2"/>
        <v>286</v>
      </c>
      <c r="O13" t="s">
        <v>37</v>
      </c>
      <c r="P13" t="str">
        <f>UPPER(O13)</f>
        <v>USD</v>
      </c>
      <c r="Q13">
        <f>VLOOKUP(P13,'Exchange Rate Table'!A:B,2,FALSE)</f>
        <v>1</v>
      </c>
      <c r="R13">
        <v>5113</v>
      </c>
      <c r="S13">
        <f>Q13*R13</f>
        <v>5113</v>
      </c>
      <c r="T13">
        <f>ROUND(R13, 0)</f>
        <v>5113</v>
      </c>
      <c r="U13" s="7" t="s">
        <v>99</v>
      </c>
      <c r="V13">
        <f>VALUE(U13)</f>
        <v>1250</v>
      </c>
      <c r="W13" t="s">
        <v>100</v>
      </c>
      <c r="X13" t="s">
        <v>101</v>
      </c>
      <c r="Y13" t="str">
        <f>CONCATENATE(W13,", ",X13)</f>
        <v>Rochester, NY</v>
      </c>
      <c r="Z13" t="s">
        <v>41</v>
      </c>
      <c r="AA13" t="str">
        <f>TRIM(Z13)</f>
        <v>United States</v>
      </c>
      <c r="AB13" t="s">
        <v>58</v>
      </c>
      <c r="AC13">
        <f>LEN("https://www.kickstarter.com/discover/categories/games/")</f>
        <v>54</v>
      </c>
      <c r="AD13" t="str">
        <f>RIGHT(AB13,LEN(AB13)-54)</f>
        <v>tabletop%20games</v>
      </c>
      <c r="AE13" t="str">
        <f>SUBSTITUTE(AD13,"%20"," ")</f>
        <v>tabletop games</v>
      </c>
      <c r="AF13" s="8" t="b">
        <v>0</v>
      </c>
      <c r="AG13" s="8" t="str">
        <f>LOWER(AF13)</f>
        <v>false</v>
      </c>
      <c r="AH13" t="s">
        <v>43</v>
      </c>
      <c r="AJ13" s="18">
        <v>46</v>
      </c>
      <c r="AK13" s="17">
        <v>136726</v>
      </c>
      <c r="AL13" s="16"/>
      <c r="AM13" s="16"/>
      <c r="AN13" s="16"/>
      <c r="AO13" s="16"/>
    </row>
    <row r="14" spans="1:41">
      <c r="A14" s="5">
        <v>165906545</v>
      </c>
      <c r="B14" s="5" t="str">
        <f t="shared" si="3"/>
        <v>165906545</v>
      </c>
      <c r="C14" t="s">
        <v>102</v>
      </c>
      <c r="D14" t="str">
        <f>PROPER(C14)</f>
        <v>Capone: The Business Of Prohibition</v>
      </c>
      <c r="E14" s="6">
        <v>43487</v>
      </c>
      <c r="F14" s="6">
        <v>43531</v>
      </c>
      <c r="G14" s="6">
        <v>43561</v>
      </c>
      <c r="H14" s="13">
        <f>G14-F14</f>
        <v>30</v>
      </c>
      <c r="I14" s="13">
        <f t="shared" si="0"/>
        <v>4</v>
      </c>
      <c r="J14" s="13" t="str">
        <f t="shared" si="1"/>
        <v>Week Day</v>
      </c>
      <c r="K14" s="13">
        <f>MONTH(F14)</f>
        <v>3</v>
      </c>
      <c r="L14" s="6" t="b">
        <f>EXACT(E14,F14)</f>
        <v>0</v>
      </c>
      <c r="M14">
        <v>10</v>
      </c>
      <c r="N14">
        <f t="shared" si="2"/>
        <v>10</v>
      </c>
      <c r="O14" t="s">
        <v>53</v>
      </c>
      <c r="P14" t="str">
        <f>UPPER(O14)</f>
        <v>GBP</v>
      </c>
      <c r="Q14">
        <f>VLOOKUP(P14,'Exchange Rate Table'!A:B,2,FALSE)</f>
        <v>1.49576325</v>
      </c>
      <c r="R14">
        <v>266</v>
      </c>
      <c r="S14">
        <f>Q14*R14</f>
        <v>397.87302449999999</v>
      </c>
      <c r="T14">
        <f>ROUND(R14, 0)</f>
        <v>266</v>
      </c>
      <c r="U14" s="7" t="s">
        <v>103</v>
      </c>
      <c r="V14">
        <f>VALUE(U14)</f>
        <v>250</v>
      </c>
      <c r="W14" t="s">
        <v>104</v>
      </c>
      <c r="X14" t="s">
        <v>56</v>
      </c>
      <c r="Y14" t="str">
        <f>CONCATENATE(W14,", ",X14)</f>
        <v>Guildford, England</v>
      </c>
      <c r="Z14" t="s">
        <v>57</v>
      </c>
      <c r="AA14" t="str">
        <f>TRIM(Z14)</f>
        <v>United Kingdom</v>
      </c>
      <c r="AB14" t="s">
        <v>58</v>
      </c>
      <c r="AC14">
        <f>LEN("https://www.kickstarter.com/discover/categories/games/")</f>
        <v>54</v>
      </c>
      <c r="AD14" t="str">
        <f>RIGHT(AB14,LEN(AB14)-54)</f>
        <v>tabletop%20games</v>
      </c>
      <c r="AE14" t="str">
        <f>SUBSTITUTE(AD14,"%20"," ")</f>
        <v>tabletop games</v>
      </c>
      <c r="AF14" s="8" t="b">
        <v>0</v>
      </c>
      <c r="AG14" s="8" t="str">
        <f>LOWER(AF14)</f>
        <v>false</v>
      </c>
      <c r="AH14" t="s">
        <v>43</v>
      </c>
      <c r="AJ14" s="18">
        <v>81</v>
      </c>
      <c r="AK14" s="17">
        <v>136578</v>
      </c>
      <c r="AL14" s="16"/>
      <c r="AM14" s="23" t="s">
        <v>105</v>
      </c>
      <c r="AN14" s="23" t="s">
        <v>106</v>
      </c>
      <c r="AO14" s="16"/>
    </row>
    <row r="15" spans="1:41">
      <c r="A15" s="5">
        <v>182072441</v>
      </c>
      <c r="B15" s="5" t="str">
        <f t="shared" si="3"/>
        <v>182072441</v>
      </c>
      <c r="C15" t="s">
        <v>107</v>
      </c>
      <c r="D15" t="str">
        <f>PROPER(C15)</f>
        <v>The Empath Tarot: For Inner Healing</v>
      </c>
      <c r="E15" s="6">
        <v>43491</v>
      </c>
      <c r="F15" s="6">
        <v>43497</v>
      </c>
      <c r="G15" s="6">
        <v>43512</v>
      </c>
      <c r="H15" s="13">
        <f>G15-F15</f>
        <v>15</v>
      </c>
      <c r="I15" s="13">
        <f t="shared" si="0"/>
        <v>5</v>
      </c>
      <c r="J15" s="13" t="str">
        <f t="shared" si="1"/>
        <v>Week Day</v>
      </c>
      <c r="K15" s="13">
        <f>MONTH(F15)</f>
        <v>2</v>
      </c>
      <c r="L15" s="6" t="b">
        <f>EXACT(E15,F15)</f>
        <v>0</v>
      </c>
      <c r="M15">
        <v>1</v>
      </c>
      <c r="N15">
        <f t="shared" si="2"/>
        <v>1</v>
      </c>
      <c r="O15" t="s">
        <v>37</v>
      </c>
      <c r="P15" t="str">
        <f>UPPER(O15)</f>
        <v>USD</v>
      </c>
      <c r="Q15">
        <f>VLOOKUP(P15,'Exchange Rate Table'!A:B,2,FALSE)</f>
        <v>1</v>
      </c>
      <c r="R15">
        <v>1</v>
      </c>
      <c r="S15">
        <f>Q15*R15</f>
        <v>1</v>
      </c>
      <c r="T15">
        <f>ROUND(R15, 0)</f>
        <v>1</v>
      </c>
      <c r="U15" s="7" t="s">
        <v>108</v>
      </c>
      <c r="V15">
        <f>VALUE(U15)</f>
        <v>3500</v>
      </c>
      <c r="W15" t="s">
        <v>109</v>
      </c>
      <c r="X15" t="s">
        <v>110</v>
      </c>
      <c r="Y15" t="str">
        <f>CONCATENATE(W15,", ",X15)</f>
        <v>Seattle, WA</v>
      </c>
      <c r="Z15" t="s">
        <v>41</v>
      </c>
      <c r="AA15" t="str">
        <f>TRIM(Z15)</f>
        <v>United States</v>
      </c>
      <c r="AB15" t="s">
        <v>42</v>
      </c>
      <c r="AC15">
        <f>LEN("https://www.kickstarter.com/discover/categories/games/")</f>
        <v>54</v>
      </c>
      <c r="AD15" t="str">
        <f>RIGHT(AB15,LEN(AB15)-54)</f>
        <v>live%20games</v>
      </c>
      <c r="AE15" t="str">
        <f>SUBSTITUTE(AD15,"%20"," ")</f>
        <v>live games</v>
      </c>
      <c r="AF15" s="8" t="b">
        <v>0</v>
      </c>
      <c r="AG15" s="8" t="str">
        <f>LOWER(AF15)</f>
        <v>false</v>
      </c>
      <c r="AH15" t="s">
        <v>50</v>
      </c>
      <c r="AJ15" s="18">
        <v>82</v>
      </c>
      <c r="AK15" s="17">
        <v>135083.28</v>
      </c>
      <c r="AL15" s="16"/>
      <c r="AM15" s="18" t="str" cm="1">
        <f t="array" ref="AM15:AM19">_xlfn.UNIQUE(AE2:AE153)</f>
        <v>live games</v>
      </c>
      <c r="AN15" s="18">
        <f>COUNTIF(AE2:AE153, AM15)</f>
        <v>9</v>
      </c>
      <c r="AO15" s="16"/>
    </row>
    <row r="16" spans="1:41">
      <c r="A16" s="5">
        <v>189035699</v>
      </c>
      <c r="B16" s="5" t="str">
        <f t="shared" si="3"/>
        <v>189035699</v>
      </c>
      <c r="C16" t="s">
        <v>111</v>
      </c>
      <c r="D16" t="str">
        <f>PROPER(C16)</f>
        <v>Mutants Et Zombie</v>
      </c>
      <c r="E16" s="6">
        <v>43491</v>
      </c>
      <c r="F16" s="6">
        <v>43502</v>
      </c>
      <c r="G16" s="6">
        <v>43532</v>
      </c>
      <c r="H16" s="13">
        <f>G16-F16</f>
        <v>30</v>
      </c>
      <c r="I16" s="13">
        <f t="shared" si="0"/>
        <v>3</v>
      </c>
      <c r="J16" s="13" t="str">
        <f t="shared" si="1"/>
        <v>Week Day</v>
      </c>
      <c r="K16" s="13">
        <f>MONTH(F16)</f>
        <v>2</v>
      </c>
      <c r="L16" s="6" t="b">
        <f>EXACT(E16,F16)</f>
        <v>0</v>
      </c>
      <c r="M16">
        <v>16</v>
      </c>
      <c r="N16">
        <f t="shared" si="2"/>
        <v>16</v>
      </c>
      <c r="O16" t="s">
        <v>112</v>
      </c>
      <c r="P16" t="str">
        <f>UPPER(O16)</f>
        <v>SGD</v>
      </c>
      <c r="Q16">
        <f>VLOOKUP(P16,'Exchange Rate Table'!A:B,2,FALSE)</f>
        <v>0.70150824000000001</v>
      </c>
      <c r="R16">
        <v>904</v>
      </c>
      <c r="S16">
        <f>Q16*R16</f>
        <v>634.16344895999998</v>
      </c>
      <c r="T16">
        <f>ROUND(R16, 0)</f>
        <v>904</v>
      </c>
      <c r="U16" s="7" t="s">
        <v>113</v>
      </c>
      <c r="V16">
        <f>VALUE(U16)</f>
        <v>9000</v>
      </c>
      <c r="W16" t="s">
        <v>114</v>
      </c>
      <c r="X16" t="s">
        <v>115</v>
      </c>
      <c r="Y16" t="str">
        <f>CONCATENATE(W16,", ",X16)</f>
        <v>Singapore, Central Singapore</v>
      </c>
      <c r="Z16" t="s">
        <v>116</v>
      </c>
      <c r="AA16" t="str">
        <f>TRIM(Z16)</f>
        <v>Singapore</v>
      </c>
      <c r="AB16" t="s">
        <v>70</v>
      </c>
      <c r="AC16">
        <f>LEN("https://www.kickstarter.com/discover/categories/games/")</f>
        <v>54</v>
      </c>
      <c r="AD16" t="str">
        <f>RIGHT(AB16,LEN(AB16)-54)</f>
        <v>playing%20cards</v>
      </c>
      <c r="AE16" t="str">
        <f>SUBSTITUTE(AD16,"%20"," ")</f>
        <v>playing cards</v>
      </c>
      <c r="AF16" s="8" t="b">
        <v>0</v>
      </c>
      <c r="AG16" s="8" t="str">
        <f>LOWER(AF16)</f>
        <v>false</v>
      </c>
      <c r="AH16" t="s">
        <v>50</v>
      </c>
      <c r="AJ16" s="18">
        <v>155</v>
      </c>
      <c r="AK16" s="17">
        <v>123665</v>
      </c>
      <c r="AL16" s="16"/>
      <c r="AM16" s="18" t="str">
        <v>mobile games</v>
      </c>
      <c r="AN16" s="18">
        <f>COUNTIF(AE2:AE153, AM16)</f>
        <v>7</v>
      </c>
      <c r="AO16" s="16"/>
    </row>
    <row r="17" spans="1:41">
      <c r="A17" s="5">
        <v>191795368</v>
      </c>
      <c r="B17" s="5" t="str">
        <f t="shared" si="3"/>
        <v>191795368</v>
      </c>
      <c r="C17" t="s">
        <v>117</v>
      </c>
      <c r="D17" t="str">
        <f>PROPER(C17)</f>
        <v>Playing Cards: The Jedi Of The Old Republic</v>
      </c>
      <c r="E17" s="6">
        <v>43493</v>
      </c>
      <c r="F17" s="6">
        <v>43514</v>
      </c>
      <c r="G17" s="6">
        <v>43559</v>
      </c>
      <c r="H17" s="13">
        <f>G17-F17</f>
        <v>45</v>
      </c>
      <c r="I17" s="13">
        <f t="shared" si="0"/>
        <v>1</v>
      </c>
      <c r="J17" s="13" t="str">
        <f t="shared" si="1"/>
        <v>Week Day</v>
      </c>
      <c r="K17" s="13">
        <f>MONTH(F17)</f>
        <v>2</v>
      </c>
      <c r="L17" s="6" t="b">
        <f>EXACT(E17,F17)</f>
        <v>0</v>
      </c>
      <c r="M17">
        <v>1331</v>
      </c>
      <c r="N17">
        <f t="shared" si="2"/>
        <v>1331</v>
      </c>
      <c r="O17" t="s">
        <v>37</v>
      </c>
      <c r="P17" t="str">
        <f>UPPER(O17)</f>
        <v>USD</v>
      </c>
      <c r="Q17">
        <f>VLOOKUP(P17,'Exchange Rate Table'!A:B,2,FALSE)</f>
        <v>1</v>
      </c>
      <c r="R17">
        <v>157049</v>
      </c>
      <c r="S17">
        <f>Q17*R17</f>
        <v>157049</v>
      </c>
      <c r="T17">
        <f>ROUND(R17, 0)</f>
        <v>157049</v>
      </c>
      <c r="U17" s="7" t="s">
        <v>118</v>
      </c>
      <c r="V17">
        <f>VALUE(U17)</f>
        <v>50000</v>
      </c>
      <c r="W17" t="s">
        <v>119</v>
      </c>
      <c r="X17" t="s">
        <v>110</v>
      </c>
      <c r="Y17" t="str">
        <f>CONCATENATE(W17,", ",X17)</f>
        <v>Poulsbo, WA</v>
      </c>
      <c r="Z17" t="s">
        <v>41</v>
      </c>
      <c r="AA17" t="str">
        <f>TRIM(Z17)</f>
        <v>United States</v>
      </c>
      <c r="AB17" t="s">
        <v>58</v>
      </c>
      <c r="AC17">
        <f>LEN("https://www.kickstarter.com/discover/categories/games/")</f>
        <v>54</v>
      </c>
      <c r="AD17" t="str">
        <f>RIGHT(AB17,LEN(AB17)-54)</f>
        <v>tabletop%20games</v>
      </c>
      <c r="AE17" t="str">
        <f>SUBSTITUTE(AD17,"%20"," ")</f>
        <v>tabletop games</v>
      </c>
      <c r="AF17" s="8" t="b">
        <v>0</v>
      </c>
      <c r="AG17" s="8" t="str">
        <f>LOWER(AF17)</f>
        <v>false</v>
      </c>
      <c r="AH17" t="s">
        <v>43</v>
      </c>
      <c r="AJ17" s="18">
        <v>197</v>
      </c>
      <c r="AK17" s="17">
        <v>120066</v>
      </c>
      <c r="AL17" s="16"/>
      <c r="AM17" s="18" t="str">
        <v>tabletop games</v>
      </c>
      <c r="AN17" s="18">
        <f>COUNTIF(AE2:AE153, AM17)</f>
        <v>106</v>
      </c>
      <c r="AO17" s="16"/>
    </row>
    <row r="18" spans="1:41">
      <c r="A18" s="5">
        <v>194146399</v>
      </c>
      <c r="B18" s="5" t="str">
        <f t="shared" si="3"/>
        <v>194146399</v>
      </c>
      <c r="C18" t="s">
        <v>120</v>
      </c>
      <c r="D18" t="str">
        <f>PROPER(C18)</f>
        <v>Azote Playing Cards | First Edition</v>
      </c>
      <c r="E18" s="6">
        <v>43493</v>
      </c>
      <c r="F18" s="6">
        <v>43529</v>
      </c>
      <c r="G18" s="6">
        <v>43559</v>
      </c>
      <c r="H18" s="13">
        <f>G18-F18</f>
        <v>30</v>
      </c>
      <c r="I18" s="13">
        <f t="shared" si="0"/>
        <v>2</v>
      </c>
      <c r="J18" s="13" t="str">
        <f t="shared" si="1"/>
        <v>Week Day</v>
      </c>
      <c r="K18" s="13">
        <f>MONTH(F18)</f>
        <v>3</v>
      </c>
      <c r="L18" s="6" t="b">
        <f>EXACT(E18,F18)</f>
        <v>0</v>
      </c>
      <c r="M18">
        <v>258</v>
      </c>
      <c r="N18">
        <f t="shared" si="2"/>
        <v>258</v>
      </c>
      <c r="O18" t="s">
        <v>37</v>
      </c>
      <c r="P18" t="str">
        <f>UPPER(O18)</f>
        <v>USD</v>
      </c>
      <c r="Q18">
        <f>VLOOKUP(P18,'Exchange Rate Table'!A:B,2,FALSE)</f>
        <v>1</v>
      </c>
      <c r="R18">
        <v>6818</v>
      </c>
      <c r="S18">
        <f>Q18*R18</f>
        <v>6818</v>
      </c>
      <c r="T18">
        <f>ROUND(R18, 0)</f>
        <v>6818</v>
      </c>
      <c r="U18" s="7" t="s">
        <v>108</v>
      </c>
      <c r="V18">
        <f>VALUE(U18)</f>
        <v>3500</v>
      </c>
      <c r="W18" t="s">
        <v>121</v>
      </c>
      <c r="X18" t="s">
        <v>122</v>
      </c>
      <c r="Y18" t="str">
        <f>CONCATENATE(W18,", ",X18)</f>
        <v>Franklin, WI</v>
      </c>
      <c r="Z18" t="s">
        <v>41</v>
      </c>
      <c r="AA18" t="str">
        <f>TRIM(Z18)</f>
        <v>United States</v>
      </c>
      <c r="AB18" t="s">
        <v>58</v>
      </c>
      <c r="AC18">
        <f>LEN("https://www.kickstarter.com/discover/categories/games/")</f>
        <v>54</v>
      </c>
      <c r="AD18" t="str">
        <f>RIGHT(AB18,LEN(AB18)-54)</f>
        <v>tabletop%20games</v>
      </c>
      <c r="AE18" t="str">
        <f>SUBSTITUTE(AD18,"%20"," ")</f>
        <v>tabletop games</v>
      </c>
      <c r="AF18" s="8" t="b">
        <v>0</v>
      </c>
      <c r="AG18" s="8" t="str">
        <f>LOWER(AF18)</f>
        <v>false</v>
      </c>
      <c r="AH18" t="s">
        <v>43</v>
      </c>
      <c r="AJ18" s="18">
        <v>266</v>
      </c>
      <c r="AK18" s="17">
        <v>109565.5</v>
      </c>
      <c r="AL18" s="16"/>
      <c r="AM18" s="18" t="str">
        <v>playing cards</v>
      </c>
      <c r="AN18" s="18">
        <f>COUNTIF(AE2:AE153, AM18)</f>
        <v>27</v>
      </c>
      <c r="AO18" s="16"/>
    </row>
    <row r="19" spans="1:41">
      <c r="A19" s="5">
        <v>229060132</v>
      </c>
      <c r="B19" s="5" t="str">
        <f t="shared" si="3"/>
        <v>229060132</v>
      </c>
      <c r="C19" t="s">
        <v>123</v>
      </c>
      <c r="D19" t="str">
        <f>PROPER(C19)</f>
        <v>Monster Menagerie: Gruesome Foes</v>
      </c>
      <c r="E19" s="6">
        <v>43494</v>
      </c>
      <c r="F19" s="6">
        <v>43620</v>
      </c>
      <c r="G19" s="6">
        <v>43644</v>
      </c>
      <c r="H19" s="13">
        <f>G19-F19</f>
        <v>24</v>
      </c>
      <c r="I19" s="13">
        <f t="shared" si="0"/>
        <v>2</v>
      </c>
      <c r="J19" s="13" t="str">
        <f t="shared" si="1"/>
        <v>Week Day</v>
      </c>
      <c r="K19" s="13">
        <f>MONTH(F19)</f>
        <v>6</v>
      </c>
      <c r="L19" s="6" t="b">
        <f>EXACT(E19,F19)</f>
        <v>0</v>
      </c>
      <c r="M19">
        <v>2378</v>
      </c>
      <c r="N19">
        <f t="shared" si="2"/>
        <v>2378</v>
      </c>
      <c r="O19" t="s">
        <v>37</v>
      </c>
      <c r="P19" t="str">
        <f>UPPER(O19)</f>
        <v>USD</v>
      </c>
      <c r="Q19">
        <f>VLOOKUP(P19,'Exchange Rate Table'!A:B,2,FALSE)</f>
        <v>1</v>
      </c>
      <c r="R19">
        <v>135083.28</v>
      </c>
      <c r="S19">
        <f>Q19*R19</f>
        <v>135083.28</v>
      </c>
      <c r="T19">
        <f>ROUND(R19, 0)</f>
        <v>135083</v>
      </c>
      <c r="U19" s="7" t="s">
        <v>118</v>
      </c>
      <c r="V19">
        <f>VALUE(U19)</f>
        <v>50000</v>
      </c>
      <c r="W19" t="s">
        <v>124</v>
      </c>
      <c r="X19" t="s">
        <v>125</v>
      </c>
      <c r="Y19" t="str">
        <f>CONCATENATE(W19,", ",X19)</f>
        <v>Philadelphia, PA</v>
      </c>
      <c r="Z19" t="s">
        <v>41</v>
      </c>
      <c r="AA19" t="str">
        <f>TRIM(Z19)</f>
        <v>United States</v>
      </c>
      <c r="AB19" t="s">
        <v>58</v>
      </c>
      <c r="AC19">
        <f>LEN("https://www.kickstarter.com/discover/categories/games/")</f>
        <v>54</v>
      </c>
      <c r="AD19" t="str">
        <f>RIGHT(AB19,LEN(AB19)-54)</f>
        <v>tabletop%20games</v>
      </c>
      <c r="AE19" t="str">
        <f>SUBSTITUTE(AD19,"%20"," ")</f>
        <v>tabletop games</v>
      </c>
      <c r="AF19" s="8" t="b">
        <v>1</v>
      </c>
      <c r="AG19" s="8" t="str">
        <f>LOWER(AF19)</f>
        <v>true</v>
      </c>
      <c r="AH19" t="s">
        <v>43</v>
      </c>
      <c r="AJ19" s="18">
        <v>367</v>
      </c>
      <c r="AK19" s="16"/>
      <c r="AL19" s="16"/>
      <c r="AM19" s="18" t="str">
        <v>puzzles</v>
      </c>
      <c r="AN19" s="18">
        <f>COUNTIF(AE2:AE153, AM19)</f>
        <v>3</v>
      </c>
      <c r="AO19" s="16"/>
    </row>
    <row r="20" spans="1:41">
      <c r="A20" s="5">
        <v>255478760</v>
      </c>
      <c r="B20" s="5" t="str">
        <f t="shared" si="3"/>
        <v>255478760</v>
      </c>
      <c r="C20" t="s">
        <v>126</v>
      </c>
      <c r="D20" t="str">
        <f>PROPER(C20)</f>
        <v>Hit The Streets: Defend The Block Tabletop Rpg</v>
      </c>
      <c r="E20" s="6">
        <v>43496</v>
      </c>
      <c r="F20" s="6">
        <v>43501</v>
      </c>
      <c r="G20" s="6">
        <v>43538</v>
      </c>
      <c r="H20" s="13">
        <f>G20-F20</f>
        <v>37</v>
      </c>
      <c r="I20" s="13">
        <f t="shared" si="0"/>
        <v>2</v>
      </c>
      <c r="J20" s="13" t="str">
        <f t="shared" si="1"/>
        <v>Week Day</v>
      </c>
      <c r="K20" s="13">
        <f>MONTH(F20)</f>
        <v>2</v>
      </c>
      <c r="L20" s="6" t="b">
        <f>EXACT(E20,F20)</f>
        <v>0</v>
      </c>
      <c r="M20">
        <v>2</v>
      </c>
      <c r="N20">
        <f t="shared" si="2"/>
        <v>2</v>
      </c>
      <c r="O20" t="s">
        <v>72</v>
      </c>
      <c r="P20" t="str">
        <f>UPPER(O20)</f>
        <v>EUR</v>
      </c>
      <c r="Q20">
        <f>VLOOKUP(P20,'Exchange Rate Table'!A:B,2,FALSE)</f>
        <v>1.16955371</v>
      </c>
      <c r="R20">
        <v>2</v>
      </c>
      <c r="S20">
        <f>Q20*R20</f>
        <v>2.3391074199999999</v>
      </c>
      <c r="T20">
        <f>ROUND(R20, 0)</f>
        <v>2</v>
      </c>
      <c r="U20" s="7" t="s">
        <v>127</v>
      </c>
      <c r="V20">
        <f>VALUE(U20)</f>
        <v>1500</v>
      </c>
      <c r="W20" t="s">
        <v>128</v>
      </c>
      <c r="X20" t="s">
        <v>129</v>
      </c>
      <c r="Y20" t="str">
        <f>CONCATENATE(W20,", ",X20)</f>
        <v>Barcelona, Catalonia</v>
      </c>
      <c r="Z20" t="s">
        <v>130</v>
      </c>
      <c r="AA20" t="str">
        <f>TRIM(Z20)</f>
        <v>Spain</v>
      </c>
      <c r="AB20" t="s">
        <v>42</v>
      </c>
      <c r="AC20">
        <f>LEN("https://www.kickstarter.com/discover/categories/games/")</f>
        <v>54</v>
      </c>
      <c r="AD20" t="str">
        <f>RIGHT(AB20,LEN(AB20)-54)</f>
        <v>live%20games</v>
      </c>
      <c r="AE20" t="str">
        <f>SUBSTITUTE(AD20,"%20"," ")</f>
        <v>live games</v>
      </c>
      <c r="AF20" s="8" t="b">
        <v>0</v>
      </c>
      <c r="AG20" s="8" t="str">
        <f>LOWER(AF20)</f>
        <v>false</v>
      </c>
      <c r="AH20" t="s">
        <v>50</v>
      </c>
      <c r="AJ20" s="18">
        <v>401</v>
      </c>
      <c r="AK20" s="16"/>
      <c r="AL20" s="16"/>
      <c r="AM20" s="16"/>
      <c r="AN20" s="16"/>
      <c r="AO20" s="16"/>
    </row>
    <row r="21" spans="1:41">
      <c r="A21" s="5">
        <v>257726009</v>
      </c>
      <c r="B21" s="5" t="str">
        <f t="shared" si="3"/>
        <v>257726009</v>
      </c>
      <c r="C21" t="s">
        <v>131</v>
      </c>
      <c r="D21" t="str">
        <f>PROPER(C21)</f>
        <v>Dice Palace: Display &amp; Storage Case For Dice &amp; Miniatures</v>
      </c>
      <c r="E21" s="6">
        <v>43498</v>
      </c>
      <c r="F21" s="6">
        <v>43519</v>
      </c>
      <c r="G21" s="6">
        <v>43549</v>
      </c>
      <c r="H21" s="13">
        <f>G21-F21</f>
        <v>30</v>
      </c>
      <c r="I21" s="13">
        <f t="shared" si="0"/>
        <v>6</v>
      </c>
      <c r="J21" s="13" t="str">
        <f t="shared" si="1"/>
        <v>Weekend</v>
      </c>
      <c r="K21" s="13">
        <f>MONTH(F21)</f>
        <v>2</v>
      </c>
      <c r="L21" s="6" t="b">
        <f>EXACT(E21,F21)</f>
        <v>0</v>
      </c>
      <c r="M21">
        <v>207</v>
      </c>
      <c r="N21">
        <f t="shared" si="2"/>
        <v>207</v>
      </c>
      <c r="O21" t="s">
        <v>72</v>
      </c>
      <c r="P21" t="str">
        <f>UPPER(O21)</f>
        <v>EUR</v>
      </c>
      <c r="Q21">
        <f>VLOOKUP(P21,'Exchange Rate Table'!A:B,2,FALSE)</f>
        <v>1.16955371</v>
      </c>
      <c r="R21">
        <v>7339</v>
      </c>
      <c r="S21">
        <f>Q21*R21</f>
        <v>8583.3546776900002</v>
      </c>
      <c r="T21">
        <f>ROUND(R21, 0)</f>
        <v>7339</v>
      </c>
      <c r="U21" s="7" t="s">
        <v>132</v>
      </c>
      <c r="V21">
        <f>VALUE(U21)</f>
        <v>7000</v>
      </c>
      <c r="W21" t="s">
        <v>133</v>
      </c>
      <c r="X21" t="s">
        <v>134</v>
      </c>
      <c r="Y21" t="str">
        <f>CONCATENATE(W21,", ",X21)</f>
        <v>Rennes, Ile-de-France</v>
      </c>
      <c r="Z21" t="s">
        <v>135</v>
      </c>
      <c r="AA21" t="str">
        <f>TRIM(Z21)</f>
        <v>France</v>
      </c>
      <c r="AB21" t="s">
        <v>70</v>
      </c>
      <c r="AC21">
        <f>LEN("https://www.kickstarter.com/discover/categories/games/")</f>
        <v>54</v>
      </c>
      <c r="AD21" t="str">
        <f>RIGHT(AB21,LEN(AB21)-54)</f>
        <v>playing%20cards</v>
      </c>
      <c r="AE21" t="str">
        <f>SUBSTITUTE(AD21,"%20"," ")</f>
        <v>playing cards</v>
      </c>
      <c r="AF21" s="8" t="b">
        <v>0</v>
      </c>
      <c r="AG21" s="8" t="str">
        <f>LOWER(AF21)</f>
        <v>false</v>
      </c>
      <c r="AH21" t="s">
        <v>43</v>
      </c>
      <c r="AJ21" s="18">
        <v>409</v>
      </c>
      <c r="AK21" s="16"/>
      <c r="AL21" s="16"/>
      <c r="AM21" s="20" t="s">
        <v>136</v>
      </c>
      <c r="AN21" s="17">
        <f>AVERAGEIFS(S:S,AE:AE,"tabletop games",AH:AH,"successful")</f>
        <v>102552.84333732931</v>
      </c>
      <c r="AO21" s="16"/>
    </row>
    <row r="22" spans="1:41">
      <c r="A22" s="5">
        <v>265338582</v>
      </c>
      <c r="B22" s="5" t="str">
        <f t="shared" si="3"/>
        <v>265338582</v>
      </c>
      <c r="C22" t="s">
        <v>137</v>
      </c>
      <c r="D22" t="str">
        <f>PROPER(C22)</f>
        <v>Peculiarity Oracle, Sacred Space And Beautiful Word Cards</v>
      </c>
      <c r="E22" s="6">
        <v>43498</v>
      </c>
      <c r="F22" s="6">
        <v>43529</v>
      </c>
      <c r="G22" s="6">
        <v>43545</v>
      </c>
      <c r="H22" s="13">
        <f>G22-F22</f>
        <v>16</v>
      </c>
      <c r="I22" s="13">
        <f t="shared" si="0"/>
        <v>2</v>
      </c>
      <c r="J22" s="13" t="str">
        <f t="shared" si="1"/>
        <v>Week Day</v>
      </c>
      <c r="K22" s="13">
        <f>MONTH(F22)</f>
        <v>3</v>
      </c>
      <c r="L22" s="6" t="b">
        <f>EXACT(E22,F22)</f>
        <v>0</v>
      </c>
      <c r="M22">
        <v>5428</v>
      </c>
      <c r="N22">
        <f t="shared" si="2"/>
        <v>5428</v>
      </c>
      <c r="O22" t="s">
        <v>72</v>
      </c>
      <c r="P22" t="str">
        <f>UPPER(O22)</f>
        <v>EUR</v>
      </c>
      <c r="Q22">
        <f>VLOOKUP(P22,'Exchange Rate Table'!A:B,2,FALSE)</f>
        <v>1.16955371</v>
      </c>
      <c r="R22">
        <v>389552</v>
      </c>
      <c r="S22">
        <f>Q22*R22</f>
        <v>455601.98683791998</v>
      </c>
      <c r="T22">
        <f>ROUND(R22, 0)</f>
        <v>389552</v>
      </c>
      <c r="U22" s="7" t="s">
        <v>138</v>
      </c>
      <c r="V22">
        <f>VALUE(U22)</f>
        <v>30000</v>
      </c>
      <c r="W22" t="s">
        <v>139</v>
      </c>
      <c r="X22" t="s">
        <v>140</v>
      </c>
      <c r="Y22" t="str">
        <f>CONCATENATE(W22,", ",X22)</f>
        <v>Seville, Andalusia</v>
      </c>
      <c r="Z22" t="s">
        <v>130</v>
      </c>
      <c r="AA22" t="str">
        <f>TRIM(Z22)</f>
        <v>Spain</v>
      </c>
      <c r="AB22" t="s">
        <v>58</v>
      </c>
      <c r="AC22">
        <f>LEN("https://www.kickstarter.com/discover/categories/games/")</f>
        <v>54</v>
      </c>
      <c r="AD22" t="str">
        <f>RIGHT(AB22,LEN(AB22)-54)</f>
        <v>tabletop%20games</v>
      </c>
      <c r="AE22" t="str">
        <f>SUBSTITUTE(AD22,"%20"," ")</f>
        <v>tabletop games</v>
      </c>
      <c r="AF22" s="8" t="b">
        <v>0</v>
      </c>
      <c r="AG22" s="8" t="str">
        <f>LOWER(AF22)</f>
        <v>false</v>
      </c>
      <c r="AH22" t="s">
        <v>43</v>
      </c>
      <c r="AJ22" s="18">
        <v>479</v>
      </c>
      <c r="AK22" s="16"/>
      <c r="AL22" s="16"/>
      <c r="AM22" s="16"/>
      <c r="AN22" s="16"/>
      <c r="AO22" s="16"/>
    </row>
    <row r="23" spans="1:41">
      <c r="A23" s="5">
        <v>272156229</v>
      </c>
      <c r="B23" s="5" t="str">
        <f t="shared" si="3"/>
        <v>272156229</v>
      </c>
      <c r="C23" t="s">
        <v>141</v>
      </c>
      <c r="D23" t="str">
        <f>PROPER(C23)</f>
        <v>Doublesix Dice: Generation Two</v>
      </c>
      <c r="E23" s="6">
        <v>43500</v>
      </c>
      <c r="F23" s="6">
        <v>43655</v>
      </c>
      <c r="G23" s="6">
        <v>43671</v>
      </c>
      <c r="H23" s="13">
        <f>G23-F23</f>
        <v>16</v>
      </c>
      <c r="I23" s="13">
        <f t="shared" si="0"/>
        <v>2</v>
      </c>
      <c r="J23" s="13" t="str">
        <f t="shared" si="1"/>
        <v>Week Day</v>
      </c>
      <c r="K23" s="13">
        <f>MONTH(F23)</f>
        <v>7</v>
      </c>
      <c r="L23" s="6" t="b">
        <f>EXACT(E23,F23)</f>
        <v>0</v>
      </c>
      <c r="M23">
        <v>165</v>
      </c>
      <c r="N23">
        <f t="shared" si="2"/>
        <v>165</v>
      </c>
      <c r="O23" t="s">
        <v>37</v>
      </c>
      <c r="P23" t="str">
        <f>UPPER(O23)</f>
        <v>USD</v>
      </c>
      <c r="Q23">
        <f>VLOOKUP(P23,'Exchange Rate Table'!A:B,2,FALSE)</f>
        <v>1</v>
      </c>
      <c r="R23">
        <v>5513</v>
      </c>
      <c r="S23">
        <f>Q23*R23</f>
        <v>5513</v>
      </c>
      <c r="T23">
        <f>ROUND(R23, 0)</f>
        <v>5513</v>
      </c>
      <c r="U23" s="7" t="s">
        <v>142</v>
      </c>
      <c r="V23">
        <f>VALUE(U23)</f>
        <v>3000</v>
      </c>
      <c r="W23" t="s">
        <v>143</v>
      </c>
      <c r="X23" t="s">
        <v>144</v>
      </c>
      <c r="Y23" t="str">
        <f>CONCATENATE(W23,", ",X23)</f>
        <v>Columbia, SC</v>
      </c>
      <c r="Z23" t="s">
        <v>41</v>
      </c>
      <c r="AA23" t="str">
        <f>TRIM(Z23)</f>
        <v>United States</v>
      </c>
      <c r="AB23" t="s">
        <v>58</v>
      </c>
      <c r="AC23">
        <f>LEN("https://www.kickstarter.com/discover/categories/games/")</f>
        <v>54</v>
      </c>
      <c r="AD23" t="str">
        <f>RIGHT(AB23,LEN(AB23)-54)</f>
        <v>tabletop%20games</v>
      </c>
      <c r="AE23" t="str">
        <f>SUBSTITUTE(AD23,"%20"," ")</f>
        <v>tabletop games</v>
      </c>
      <c r="AF23" s="8"/>
      <c r="AG23" s="8" t="str">
        <f>LOWER(AF23)</f>
        <v/>
      </c>
      <c r="AH23" t="s">
        <v>43</v>
      </c>
      <c r="AJ23" s="18">
        <v>607</v>
      </c>
      <c r="AK23" s="16"/>
      <c r="AL23" s="16"/>
      <c r="AM23" s="16"/>
      <c r="AN23" s="16"/>
      <c r="AO23" s="16"/>
    </row>
    <row r="24" spans="1:41">
      <c r="A24" s="5">
        <v>279753888</v>
      </c>
      <c r="B24" s="5" t="str">
        <f t="shared" si="3"/>
        <v>279753888</v>
      </c>
      <c r="C24" t="s">
        <v>145</v>
      </c>
      <c r="D24" t="str">
        <f>PROPER(C24)</f>
        <v>The World Of The Lost Lands</v>
      </c>
      <c r="E24" s="6">
        <v>43500</v>
      </c>
      <c r="F24" s="6">
        <v>43542</v>
      </c>
      <c r="G24" s="6">
        <v>43558</v>
      </c>
      <c r="H24" s="13">
        <f>G24-F24</f>
        <v>16</v>
      </c>
      <c r="I24" s="13">
        <f t="shared" si="0"/>
        <v>1</v>
      </c>
      <c r="J24" s="13" t="str">
        <f t="shared" si="1"/>
        <v>Week Day</v>
      </c>
      <c r="K24" s="13">
        <f>MONTH(F24)</f>
        <v>3</v>
      </c>
      <c r="L24" s="6" t="b">
        <f>EXACT(E24,F24)</f>
        <v>0</v>
      </c>
      <c r="M24">
        <v>30</v>
      </c>
      <c r="N24">
        <f t="shared" si="2"/>
        <v>30</v>
      </c>
      <c r="O24" t="s">
        <v>37</v>
      </c>
      <c r="P24" t="str">
        <f>UPPER(O24)</f>
        <v>USD</v>
      </c>
      <c r="Q24">
        <f>VLOOKUP(P24,'Exchange Rate Table'!A:B,2,FALSE)</f>
        <v>1</v>
      </c>
      <c r="R24">
        <v>1232</v>
      </c>
      <c r="S24">
        <f>Q24*R24</f>
        <v>1232</v>
      </c>
      <c r="T24">
        <f>ROUND(R24, 0)</f>
        <v>1232</v>
      </c>
      <c r="U24" s="7" t="s">
        <v>146</v>
      </c>
      <c r="V24">
        <f>VALUE(U24)</f>
        <v>1000</v>
      </c>
      <c r="W24" t="s">
        <v>147</v>
      </c>
      <c r="X24" t="s">
        <v>148</v>
      </c>
      <c r="Y24" t="str">
        <f>CONCATENATE(W24,", ",X24)</f>
        <v>Ashland, OR</v>
      </c>
      <c r="Z24" t="s">
        <v>41</v>
      </c>
      <c r="AA24" t="str">
        <f>TRIM(Z24)</f>
        <v>United States</v>
      </c>
      <c r="AB24" t="s">
        <v>58</v>
      </c>
      <c r="AC24">
        <f>LEN("https://www.kickstarter.com/discover/categories/games/")</f>
        <v>54</v>
      </c>
      <c r="AD24" t="str">
        <f>RIGHT(AB24,LEN(AB24)-54)</f>
        <v>tabletop%20games</v>
      </c>
      <c r="AE24" t="str">
        <f>SUBSTITUTE(AD24,"%20"," ")</f>
        <v>tabletop games</v>
      </c>
      <c r="AF24" s="8" t="b">
        <v>0</v>
      </c>
      <c r="AG24" s="8" t="str">
        <f>LOWER(AF24)</f>
        <v>false</v>
      </c>
      <c r="AH24" t="s">
        <v>43</v>
      </c>
      <c r="AJ24" s="18">
        <v>741</v>
      </c>
      <c r="AK24" s="16"/>
      <c r="AL24" s="16"/>
      <c r="AM24" s="16"/>
      <c r="AN24" s="16"/>
      <c r="AO24" s="16"/>
    </row>
    <row r="25" spans="1:41">
      <c r="A25" s="5">
        <v>283822315</v>
      </c>
      <c r="B25" s="5" t="str">
        <f t="shared" si="3"/>
        <v>283822315</v>
      </c>
      <c r="C25" t="s">
        <v>149</v>
      </c>
      <c r="D25" t="str">
        <f>PROPER(C25)</f>
        <v>Super Dude Jump</v>
      </c>
      <c r="E25" s="6">
        <v>43502</v>
      </c>
      <c r="F25" s="6">
        <v>43507</v>
      </c>
      <c r="G25" s="6">
        <v>43529</v>
      </c>
      <c r="H25" s="13">
        <f>G25-F25</f>
        <v>22</v>
      </c>
      <c r="I25" s="13">
        <f t="shared" si="0"/>
        <v>1</v>
      </c>
      <c r="J25" s="13" t="str">
        <f t="shared" si="1"/>
        <v>Week Day</v>
      </c>
      <c r="K25" s="13">
        <f>MONTH(F25)</f>
        <v>2</v>
      </c>
      <c r="L25" s="6" t="b">
        <f>EXACT(E25,F25)</f>
        <v>0</v>
      </c>
      <c r="M25">
        <v>374</v>
      </c>
      <c r="N25">
        <f t="shared" si="2"/>
        <v>374</v>
      </c>
      <c r="O25" t="s">
        <v>37</v>
      </c>
      <c r="P25" t="str">
        <f>UPPER(O25)</f>
        <v>USD</v>
      </c>
      <c r="Q25">
        <f>VLOOKUP(P25,'Exchange Rate Table'!A:B,2,FALSE)</f>
        <v>1</v>
      </c>
      <c r="R25">
        <v>24135</v>
      </c>
      <c r="S25">
        <f>Q25*R25</f>
        <v>24135</v>
      </c>
      <c r="T25">
        <f>ROUND(R25, 0)</f>
        <v>24135</v>
      </c>
      <c r="U25" s="7" t="s">
        <v>67</v>
      </c>
      <c r="V25">
        <f>VALUE(U25)</f>
        <v>2500</v>
      </c>
      <c r="W25" t="s">
        <v>150</v>
      </c>
      <c r="X25" t="s">
        <v>151</v>
      </c>
      <c r="Y25" t="str">
        <f>CONCATENATE(W25,", ",X25)</f>
        <v>Little Rock, AR</v>
      </c>
      <c r="Z25" t="s">
        <v>41</v>
      </c>
      <c r="AA25" t="str">
        <f>TRIM(Z25)</f>
        <v>United States</v>
      </c>
      <c r="AB25" t="s">
        <v>58</v>
      </c>
      <c r="AC25">
        <f>LEN("https://www.kickstarter.com/discover/categories/games/")</f>
        <v>54</v>
      </c>
      <c r="AD25" t="str">
        <f>RIGHT(AB25,LEN(AB25)-54)</f>
        <v>tabletop%20games</v>
      </c>
      <c r="AE25" t="str">
        <f>SUBSTITUTE(AD25,"%20"," ")</f>
        <v>tabletop games</v>
      </c>
      <c r="AF25" s="8" t="b">
        <v>0</v>
      </c>
      <c r="AG25" s="8" t="str">
        <f>LOWER(AF25)</f>
        <v>false</v>
      </c>
      <c r="AH25" t="s">
        <v>43</v>
      </c>
      <c r="AJ25" s="18">
        <v>808</v>
      </c>
      <c r="AK25" s="16"/>
      <c r="AL25" s="16"/>
      <c r="AM25" s="16"/>
      <c r="AN25" s="16"/>
      <c r="AO25" s="16"/>
    </row>
    <row r="26" spans="1:41">
      <c r="A26" s="5">
        <v>302537271</v>
      </c>
      <c r="B26" s="5" t="str">
        <f t="shared" si="3"/>
        <v>302537271</v>
      </c>
      <c r="C26" t="s">
        <v>152</v>
      </c>
      <c r="D26" t="str">
        <f>PROPER(C26)</f>
        <v>Sloosh Cards</v>
      </c>
      <c r="E26" s="6">
        <v>43504</v>
      </c>
      <c r="F26" s="6">
        <v>43506</v>
      </c>
      <c r="G26" s="6">
        <v>43536</v>
      </c>
      <c r="H26" s="13">
        <f>G26-F26</f>
        <v>30</v>
      </c>
      <c r="I26" s="13">
        <f t="shared" si="0"/>
        <v>7</v>
      </c>
      <c r="J26" s="13" t="str">
        <f t="shared" si="1"/>
        <v>Weekend</v>
      </c>
      <c r="K26" s="13">
        <f>MONTH(F26)</f>
        <v>2</v>
      </c>
      <c r="L26" s="6" t="b">
        <f>EXACT(E26,F26)</f>
        <v>0</v>
      </c>
      <c r="M26">
        <v>310</v>
      </c>
      <c r="N26">
        <f t="shared" si="2"/>
        <v>310</v>
      </c>
      <c r="O26" t="s">
        <v>112</v>
      </c>
      <c r="P26" t="str">
        <f>UPPER(O26)</f>
        <v>SGD</v>
      </c>
      <c r="Q26">
        <f>VLOOKUP(P26,'Exchange Rate Table'!A:B,2,FALSE)</f>
        <v>0.70150824000000001</v>
      </c>
      <c r="R26">
        <v>20861</v>
      </c>
      <c r="S26">
        <f>Q26*R26</f>
        <v>14634.16339464</v>
      </c>
      <c r="T26">
        <f>ROUND(R26, 0)</f>
        <v>20861</v>
      </c>
      <c r="U26" s="7" t="s">
        <v>153</v>
      </c>
      <c r="V26">
        <f>VALUE(U26)</f>
        <v>6800</v>
      </c>
      <c r="W26" t="s">
        <v>114</v>
      </c>
      <c r="X26" t="s">
        <v>115</v>
      </c>
      <c r="Y26" t="str">
        <f>CONCATENATE(W26,", ",X26)</f>
        <v>Singapore, Central Singapore</v>
      </c>
      <c r="Z26" t="s">
        <v>116</v>
      </c>
      <c r="AA26" t="str">
        <f>TRIM(Z26)</f>
        <v>Singapore</v>
      </c>
      <c r="AB26" t="s">
        <v>70</v>
      </c>
      <c r="AC26">
        <f>LEN("https://www.kickstarter.com/discover/categories/games/")</f>
        <v>54</v>
      </c>
      <c r="AD26" t="str">
        <f>RIGHT(AB26,LEN(AB26)-54)</f>
        <v>playing%20cards</v>
      </c>
      <c r="AE26" t="str">
        <f>SUBSTITUTE(AD26,"%20"," ")</f>
        <v>playing cards</v>
      </c>
      <c r="AF26" s="8" t="b">
        <v>0</v>
      </c>
      <c r="AG26" s="8" t="str">
        <f>LOWER(AF26)</f>
        <v>false</v>
      </c>
      <c r="AH26" t="s">
        <v>43</v>
      </c>
      <c r="AJ26" s="18">
        <v>815</v>
      </c>
      <c r="AK26" s="16"/>
      <c r="AL26" s="16"/>
      <c r="AM26" s="16"/>
      <c r="AN26" s="16"/>
      <c r="AO26" s="16"/>
    </row>
    <row r="27" spans="1:41">
      <c r="A27" s="5">
        <v>310730322</v>
      </c>
      <c r="B27" s="5" t="str">
        <f t="shared" si="3"/>
        <v>310730322</v>
      </c>
      <c r="C27" t="s">
        <v>154</v>
      </c>
      <c r="D27" t="str">
        <f>PROPER(C27)</f>
        <v>Dice Friend - Innovative Dice Tray &amp; Dice Bag - 2 In 1</v>
      </c>
      <c r="E27" s="6">
        <v>43507</v>
      </c>
      <c r="F27" s="6">
        <v>43593</v>
      </c>
      <c r="G27" s="6">
        <v>43616</v>
      </c>
      <c r="H27" s="13">
        <f>G27-F27</f>
        <v>23</v>
      </c>
      <c r="I27" s="13">
        <f t="shared" si="0"/>
        <v>3</v>
      </c>
      <c r="J27" s="13" t="str">
        <f t="shared" si="1"/>
        <v>Week Day</v>
      </c>
      <c r="K27" s="13">
        <f>MONTH(F27)</f>
        <v>5</v>
      </c>
      <c r="L27" s="6" t="b">
        <f>EXACT(E27,F27)</f>
        <v>0</v>
      </c>
      <c r="M27">
        <v>291</v>
      </c>
      <c r="N27">
        <f t="shared" si="2"/>
        <v>291</v>
      </c>
      <c r="O27" t="s">
        <v>37</v>
      </c>
      <c r="P27" t="str">
        <f>UPPER(O27)</f>
        <v>USD</v>
      </c>
      <c r="Q27">
        <f>VLOOKUP(P27,'Exchange Rate Table'!A:B,2,FALSE)</f>
        <v>1</v>
      </c>
      <c r="R27">
        <v>6234</v>
      </c>
      <c r="S27">
        <f>Q27*R27</f>
        <v>6234</v>
      </c>
      <c r="T27">
        <f>ROUND(R27, 0)</f>
        <v>6234</v>
      </c>
      <c r="U27" s="7" t="s">
        <v>155</v>
      </c>
      <c r="V27">
        <f>VALUE(U27)</f>
        <v>3200</v>
      </c>
      <c r="W27" t="s">
        <v>100</v>
      </c>
      <c r="X27" t="s">
        <v>101</v>
      </c>
      <c r="Y27" t="str">
        <f>CONCATENATE(W27,", ",X27)</f>
        <v>Rochester, NY</v>
      </c>
      <c r="Z27" t="s">
        <v>41</v>
      </c>
      <c r="AA27" t="str">
        <f>TRIM(Z27)</f>
        <v>United States</v>
      </c>
      <c r="AB27" t="s">
        <v>58</v>
      </c>
      <c r="AC27">
        <f>LEN("https://www.kickstarter.com/discover/categories/games/")</f>
        <v>54</v>
      </c>
      <c r="AD27" t="str">
        <f>RIGHT(AB27,LEN(AB27)-54)</f>
        <v>tabletop%20games</v>
      </c>
      <c r="AE27" t="str">
        <f>SUBSTITUTE(AD27,"%20"," ")</f>
        <v>tabletop games</v>
      </c>
      <c r="AF27" s="8" t="b">
        <v>0</v>
      </c>
      <c r="AG27" s="8" t="str">
        <f>LOWER(AF27)</f>
        <v>false</v>
      </c>
      <c r="AH27" t="s">
        <v>43</v>
      </c>
      <c r="AJ27" s="18">
        <v>821</v>
      </c>
      <c r="AK27" s="16"/>
      <c r="AL27" s="16"/>
      <c r="AM27" s="16"/>
      <c r="AN27" s="16"/>
      <c r="AO27" s="16"/>
    </row>
    <row r="28" spans="1:41">
      <c r="A28" s="5">
        <v>310781283</v>
      </c>
      <c r="B28" s="5" t="str">
        <f t="shared" si="3"/>
        <v>310781283</v>
      </c>
      <c r="C28" t="s">
        <v>156</v>
      </c>
      <c r="D28" t="str">
        <f>PROPER(C28)</f>
        <v>Dungeon Craft: Build Your Own Battle Maps!</v>
      </c>
      <c r="E28" s="6">
        <v>43508</v>
      </c>
      <c r="F28" s="6">
        <v>43508</v>
      </c>
      <c r="G28" s="6">
        <v>43523</v>
      </c>
      <c r="H28" s="13">
        <f>G28-F28</f>
        <v>15</v>
      </c>
      <c r="I28" s="13">
        <f t="shared" si="0"/>
        <v>2</v>
      </c>
      <c r="J28" s="13" t="str">
        <f t="shared" si="1"/>
        <v>Week Day</v>
      </c>
      <c r="K28" s="13">
        <f>MONTH(F28)</f>
        <v>2</v>
      </c>
      <c r="L28" s="6" t="b">
        <f>EXACT(E28,F28)</f>
        <v>1</v>
      </c>
      <c r="M28">
        <v>153</v>
      </c>
      <c r="N28">
        <f t="shared" si="2"/>
        <v>153</v>
      </c>
      <c r="O28" t="s">
        <v>72</v>
      </c>
      <c r="P28" t="str">
        <f>UPPER(O28)</f>
        <v>EUR</v>
      </c>
      <c r="Q28">
        <f>VLOOKUP(P28,'Exchange Rate Table'!A:B,2,FALSE)</f>
        <v>1.16955371</v>
      </c>
      <c r="R28">
        <v>808</v>
      </c>
      <c r="S28">
        <f>Q28*R28</f>
        <v>944.99939768000002</v>
      </c>
      <c r="T28">
        <f>ROUND(R28, 0)</f>
        <v>808</v>
      </c>
      <c r="U28" s="7" t="s">
        <v>157</v>
      </c>
      <c r="V28">
        <f>VALUE(U28)</f>
        <v>80</v>
      </c>
      <c r="W28" t="s">
        <v>158</v>
      </c>
      <c r="X28" t="s">
        <v>159</v>
      </c>
      <c r="Y28" t="str">
        <f>CONCATENATE(W28,", ",X28)</f>
        <v>Italia, Piedmont</v>
      </c>
      <c r="Z28" t="s">
        <v>76</v>
      </c>
      <c r="AA28" t="str">
        <f>TRIM(Z28)</f>
        <v>Italy</v>
      </c>
      <c r="AB28" t="s">
        <v>58</v>
      </c>
      <c r="AC28">
        <f>LEN("https://www.kickstarter.com/discover/categories/games/")</f>
        <v>54</v>
      </c>
      <c r="AD28" t="str">
        <f>RIGHT(AB28,LEN(AB28)-54)</f>
        <v>tabletop%20games</v>
      </c>
      <c r="AE28" t="str">
        <f>SUBSTITUTE(AD28,"%20"," ")</f>
        <v>tabletop games</v>
      </c>
      <c r="AF28" s="8" t="b">
        <v>0</v>
      </c>
      <c r="AG28" s="8" t="str">
        <f>LOWER(AF28)</f>
        <v>false</v>
      </c>
      <c r="AH28" t="s">
        <v>43</v>
      </c>
      <c r="AJ28" s="18">
        <v>904</v>
      </c>
      <c r="AK28" s="16"/>
      <c r="AL28" s="16"/>
      <c r="AM28" s="16"/>
      <c r="AN28" s="16"/>
      <c r="AO28" s="16"/>
    </row>
    <row r="29" spans="1:41">
      <c r="A29" s="5">
        <v>328751672</v>
      </c>
      <c r="B29" s="5" t="str">
        <f t="shared" si="3"/>
        <v>328751672</v>
      </c>
      <c r="C29" t="s">
        <v>160</v>
      </c>
      <c r="D29" t="str">
        <f>PROPER(C29)</f>
        <v>The Mana Pool For Magic The Gathering</v>
      </c>
      <c r="E29" s="6">
        <v>43512</v>
      </c>
      <c r="F29" s="6">
        <v>43521</v>
      </c>
      <c r="G29" s="6">
        <v>43551</v>
      </c>
      <c r="H29" s="13">
        <f>G29-F29</f>
        <v>30</v>
      </c>
      <c r="I29" s="13">
        <f t="shared" si="0"/>
        <v>1</v>
      </c>
      <c r="J29" s="13" t="str">
        <f t="shared" si="1"/>
        <v>Week Day</v>
      </c>
      <c r="K29" s="13">
        <f>MONTH(F29)</f>
        <v>2</v>
      </c>
      <c r="L29" s="6" t="b">
        <f>EXACT(E29,F29)</f>
        <v>0</v>
      </c>
      <c r="M29">
        <v>519</v>
      </c>
      <c r="N29">
        <f t="shared" si="2"/>
        <v>519</v>
      </c>
      <c r="O29" t="s">
        <v>37</v>
      </c>
      <c r="P29" t="str">
        <f>UPPER(O29)</f>
        <v>USD</v>
      </c>
      <c r="Q29">
        <f>VLOOKUP(P29,'Exchange Rate Table'!A:B,2,FALSE)</f>
        <v>1</v>
      </c>
      <c r="R29">
        <v>7169</v>
      </c>
      <c r="S29">
        <f>Q29*R29</f>
        <v>7169</v>
      </c>
      <c r="T29">
        <f>ROUND(R29, 0)</f>
        <v>7169</v>
      </c>
      <c r="U29" s="7" t="s">
        <v>146</v>
      </c>
      <c r="V29">
        <f>VALUE(U29)</f>
        <v>1000</v>
      </c>
      <c r="W29" t="s">
        <v>161</v>
      </c>
      <c r="X29" t="s">
        <v>162</v>
      </c>
      <c r="Y29" t="str">
        <f>CONCATENATE(W29,", ",X29)</f>
        <v>Kalamazoo, MI</v>
      </c>
      <c r="Z29" t="s">
        <v>41</v>
      </c>
      <c r="AA29" t="str">
        <f>TRIM(Z29)</f>
        <v>United States</v>
      </c>
      <c r="AB29" t="s">
        <v>58</v>
      </c>
      <c r="AC29">
        <f>LEN("https://www.kickstarter.com/discover/categories/games/")</f>
        <v>54</v>
      </c>
      <c r="AD29" t="str">
        <f>RIGHT(AB29,LEN(AB29)-54)</f>
        <v>tabletop%20games</v>
      </c>
      <c r="AE29" t="str">
        <f>SUBSTITUTE(AD29,"%20"," ")</f>
        <v>tabletop games</v>
      </c>
      <c r="AF29" s="8" t="b">
        <v>0</v>
      </c>
      <c r="AG29" s="8" t="str">
        <f>LOWER(AF29)</f>
        <v>false</v>
      </c>
      <c r="AH29" t="s">
        <v>43</v>
      </c>
      <c r="AJ29" s="18">
        <v>915</v>
      </c>
      <c r="AK29" s="16"/>
      <c r="AL29" s="16"/>
      <c r="AM29" s="16"/>
      <c r="AN29" s="16"/>
      <c r="AO29" s="16"/>
    </row>
    <row r="30" spans="1:41">
      <c r="A30" s="5">
        <v>343166008</v>
      </c>
      <c r="B30" s="5" t="str">
        <f t="shared" si="3"/>
        <v>343166008</v>
      </c>
      <c r="C30" t="s">
        <v>163</v>
      </c>
      <c r="D30" t="str">
        <f>PROPER(C30)</f>
        <v>Rpg Pins Show Off Your Love Of Roleplaying Games! Series 1.5</v>
      </c>
      <c r="E30" s="6">
        <v>43512</v>
      </c>
      <c r="F30" s="6">
        <v>43514</v>
      </c>
      <c r="G30" s="6">
        <v>43529</v>
      </c>
      <c r="H30" s="13">
        <f>G30-F30</f>
        <v>15</v>
      </c>
      <c r="I30" s="13">
        <f t="shared" si="0"/>
        <v>1</v>
      </c>
      <c r="J30" s="13" t="str">
        <f t="shared" si="1"/>
        <v>Week Day</v>
      </c>
      <c r="K30" s="13">
        <f>MONTH(F30)</f>
        <v>2</v>
      </c>
      <c r="L30" s="6" t="b">
        <f>EXACT(E30,F30)</f>
        <v>0</v>
      </c>
      <c r="M30">
        <v>268</v>
      </c>
      <c r="N30">
        <f t="shared" si="2"/>
        <v>268</v>
      </c>
      <c r="O30" t="s">
        <v>37</v>
      </c>
      <c r="P30" t="str">
        <f>UPPER(O30)</f>
        <v>USD</v>
      </c>
      <c r="Q30">
        <f>VLOOKUP(P30,'Exchange Rate Table'!A:B,2,FALSE)</f>
        <v>1</v>
      </c>
      <c r="R30">
        <v>5469</v>
      </c>
      <c r="S30">
        <f>Q30*R30</f>
        <v>5469</v>
      </c>
      <c r="T30">
        <f>ROUND(R30, 0)</f>
        <v>5469</v>
      </c>
      <c r="U30" s="7" t="s">
        <v>164</v>
      </c>
      <c r="V30">
        <f>VALUE(U30)</f>
        <v>500</v>
      </c>
      <c r="W30" t="s">
        <v>165</v>
      </c>
      <c r="X30" t="s">
        <v>101</v>
      </c>
      <c r="Y30" t="str">
        <f>CONCATENATE(W30,", ",X30)</f>
        <v>Astoria, NY</v>
      </c>
      <c r="Z30" t="s">
        <v>41</v>
      </c>
      <c r="AA30" t="str">
        <f>TRIM(Z30)</f>
        <v>United States</v>
      </c>
      <c r="AB30" t="s">
        <v>58</v>
      </c>
      <c r="AC30">
        <f>LEN("https://www.kickstarter.com/discover/categories/games/")</f>
        <v>54</v>
      </c>
      <c r="AD30" t="str">
        <f>RIGHT(AB30,LEN(AB30)-54)</f>
        <v>tabletop%20games</v>
      </c>
      <c r="AE30" t="str">
        <f>SUBSTITUTE(AD30,"%20"," ")</f>
        <v>tabletop games</v>
      </c>
      <c r="AF30" s="8" t="b">
        <v>1</v>
      </c>
      <c r="AG30" s="8" t="str">
        <f>LOWER(AF30)</f>
        <v>true</v>
      </c>
      <c r="AH30" t="s">
        <v>43</v>
      </c>
      <c r="AJ30" s="18">
        <v>989</v>
      </c>
      <c r="AK30" s="16"/>
      <c r="AL30" s="16"/>
      <c r="AM30" s="16"/>
      <c r="AN30" s="16"/>
      <c r="AO30" s="16"/>
    </row>
    <row r="31" spans="1:41">
      <c r="A31" s="5">
        <v>375484295</v>
      </c>
      <c r="B31" s="5" t="str">
        <f t="shared" si="3"/>
        <v>375484295</v>
      </c>
      <c r="C31" t="s">
        <v>166</v>
      </c>
      <c r="D31" t="str">
        <f>PROPER(C31)</f>
        <v>Way Of The Samurai</v>
      </c>
      <c r="E31" s="6">
        <v>43515</v>
      </c>
      <c r="F31" s="6">
        <v>43536</v>
      </c>
      <c r="G31" s="6">
        <v>43566</v>
      </c>
      <c r="H31" s="13">
        <f>G31-F31</f>
        <v>30</v>
      </c>
      <c r="I31" s="13">
        <f t="shared" si="0"/>
        <v>2</v>
      </c>
      <c r="J31" s="13" t="str">
        <f t="shared" si="1"/>
        <v>Week Day</v>
      </c>
      <c r="K31" s="13">
        <f>MONTH(F31)</f>
        <v>3</v>
      </c>
      <c r="L31" s="6" t="b">
        <f>EXACT(E31,F31)</f>
        <v>0</v>
      </c>
      <c r="M31">
        <v>479</v>
      </c>
      <c r="N31">
        <f t="shared" si="2"/>
        <v>479</v>
      </c>
      <c r="O31" t="s">
        <v>53</v>
      </c>
      <c r="P31" t="str">
        <f>UPPER(O31)</f>
        <v>GBP</v>
      </c>
      <c r="Q31">
        <f>VLOOKUP(P31,'Exchange Rate Table'!A:B,2,FALSE)</f>
        <v>1.49576325</v>
      </c>
      <c r="R31">
        <v>16854</v>
      </c>
      <c r="S31">
        <f>Q31*R31</f>
        <v>25209.5938155</v>
      </c>
      <c r="T31">
        <f>ROUND(R31, 0)</f>
        <v>16854</v>
      </c>
      <c r="U31" s="7" t="s">
        <v>167</v>
      </c>
      <c r="V31">
        <f>VALUE(U31)</f>
        <v>8500</v>
      </c>
      <c r="W31" t="s">
        <v>168</v>
      </c>
      <c r="X31" t="s">
        <v>56</v>
      </c>
      <c r="Y31" t="str">
        <f>CONCATENATE(W31,", ",X31)</f>
        <v>Reading, England</v>
      </c>
      <c r="Z31" t="s">
        <v>57</v>
      </c>
      <c r="AA31" t="str">
        <f>TRIM(Z31)</f>
        <v>United Kingdom</v>
      </c>
      <c r="AB31" t="s">
        <v>70</v>
      </c>
      <c r="AC31">
        <f>LEN("https://www.kickstarter.com/discover/categories/games/")</f>
        <v>54</v>
      </c>
      <c r="AD31" t="str">
        <f>RIGHT(AB31,LEN(AB31)-54)</f>
        <v>playing%20cards</v>
      </c>
      <c r="AE31" t="str">
        <f>SUBSTITUTE(AD31,"%20"," ")</f>
        <v>playing cards</v>
      </c>
      <c r="AF31" s="8" t="b">
        <v>0</v>
      </c>
      <c r="AG31" s="8" t="str">
        <f>LOWER(AF31)</f>
        <v>false</v>
      </c>
      <c r="AH31" t="s">
        <v>43</v>
      </c>
      <c r="AJ31" s="18">
        <v>1004</v>
      </c>
      <c r="AK31" s="16"/>
      <c r="AL31" s="16"/>
      <c r="AM31" s="16"/>
      <c r="AN31" s="16"/>
      <c r="AO31" s="16"/>
    </row>
    <row r="32" spans="1:41">
      <c r="A32" s="5">
        <v>375970229</v>
      </c>
      <c r="B32" s="5" t="str">
        <f t="shared" si="3"/>
        <v>375970229</v>
      </c>
      <c r="C32" t="s">
        <v>169</v>
      </c>
      <c r="D32" t="str">
        <f>PROPER(C32)</f>
        <v>Budzzles...It'S A Bud, It'S A Puzzle, It'S A Budzzle!</v>
      </c>
      <c r="E32" s="6">
        <v>43515</v>
      </c>
      <c r="F32" s="6">
        <v>43598</v>
      </c>
      <c r="G32" s="6">
        <v>43628</v>
      </c>
      <c r="H32" s="13">
        <f>G32-F32</f>
        <v>30</v>
      </c>
      <c r="I32" s="13">
        <f t="shared" si="0"/>
        <v>1</v>
      </c>
      <c r="J32" s="13" t="str">
        <f t="shared" si="1"/>
        <v>Week Day</v>
      </c>
      <c r="K32" s="13">
        <f>MONTH(F32)</f>
        <v>5</v>
      </c>
      <c r="L32" s="6" t="b">
        <f>EXACT(E32,F32)</f>
        <v>0</v>
      </c>
      <c r="M32">
        <v>282</v>
      </c>
      <c r="N32">
        <f t="shared" si="2"/>
        <v>282</v>
      </c>
      <c r="O32" t="s">
        <v>53</v>
      </c>
      <c r="P32" t="str">
        <f>UPPER(O32)</f>
        <v>GBP</v>
      </c>
      <c r="Q32">
        <f>VLOOKUP(P32,'Exchange Rate Table'!A:B,2,FALSE)</f>
        <v>1.49576325</v>
      </c>
      <c r="R32">
        <v>18800</v>
      </c>
      <c r="S32">
        <f>Q32*R32</f>
        <v>28120.349099999999</v>
      </c>
      <c r="T32">
        <f>ROUND(R32, 0)</f>
        <v>18800</v>
      </c>
      <c r="U32" s="7" t="s">
        <v>38</v>
      </c>
      <c r="V32">
        <f>VALUE(U32)</f>
        <v>15000</v>
      </c>
      <c r="W32" t="s">
        <v>170</v>
      </c>
      <c r="X32" t="s">
        <v>56</v>
      </c>
      <c r="Y32" t="str">
        <f>CONCATENATE(W32,", ",X32)</f>
        <v>London, England</v>
      </c>
      <c r="Z32" t="s">
        <v>57</v>
      </c>
      <c r="AA32" t="str">
        <f>TRIM(Z32)</f>
        <v>United Kingdom</v>
      </c>
      <c r="AB32" t="s">
        <v>58</v>
      </c>
      <c r="AC32">
        <f>LEN("https://www.kickstarter.com/discover/categories/games/")</f>
        <v>54</v>
      </c>
      <c r="AD32" t="str">
        <f>RIGHT(AB32,LEN(AB32)-54)</f>
        <v>tabletop%20games</v>
      </c>
      <c r="AE32" t="str">
        <f>SUBSTITUTE(AD32,"%20"," ")</f>
        <v>tabletop games</v>
      </c>
      <c r="AF32" s="8" t="b">
        <v>0</v>
      </c>
      <c r="AG32" s="8" t="str">
        <f>LOWER(AF32)</f>
        <v>false</v>
      </c>
      <c r="AH32" t="s">
        <v>43</v>
      </c>
      <c r="AJ32" s="18">
        <v>1057</v>
      </c>
      <c r="AK32" s="16"/>
      <c r="AL32" s="16"/>
      <c r="AM32" s="16"/>
      <c r="AN32" s="16"/>
      <c r="AO32" s="16"/>
    </row>
    <row r="33" spans="1:41">
      <c r="A33" s="5">
        <v>376043872</v>
      </c>
      <c r="B33" s="5" t="str">
        <f t="shared" si="3"/>
        <v>376043872</v>
      </c>
      <c r="C33" t="s">
        <v>171</v>
      </c>
      <c r="D33" t="str">
        <f>PROPER(C33)</f>
        <v>Fief: The Lords Miniatures! Ks Exclusive!</v>
      </c>
      <c r="E33" s="6">
        <v>43515</v>
      </c>
      <c r="F33" s="6">
        <v>43524</v>
      </c>
      <c r="G33" s="6">
        <v>43539</v>
      </c>
      <c r="H33" s="13">
        <f>G33-F33</f>
        <v>15</v>
      </c>
      <c r="I33" s="13">
        <f t="shared" si="0"/>
        <v>4</v>
      </c>
      <c r="J33" s="13" t="str">
        <f t="shared" si="1"/>
        <v>Week Day</v>
      </c>
      <c r="K33" s="13">
        <f>MONTH(F33)</f>
        <v>2</v>
      </c>
      <c r="L33" s="6" t="b">
        <f>EXACT(E33,F33)</f>
        <v>0</v>
      </c>
      <c r="M33">
        <v>125</v>
      </c>
      <c r="N33">
        <f t="shared" si="2"/>
        <v>125</v>
      </c>
      <c r="O33" t="s">
        <v>37</v>
      </c>
      <c r="P33" t="str">
        <f>UPPER(O33)</f>
        <v>USD</v>
      </c>
      <c r="Q33">
        <f>VLOOKUP(P33,'Exchange Rate Table'!A:B,2,FALSE)</f>
        <v>1</v>
      </c>
      <c r="R33">
        <v>1731</v>
      </c>
      <c r="S33">
        <f>Q33*R33</f>
        <v>1731</v>
      </c>
      <c r="T33">
        <f>ROUND(R33, 0)</f>
        <v>1731</v>
      </c>
      <c r="U33" s="7" t="s">
        <v>164</v>
      </c>
      <c r="V33">
        <f>VALUE(U33)</f>
        <v>500</v>
      </c>
      <c r="W33" t="s">
        <v>172</v>
      </c>
      <c r="X33" t="s">
        <v>173</v>
      </c>
      <c r="Y33" t="str">
        <f>CONCATENATE(W33,", ",X33)</f>
        <v>Chicago, IL</v>
      </c>
      <c r="Z33" t="s">
        <v>41</v>
      </c>
      <c r="AA33" t="str">
        <f>TRIM(Z33)</f>
        <v>United States</v>
      </c>
      <c r="AB33" t="s">
        <v>58</v>
      </c>
      <c r="AC33">
        <f>LEN("https://www.kickstarter.com/discover/categories/games/")</f>
        <v>54</v>
      </c>
      <c r="AD33" t="str">
        <f>RIGHT(AB33,LEN(AB33)-54)</f>
        <v>tabletop%20games</v>
      </c>
      <c r="AE33" t="str">
        <f>SUBSTITUTE(AD33,"%20"," ")</f>
        <v>tabletop games</v>
      </c>
      <c r="AF33" s="8" t="b">
        <v>0</v>
      </c>
      <c r="AG33" s="8" t="str">
        <f>LOWER(AF33)</f>
        <v>false</v>
      </c>
      <c r="AH33" t="s">
        <v>43</v>
      </c>
      <c r="AJ33" s="18">
        <v>1154</v>
      </c>
      <c r="AK33" s="16"/>
      <c r="AL33" s="16"/>
      <c r="AM33" s="16"/>
      <c r="AN33" s="16"/>
      <c r="AO33" s="16"/>
    </row>
    <row r="34" spans="1:41">
      <c r="A34" s="5">
        <v>376134156</v>
      </c>
      <c r="B34" s="5" t="str">
        <f t="shared" si="3"/>
        <v>376134156</v>
      </c>
      <c r="C34" t="s">
        <v>174</v>
      </c>
      <c r="D34" t="str">
        <f>PROPER(C34)</f>
        <v>Warbands Of The Dark Beyond</v>
      </c>
      <c r="E34" s="6">
        <v>43518</v>
      </c>
      <c r="F34" s="6">
        <v>43578</v>
      </c>
      <c r="G34" s="6">
        <v>43614</v>
      </c>
      <c r="H34" s="13">
        <f>G34-F34</f>
        <v>36</v>
      </c>
      <c r="I34" s="13">
        <f t="shared" ref="I34:I65" si="4">WEEKDAY(F34, 2)</f>
        <v>2</v>
      </c>
      <c r="J34" s="13" t="str">
        <f t="shared" ref="J34:J65" si="5">IF(I34&gt;5, "Weekend", "Week Day")</f>
        <v>Week Day</v>
      </c>
      <c r="K34" s="13">
        <f>MONTH(F34)</f>
        <v>4</v>
      </c>
      <c r="L34" s="6" t="b">
        <f>EXACT(E34,F34)</f>
        <v>0</v>
      </c>
      <c r="M34">
        <v>710</v>
      </c>
      <c r="N34">
        <f t="shared" ref="N34:N65" si="6">IF(OR(K34=1,K34=9), IF(AND(W34="Vancouver",AA34="Canada"), M34+5, M34), M34)</f>
        <v>710</v>
      </c>
      <c r="O34" t="s">
        <v>60</v>
      </c>
      <c r="P34" t="str">
        <f>UPPER(O34)</f>
        <v>CAD</v>
      </c>
      <c r="Q34">
        <f>VLOOKUP(P34,'Exchange Rate Table'!A:B,2,FALSE)</f>
        <v>0.76932900999999998</v>
      </c>
      <c r="R34">
        <v>46303.29</v>
      </c>
      <c r="S34">
        <f>Q34*R34</f>
        <v>35622.464255442901</v>
      </c>
      <c r="T34">
        <f>ROUND(R34, 0)</f>
        <v>46303</v>
      </c>
      <c r="U34" s="7" t="s">
        <v>175</v>
      </c>
      <c r="V34">
        <f>VALUE(U34)</f>
        <v>27000</v>
      </c>
      <c r="W34" t="s">
        <v>62</v>
      </c>
      <c r="X34" t="s">
        <v>63</v>
      </c>
      <c r="Y34" t="str">
        <f>CONCATENATE(W34,", ",X34)</f>
        <v>Vancouver, BC</v>
      </c>
      <c r="Z34" t="s">
        <v>64</v>
      </c>
      <c r="AA34" t="str">
        <f>TRIM(Z34)</f>
        <v>Canada</v>
      </c>
      <c r="AB34" t="s">
        <v>58</v>
      </c>
      <c r="AC34">
        <f>LEN("https://www.kickstarter.com/discover/categories/games/")</f>
        <v>54</v>
      </c>
      <c r="AD34" t="str">
        <f>RIGHT(AB34,LEN(AB34)-54)</f>
        <v>tabletop%20games</v>
      </c>
      <c r="AE34" t="str">
        <f>SUBSTITUTE(AD34,"%20"," ")</f>
        <v>tabletop games</v>
      </c>
      <c r="AF34" s="8" t="b">
        <v>0</v>
      </c>
      <c r="AG34" s="8" t="str">
        <f>LOWER(AF34)</f>
        <v>false</v>
      </c>
      <c r="AH34" t="s">
        <v>43</v>
      </c>
      <c r="AJ34" s="18">
        <v>1232</v>
      </c>
      <c r="AK34" s="16"/>
      <c r="AL34" s="16"/>
      <c r="AM34" s="16"/>
      <c r="AN34" s="16"/>
      <c r="AO34" s="16"/>
    </row>
    <row r="35" spans="1:41">
      <c r="A35" s="5">
        <v>378511446</v>
      </c>
      <c r="B35" s="5" t="str">
        <f t="shared" si="3"/>
        <v>378511446</v>
      </c>
      <c r="C35" t="s">
        <v>176</v>
      </c>
      <c r="D35" t="str">
        <f>PROPER(C35)</f>
        <v>Sensory White Playing Cards By Lunzi</v>
      </c>
      <c r="E35" s="6">
        <v>43520</v>
      </c>
      <c r="F35" s="6">
        <v>43525</v>
      </c>
      <c r="G35" s="6">
        <v>43585</v>
      </c>
      <c r="H35" s="13">
        <f>G35-F35</f>
        <v>60</v>
      </c>
      <c r="I35" s="13">
        <f t="shared" si="4"/>
        <v>5</v>
      </c>
      <c r="J35" s="13" t="str">
        <f t="shared" si="5"/>
        <v>Week Day</v>
      </c>
      <c r="K35" s="13">
        <f>MONTH(F35)</f>
        <v>3</v>
      </c>
      <c r="L35" s="6" t="b">
        <f>EXACT(E35,F35)</f>
        <v>0</v>
      </c>
      <c r="M35">
        <v>4</v>
      </c>
      <c r="N35">
        <f t="shared" si="6"/>
        <v>4</v>
      </c>
      <c r="O35" t="s">
        <v>72</v>
      </c>
      <c r="P35" t="str">
        <f>UPPER(O35)</f>
        <v>EUR</v>
      </c>
      <c r="Q35">
        <f>VLOOKUP(P35,'Exchange Rate Table'!A:B,2,FALSE)</f>
        <v>1.16955371</v>
      </c>
      <c r="R35">
        <v>4</v>
      </c>
      <c r="S35">
        <f>Q35*R35</f>
        <v>4.6782148399999999</v>
      </c>
      <c r="T35">
        <f>ROUND(R35, 0)</f>
        <v>4</v>
      </c>
      <c r="U35" s="7" t="s">
        <v>132</v>
      </c>
      <c r="V35">
        <f>VALUE(U35)</f>
        <v>7000</v>
      </c>
      <c r="W35" t="s">
        <v>177</v>
      </c>
      <c r="X35" t="s">
        <v>134</v>
      </c>
      <c r="Y35" t="str">
        <f>CONCATENATE(W35,", ",X35)</f>
        <v>Paris, Ile-de-France</v>
      </c>
      <c r="Z35" t="s">
        <v>135</v>
      </c>
      <c r="AA35" t="str">
        <f>TRIM(Z35)</f>
        <v>France</v>
      </c>
      <c r="AB35" t="s">
        <v>49</v>
      </c>
      <c r="AC35">
        <f>LEN("https://www.kickstarter.com/discover/categories/games/")</f>
        <v>54</v>
      </c>
      <c r="AD35" t="str">
        <f>RIGHT(AB35,LEN(AB35)-54)</f>
        <v>mobile%20games</v>
      </c>
      <c r="AE35" t="str">
        <f>SUBSTITUTE(AD35,"%20"," ")</f>
        <v>mobile games</v>
      </c>
      <c r="AF35" s="8" t="b">
        <v>0</v>
      </c>
      <c r="AG35" s="8" t="str">
        <f>LOWER(AF35)</f>
        <v>false</v>
      </c>
      <c r="AH35" t="s">
        <v>50</v>
      </c>
      <c r="AJ35" s="18">
        <v>1275</v>
      </c>
      <c r="AK35" s="16"/>
      <c r="AL35" s="16"/>
      <c r="AM35" s="16"/>
      <c r="AN35" s="16"/>
      <c r="AO35" s="16"/>
    </row>
    <row r="36" spans="1:41">
      <c r="A36" s="5">
        <v>379865899</v>
      </c>
      <c r="B36" s="5" t="str">
        <f t="shared" si="3"/>
        <v>379865899</v>
      </c>
      <c r="C36" t="s">
        <v>178</v>
      </c>
      <c r="D36" t="str">
        <f>PROPER(C36)</f>
        <v>Tremor</v>
      </c>
      <c r="E36" s="6">
        <v>43520</v>
      </c>
      <c r="F36" s="6">
        <v>43528</v>
      </c>
      <c r="G36" s="6">
        <v>43556</v>
      </c>
      <c r="H36" s="13">
        <f>G36-F36</f>
        <v>28</v>
      </c>
      <c r="I36" s="13">
        <f t="shared" si="4"/>
        <v>1</v>
      </c>
      <c r="J36" s="13" t="str">
        <f t="shared" si="5"/>
        <v>Week Day</v>
      </c>
      <c r="K36" s="13">
        <f>MONTH(F36)</f>
        <v>3</v>
      </c>
      <c r="L36" s="6" t="b">
        <f>EXACT(E36,F36)</f>
        <v>0</v>
      </c>
      <c r="M36">
        <v>44</v>
      </c>
      <c r="N36">
        <f t="shared" si="6"/>
        <v>44</v>
      </c>
      <c r="O36" t="s">
        <v>37</v>
      </c>
      <c r="P36" t="str">
        <f>UPPER(O36)</f>
        <v>USD</v>
      </c>
      <c r="Q36">
        <f>VLOOKUP(P36,'Exchange Rate Table'!A:B,2,FALSE)</f>
        <v>1</v>
      </c>
      <c r="R36">
        <v>2060</v>
      </c>
      <c r="S36">
        <f>Q36*R36</f>
        <v>2060</v>
      </c>
      <c r="T36">
        <f>ROUND(R36, 0)</f>
        <v>2060</v>
      </c>
      <c r="U36" s="7" t="s">
        <v>127</v>
      </c>
      <c r="V36">
        <f>VALUE(U36)</f>
        <v>1500</v>
      </c>
      <c r="W36" t="s">
        <v>179</v>
      </c>
      <c r="X36" t="s">
        <v>69</v>
      </c>
      <c r="Y36" t="str">
        <f>CONCATENATE(W36,", ",X36)</f>
        <v>Fremont, CA</v>
      </c>
      <c r="Z36" t="s">
        <v>41</v>
      </c>
      <c r="AA36" t="str">
        <f>TRIM(Z36)</f>
        <v>United States</v>
      </c>
      <c r="AB36" t="s">
        <v>58</v>
      </c>
      <c r="AC36">
        <f>LEN("https://www.kickstarter.com/discover/categories/games/")</f>
        <v>54</v>
      </c>
      <c r="AD36" t="str">
        <f>RIGHT(AB36,LEN(AB36)-54)</f>
        <v>tabletop%20games</v>
      </c>
      <c r="AE36" t="str">
        <f>SUBSTITUTE(AD36,"%20"," ")</f>
        <v>tabletop games</v>
      </c>
      <c r="AF36" s="8" t="b">
        <v>0</v>
      </c>
      <c r="AG36" s="8" t="str">
        <f>LOWER(AF36)</f>
        <v>false</v>
      </c>
      <c r="AH36" t="s">
        <v>43</v>
      </c>
      <c r="AJ36" s="18">
        <v>1364</v>
      </c>
      <c r="AK36" s="16"/>
      <c r="AL36" s="16"/>
      <c r="AM36" s="16"/>
      <c r="AN36" s="16"/>
      <c r="AO36" s="16"/>
    </row>
    <row r="37" spans="1:41">
      <c r="A37" s="5">
        <v>397149344</v>
      </c>
      <c r="B37" s="5" t="str">
        <f t="shared" si="3"/>
        <v>397149344</v>
      </c>
      <c r="C37" t="s">
        <v>180</v>
      </c>
      <c r="D37" t="str">
        <f>PROPER(C37)</f>
        <v>Bellum Sacrum Card Game</v>
      </c>
      <c r="E37" s="6">
        <v>43522</v>
      </c>
      <c r="F37" s="6">
        <v>43543</v>
      </c>
      <c r="G37" s="6">
        <v>43563</v>
      </c>
      <c r="H37" s="13">
        <f>G37-F37</f>
        <v>20</v>
      </c>
      <c r="I37" s="13">
        <f t="shared" si="4"/>
        <v>2</v>
      </c>
      <c r="J37" s="13" t="str">
        <f t="shared" si="5"/>
        <v>Week Day</v>
      </c>
      <c r="K37" s="13">
        <f>MONTH(F37)</f>
        <v>3</v>
      </c>
      <c r="L37" s="6" t="b">
        <f>EXACT(E37,F37)</f>
        <v>0</v>
      </c>
      <c r="M37">
        <v>473</v>
      </c>
      <c r="N37">
        <f t="shared" si="6"/>
        <v>473</v>
      </c>
      <c r="O37" t="s">
        <v>37</v>
      </c>
      <c r="P37" t="str">
        <f>UPPER(O37)</f>
        <v>USD</v>
      </c>
      <c r="Q37">
        <f>VLOOKUP(P37,'Exchange Rate Table'!A:B,2,FALSE)</f>
        <v>1</v>
      </c>
      <c r="R37">
        <v>34332.5</v>
      </c>
      <c r="S37">
        <f>Q37*R37</f>
        <v>34332.5</v>
      </c>
      <c r="T37">
        <f>ROUND(R37, 0)</f>
        <v>34333</v>
      </c>
      <c r="U37" s="7" t="s">
        <v>46</v>
      </c>
      <c r="V37">
        <f>VALUE(U37)</f>
        <v>28000</v>
      </c>
      <c r="W37" t="s">
        <v>181</v>
      </c>
      <c r="X37" t="s">
        <v>182</v>
      </c>
      <c r="Y37" t="str">
        <f>CONCATENATE(W37,", ",X37)</f>
        <v>Denver, CO</v>
      </c>
      <c r="Z37" t="s">
        <v>41</v>
      </c>
      <c r="AA37" t="str">
        <f>TRIM(Z37)</f>
        <v>United States</v>
      </c>
      <c r="AB37" t="s">
        <v>58</v>
      </c>
      <c r="AC37">
        <f>LEN("https://www.kickstarter.com/discover/categories/games/")</f>
        <v>54</v>
      </c>
      <c r="AD37" t="str">
        <f>RIGHT(AB37,LEN(AB37)-54)</f>
        <v>tabletop%20games</v>
      </c>
      <c r="AE37" t="str">
        <f>SUBSTITUTE(AD37,"%20"," ")</f>
        <v>tabletop games</v>
      </c>
      <c r="AF37" s="8" t="b">
        <v>0</v>
      </c>
      <c r="AG37" s="8" t="str">
        <f>LOWER(AF37)</f>
        <v>false</v>
      </c>
      <c r="AH37" t="s">
        <v>43</v>
      </c>
      <c r="AJ37" s="18">
        <v>1411</v>
      </c>
      <c r="AK37" s="16"/>
      <c r="AL37" s="16"/>
      <c r="AM37" s="16"/>
      <c r="AN37" s="16"/>
      <c r="AO37" s="16"/>
    </row>
    <row r="38" spans="1:41">
      <c r="A38" s="5">
        <v>414028537</v>
      </c>
      <c r="B38" s="5" t="str">
        <f t="shared" si="3"/>
        <v>414028537</v>
      </c>
      <c r="C38" t="s">
        <v>183</v>
      </c>
      <c r="D38" t="str">
        <f>PROPER(C38)</f>
        <v>Aether Studios - Swamp Of Sorrows</v>
      </c>
      <c r="E38" s="6">
        <v>43523</v>
      </c>
      <c r="F38" s="6">
        <v>43536</v>
      </c>
      <c r="G38" s="6">
        <v>43544</v>
      </c>
      <c r="H38" s="13">
        <f>G38-F38</f>
        <v>8</v>
      </c>
      <c r="I38" s="13">
        <f t="shared" si="4"/>
        <v>2</v>
      </c>
      <c r="J38" s="13" t="str">
        <f t="shared" si="5"/>
        <v>Week Day</v>
      </c>
      <c r="K38" s="13">
        <f>MONTH(F38)</f>
        <v>3</v>
      </c>
      <c r="L38" s="6" t="b">
        <f>EXACT(E38,F38)</f>
        <v>0</v>
      </c>
      <c r="M38">
        <v>344</v>
      </c>
      <c r="N38">
        <f t="shared" si="6"/>
        <v>344</v>
      </c>
      <c r="O38" t="s">
        <v>37</v>
      </c>
      <c r="P38" t="str">
        <f>UPPER(O38)</f>
        <v>USD</v>
      </c>
      <c r="Q38">
        <f>VLOOKUP(P38,'Exchange Rate Table'!A:B,2,FALSE)</f>
        <v>1</v>
      </c>
      <c r="R38">
        <v>6372</v>
      </c>
      <c r="S38">
        <f>Q38*R38</f>
        <v>6372</v>
      </c>
      <c r="T38">
        <f>ROUND(R38, 0)</f>
        <v>6372</v>
      </c>
      <c r="U38" s="7" t="s">
        <v>146</v>
      </c>
      <c r="V38">
        <f>VALUE(U38)</f>
        <v>1000</v>
      </c>
      <c r="W38" t="s">
        <v>184</v>
      </c>
      <c r="X38" t="s">
        <v>185</v>
      </c>
      <c r="Y38" t="str">
        <f>CONCATENATE(W38,", ",X38)</f>
        <v>Ogden, UT</v>
      </c>
      <c r="Z38" t="s">
        <v>41</v>
      </c>
      <c r="AA38" t="str">
        <f>TRIM(Z38)</f>
        <v>United States</v>
      </c>
      <c r="AB38" t="s">
        <v>58</v>
      </c>
      <c r="AC38">
        <f>LEN("https://www.kickstarter.com/discover/categories/games/")</f>
        <v>54</v>
      </c>
      <c r="AD38" t="str">
        <f>RIGHT(AB38,LEN(AB38)-54)</f>
        <v>tabletop%20games</v>
      </c>
      <c r="AE38" t="str">
        <f>SUBSTITUTE(AD38,"%20"," ")</f>
        <v>tabletop games</v>
      </c>
      <c r="AF38" s="8" t="b">
        <v>0</v>
      </c>
      <c r="AG38" s="8" t="str">
        <f>LOWER(AF38)</f>
        <v>false</v>
      </c>
      <c r="AH38" t="s">
        <v>43</v>
      </c>
      <c r="AJ38" s="18">
        <v>1416</v>
      </c>
      <c r="AK38" s="16"/>
      <c r="AL38" s="16"/>
      <c r="AM38" s="16"/>
      <c r="AN38" s="16"/>
      <c r="AO38" s="16"/>
    </row>
    <row r="39" spans="1:41">
      <c r="A39" s="5">
        <v>433917839</v>
      </c>
      <c r="B39" s="5" t="str">
        <f t="shared" si="3"/>
        <v>433917839</v>
      </c>
      <c r="C39" t="s">
        <v>186</v>
      </c>
      <c r="D39" t="str">
        <f>PROPER(C39)</f>
        <v>Dark Streets &amp; Darker Secrets</v>
      </c>
      <c r="E39" s="6">
        <v>43528</v>
      </c>
      <c r="F39" s="6">
        <v>43536</v>
      </c>
      <c r="G39" s="6">
        <v>43552</v>
      </c>
      <c r="H39" s="13">
        <f>G39-F39</f>
        <v>16</v>
      </c>
      <c r="I39" s="13">
        <f t="shared" si="4"/>
        <v>2</v>
      </c>
      <c r="J39" s="13" t="str">
        <f t="shared" si="5"/>
        <v>Week Day</v>
      </c>
      <c r="K39" s="13">
        <f>MONTH(F39)</f>
        <v>3</v>
      </c>
      <c r="L39" s="6" t="b">
        <f>EXACT(E39,F39)</f>
        <v>0</v>
      </c>
      <c r="M39">
        <v>212</v>
      </c>
      <c r="N39">
        <f t="shared" si="6"/>
        <v>212</v>
      </c>
      <c r="O39" t="s">
        <v>37</v>
      </c>
      <c r="P39" t="str">
        <f>UPPER(O39)</f>
        <v>USD</v>
      </c>
      <c r="Q39">
        <f>VLOOKUP(P39,'Exchange Rate Table'!A:B,2,FALSE)</f>
        <v>1</v>
      </c>
      <c r="R39">
        <v>17396</v>
      </c>
      <c r="S39">
        <f>Q39*R39</f>
        <v>17396</v>
      </c>
      <c r="T39">
        <f>ROUND(R39, 0)</f>
        <v>17396</v>
      </c>
      <c r="U39" s="7" t="s">
        <v>187</v>
      </c>
      <c r="V39">
        <f>VALUE(U39)</f>
        <v>10000</v>
      </c>
      <c r="W39" t="s">
        <v>92</v>
      </c>
      <c r="X39" t="s">
        <v>48</v>
      </c>
      <c r="Y39" t="str">
        <f>CONCATENATE(W39,", ",X39)</f>
        <v>Virginia Beach, VA</v>
      </c>
      <c r="Z39" t="s">
        <v>41</v>
      </c>
      <c r="AA39" t="str">
        <f>TRIM(Z39)</f>
        <v>United States</v>
      </c>
      <c r="AB39" t="s">
        <v>58</v>
      </c>
      <c r="AC39">
        <f>LEN("https://www.kickstarter.com/discover/categories/games/")</f>
        <v>54</v>
      </c>
      <c r="AD39" t="str">
        <f>RIGHT(AB39,LEN(AB39)-54)</f>
        <v>tabletop%20games</v>
      </c>
      <c r="AE39" t="str">
        <f>SUBSTITUTE(AD39,"%20"," ")</f>
        <v>tabletop games</v>
      </c>
      <c r="AF39" s="8" t="b">
        <v>0</v>
      </c>
      <c r="AG39" s="8" t="str">
        <f>LOWER(AF39)</f>
        <v>false</v>
      </c>
      <c r="AH39" t="s">
        <v>43</v>
      </c>
      <c r="AJ39" s="18">
        <v>1427.29</v>
      </c>
      <c r="AK39" s="16"/>
      <c r="AL39" s="16"/>
      <c r="AM39" s="16"/>
      <c r="AN39" s="16"/>
      <c r="AO39" s="16"/>
    </row>
    <row r="40" spans="1:41">
      <c r="A40" s="5">
        <v>434016760</v>
      </c>
      <c r="B40" s="5" t="str">
        <f t="shared" si="3"/>
        <v>434016760</v>
      </c>
      <c r="C40" t="s">
        <v>188</v>
      </c>
      <c r="E40" s="6">
        <v>43530</v>
      </c>
      <c r="F40" s="6">
        <v>43545</v>
      </c>
      <c r="G40" s="6">
        <v>43575</v>
      </c>
      <c r="H40" s="13">
        <f>G40-F40</f>
        <v>30</v>
      </c>
      <c r="I40" s="13">
        <f t="shared" si="4"/>
        <v>4</v>
      </c>
      <c r="J40" s="13" t="str">
        <f t="shared" si="5"/>
        <v>Week Day</v>
      </c>
      <c r="K40" s="13">
        <f>MONTH(F40)</f>
        <v>3</v>
      </c>
      <c r="L40" s="6" t="b">
        <f>EXACT(E40,F40)</f>
        <v>0</v>
      </c>
      <c r="M40">
        <v>80</v>
      </c>
      <c r="N40">
        <f t="shared" si="6"/>
        <v>80</v>
      </c>
      <c r="O40" t="s">
        <v>37</v>
      </c>
      <c r="P40" t="str">
        <f>UPPER(O40)</f>
        <v>USD</v>
      </c>
      <c r="Q40">
        <f>VLOOKUP(P40,'Exchange Rate Table'!A:B,2,FALSE)</f>
        <v>1</v>
      </c>
      <c r="R40">
        <v>5815</v>
      </c>
      <c r="S40">
        <f>Q40*R40</f>
        <v>5815</v>
      </c>
      <c r="T40">
        <f>ROUND(R40, 0)</f>
        <v>5815</v>
      </c>
      <c r="U40" s="7" t="s">
        <v>189</v>
      </c>
      <c r="V40">
        <f>VALUE(U40)</f>
        <v>5550</v>
      </c>
      <c r="W40" t="s">
        <v>190</v>
      </c>
      <c r="X40" t="s">
        <v>40</v>
      </c>
      <c r="Y40" t="str">
        <f>CONCATENATE(W40,", ",X40)</f>
        <v>Kissimmee, FL</v>
      </c>
      <c r="Z40" t="s">
        <v>41</v>
      </c>
      <c r="AA40" t="str">
        <f>TRIM(Z40)</f>
        <v>United States</v>
      </c>
      <c r="AB40" t="s">
        <v>70</v>
      </c>
      <c r="AC40">
        <f>LEN("https://www.kickstarter.com/discover/categories/games/")</f>
        <v>54</v>
      </c>
      <c r="AD40" t="str">
        <f>RIGHT(AB40,LEN(AB40)-54)</f>
        <v>playing%20cards</v>
      </c>
      <c r="AE40" t="str">
        <f>SUBSTITUTE(AD40,"%20"," ")</f>
        <v>playing cards</v>
      </c>
      <c r="AF40" s="8" t="b">
        <v>0</v>
      </c>
      <c r="AG40" s="8" t="str">
        <f>LOWER(AF40)</f>
        <v>false</v>
      </c>
      <c r="AH40" t="s">
        <v>43</v>
      </c>
      <c r="AJ40" s="18">
        <v>1489</v>
      </c>
      <c r="AK40" s="16"/>
      <c r="AL40" s="16"/>
      <c r="AM40" s="16"/>
      <c r="AN40" s="16"/>
      <c r="AO40" s="16"/>
    </row>
    <row r="41" spans="1:41">
      <c r="A41" s="5">
        <v>446366581</v>
      </c>
      <c r="B41" s="5" t="str">
        <f t="shared" si="3"/>
        <v>446366581</v>
      </c>
      <c r="C41" t="s">
        <v>191</v>
      </c>
      <c r="D41" t="str">
        <f>PROPER(C41)</f>
        <v>Doublehead Kids</v>
      </c>
      <c r="E41" s="6">
        <v>43533</v>
      </c>
      <c r="F41" s="6">
        <v>43556</v>
      </c>
      <c r="G41" s="6">
        <v>43585</v>
      </c>
      <c r="H41" s="13">
        <f>G41-F41</f>
        <v>29</v>
      </c>
      <c r="I41" s="13">
        <f t="shared" si="4"/>
        <v>1</v>
      </c>
      <c r="J41" s="13" t="str">
        <f t="shared" si="5"/>
        <v>Week Day</v>
      </c>
      <c r="K41" s="13">
        <f>MONTH(F41)</f>
        <v>4</v>
      </c>
      <c r="L41" s="6" t="b">
        <f>EXACT(E41,F41)</f>
        <v>0</v>
      </c>
      <c r="M41">
        <v>1430</v>
      </c>
      <c r="N41">
        <f t="shared" si="6"/>
        <v>1430</v>
      </c>
      <c r="O41" t="s">
        <v>37</v>
      </c>
      <c r="P41" t="str">
        <f>UPPER(O41)</f>
        <v>USD</v>
      </c>
      <c r="Q41">
        <f>VLOOKUP(P41,'Exchange Rate Table'!A:B,2,FALSE)</f>
        <v>1</v>
      </c>
      <c r="R41">
        <v>40642</v>
      </c>
      <c r="S41">
        <f>Q41*R41</f>
        <v>40642</v>
      </c>
      <c r="T41">
        <f>ROUND(R41, 0)</f>
        <v>40642</v>
      </c>
      <c r="U41" s="7" t="s">
        <v>192</v>
      </c>
      <c r="V41">
        <f>VALUE(U41)</f>
        <v>4200</v>
      </c>
      <c r="W41" t="s">
        <v>193</v>
      </c>
      <c r="X41" t="s">
        <v>194</v>
      </c>
      <c r="Y41" t="str">
        <f>CONCATENATE(W41,", ",X41)</f>
        <v>San Antonio, TX</v>
      </c>
      <c r="Z41" t="s">
        <v>41</v>
      </c>
      <c r="AA41" t="str">
        <f>TRIM(Z41)</f>
        <v>United States</v>
      </c>
      <c r="AB41" t="s">
        <v>58</v>
      </c>
      <c r="AC41">
        <f>LEN("https://www.kickstarter.com/discover/categories/games/")</f>
        <v>54</v>
      </c>
      <c r="AD41" t="str">
        <f>RIGHT(AB41,LEN(AB41)-54)</f>
        <v>tabletop%20games</v>
      </c>
      <c r="AE41" t="str">
        <f>SUBSTITUTE(AD41,"%20"," ")</f>
        <v>tabletop games</v>
      </c>
      <c r="AF41" s="8" t="b">
        <v>1</v>
      </c>
      <c r="AG41" s="8" t="str">
        <f>LOWER(AF41)</f>
        <v>true</v>
      </c>
      <c r="AH41" t="s">
        <v>43</v>
      </c>
      <c r="AJ41" s="18">
        <v>1592.32</v>
      </c>
      <c r="AK41" s="16"/>
      <c r="AL41" s="16"/>
      <c r="AM41" s="16"/>
      <c r="AN41" s="16"/>
      <c r="AO41" s="16"/>
    </row>
    <row r="42" spans="1:41">
      <c r="A42" s="5">
        <v>456024909</v>
      </c>
      <c r="B42" s="5" t="str">
        <f t="shared" si="3"/>
        <v>456024909</v>
      </c>
      <c r="C42" t="s">
        <v>195</v>
      </c>
      <c r="D42" t="str">
        <f>PROPER(C42)</f>
        <v>Mission Adventure</v>
      </c>
      <c r="E42" s="6">
        <v>43533</v>
      </c>
      <c r="F42" s="6">
        <v>43586</v>
      </c>
      <c r="G42" s="6">
        <v>43606</v>
      </c>
      <c r="H42" s="13">
        <f>G42-F42</f>
        <v>20</v>
      </c>
      <c r="I42" s="13">
        <f t="shared" si="4"/>
        <v>3</v>
      </c>
      <c r="J42" s="13" t="str">
        <f t="shared" si="5"/>
        <v>Week Day</v>
      </c>
      <c r="K42" s="13">
        <f>MONTH(F42)</f>
        <v>5</v>
      </c>
      <c r="L42" s="6" t="b">
        <f>EXACT(E42,F42)</f>
        <v>0</v>
      </c>
      <c r="M42">
        <v>1056</v>
      </c>
      <c r="N42">
        <f t="shared" si="6"/>
        <v>1056</v>
      </c>
      <c r="O42" t="s">
        <v>72</v>
      </c>
      <c r="P42" t="str">
        <f>UPPER(O42)</f>
        <v>EUR</v>
      </c>
      <c r="Q42">
        <f>VLOOKUP(P42,'Exchange Rate Table'!A:B,2,FALSE)</f>
        <v>1.16955371</v>
      </c>
      <c r="R42">
        <v>78175.5</v>
      </c>
      <c r="S42">
        <f>Q42*R42</f>
        <v>91430.446056104993</v>
      </c>
      <c r="T42">
        <f>ROUND(R42, 0)</f>
        <v>78176</v>
      </c>
      <c r="U42" s="7" t="s">
        <v>187</v>
      </c>
      <c r="V42">
        <f>VALUE(U42)</f>
        <v>10000</v>
      </c>
      <c r="W42" t="s">
        <v>196</v>
      </c>
      <c r="X42" t="s">
        <v>197</v>
      </c>
      <c r="Y42" t="str">
        <f>CONCATENATE(W42,", ",X42)</f>
        <v>Tours, Centre</v>
      </c>
      <c r="Z42" t="s">
        <v>135</v>
      </c>
      <c r="AA42" t="str">
        <f>TRIM(Z42)</f>
        <v>France</v>
      </c>
      <c r="AB42" t="s">
        <v>58</v>
      </c>
      <c r="AC42">
        <f>LEN("https://www.kickstarter.com/discover/categories/games/")</f>
        <v>54</v>
      </c>
      <c r="AD42" t="str">
        <f>RIGHT(AB42,LEN(AB42)-54)</f>
        <v>tabletop%20games</v>
      </c>
      <c r="AE42" t="str">
        <f>SUBSTITUTE(AD42,"%20"," ")</f>
        <v>tabletop games</v>
      </c>
      <c r="AF42" s="8" t="b">
        <v>0</v>
      </c>
      <c r="AG42" s="8" t="str">
        <f>LOWER(AF42)</f>
        <v>false</v>
      </c>
      <c r="AH42" t="s">
        <v>43</v>
      </c>
      <c r="AJ42" s="18">
        <v>1597</v>
      </c>
      <c r="AK42" s="16"/>
      <c r="AL42" s="16"/>
      <c r="AM42" s="16"/>
      <c r="AN42" s="16"/>
      <c r="AO42" s="16"/>
    </row>
    <row r="43" spans="1:41">
      <c r="A43" s="5">
        <v>470556307</v>
      </c>
      <c r="B43" s="5" t="str">
        <f t="shared" si="3"/>
        <v>470556307</v>
      </c>
      <c r="C43" t="s">
        <v>198</v>
      </c>
      <c r="D43" t="str">
        <f>PROPER(C43)</f>
        <v>Electric Volleyball: Led Volleyball Net</v>
      </c>
      <c r="E43" s="6">
        <v>43534</v>
      </c>
      <c r="F43" s="6">
        <v>43537</v>
      </c>
      <c r="G43" s="6">
        <v>43597</v>
      </c>
      <c r="H43" s="13">
        <f>G43-F43</f>
        <v>60</v>
      </c>
      <c r="I43" s="13">
        <f t="shared" si="4"/>
        <v>3</v>
      </c>
      <c r="J43" s="13" t="str">
        <f t="shared" si="5"/>
        <v>Week Day</v>
      </c>
      <c r="K43" s="13">
        <f>MONTH(F43)</f>
        <v>3</v>
      </c>
      <c r="L43" s="6" t="b">
        <f>EXACT(E43,F43)</f>
        <v>0</v>
      </c>
      <c r="M43">
        <v>2</v>
      </c>
      <c r="N43">
        <f t="shared" si="6"/>
        <v>2</v>
      </c>
      <c r="O43" t="s">
        <v>37</v>
      </c>
      <c r="P43" t="str">
        <f>UPPER(O43)</f>
        <v>USD</v>
      </c>
      <c r="Q43">
        <f>VLOOKUP(P43,'Exchange Rate Table'!A:B,2,FALSE)</f>
        <v>1</v>
      </c>
      <c r="R43">
        <v>2</v>
      </c>
      <c r="S43">
        <f>Q43*R43</f>
        <v>2</v>
      </c>
      <c r="T43">
        <f>ROUND(R43, 0)</f>
        <v>2</v>
      </c>
      <c r="U43" s="7" t="s">
        <v>199</v>
      </c>
      <c r="V43">
        <f>VALUE(U43)</f>
        <v>550000</v>
      </c>
      <c r="W43" t="s">
        <v>200</v>
      </c>
      <c r="X43" t="s">
        <v>48</v>
      </c>
      <c r="Y43" t="str">
        <f>CONCATENATE(W43,", ",X43)</f>
        <v>Hampton, VA</v>
      </c>
      <c r="Z43" t="s">
        <v>41</v>
      </c>
      <c r="AA43" t="str">
        <f>TRIM(Z43)</f>
        <v>United States</v>
      </c>
      <c r="AB43" t="s">
        <v>42</v>
      </c>
      <c r="AC43">
        <f>LEN("https://www.kickstarter.com/discover/categories/games/")</f>
        <v>54</v>
      </c>
      <c r="AD43" t="str">
        <f>RIGHT(AB43,LEN(AB43)-54)</f>
        <v>live%20games</v>
      </c>
      <c r="AE43" t="str">
        <f>SUBSTITUTE(AD43,"%20"," ")</f>
        <v>live games</v>
      </c>
      <c r="AF43" s="8" t="b">
        <v>0</v>
      </c>
      <c r="AG43" s="8" t="str">
        <f>LOWER(AF43)</f>
        <v>false</v>
      </c>
      <c r="AH43" t="s">
        <v>50</v>
      </c>
      <c r="AJ43" s="18">
        <v>1612</v>
      </c>
      <c r="AK43" s="16"/>
      <c r="AL43" s="16"/>
      <c r="AM43" s="16"/>
      <c r="AN43" s="16"/>
      <c r="AO43" s="16"/>
    </row>
    <row r="44" spans="1:41">
      <c r="A44" s="5">
        <v>474040495</v>
      </c>
      <c r="B44" s="5" t="str">
        <f t="shared" si="3"/>
        <v>474040495</v>
      </c>
      <c r="C44" t="s">
        <v>201</v>
      </c>
      <c r="D44" t="str">
        <f>PROPER(C44)</f>
        <v>Breachstorm: Reloaded - 30Mm Sci-Fi Miniatures</v>
      </c>
      <c r="E44" s="6">
        <v>43539</v>
      </c>
      <c r="F44" s="6">
        <v>43550</v>
      </c>
      <c r="G44" s="6">
        <v>43561</v>
      </c>
      <c r="H44" s="13">
        <f>G44-F44</f>
        <v>11</v>
      </c>
      <c r="I44" s="13">
        <f t="shared" si="4"/>
        <v>2</v>
      </c>
      <c r="J44" s="13" t="str">
        <f t="shared" si="5"/>
        <v>Week Day</v>
      </c>
      <c r="K44" s="13">
        <f>MONTH(F44)</f>
        <v>3</v>
      </c>
      <c r="L44" s="6" t="b">
        <f>EXACT(E44,F44)</f>
        <v>0</v>
      </c>
      <c r="M44">
        <v>617</v>
      </c>
      <c r="N44">
        <f t="shared" si="6"/>
        <v>617</v>
      </c>
      <c r="O44" t="s">
        <v>37</v>
      </c>
      <c r="P44" t="str">
        <f>UPPER(O44)</f>
        <v>USD</v>
      </c>
      <c r="Q44">
        <f>VLOOKUP(P44,'Exchange Rate Table'!A:B,2,FALSE)</f>
        <v>1</v>
      </c>
      <c r="R44">
        <v>9766</v>
      </c>
      <c r="S44">
        <f>Q44*R44</f>
        <v>9766</v>
      </c>
      <c r="T44">
        <f>ROUND(R44, 0)</f>
        <v>9766</v>
      </c>
      <c r="U44" s="7" t="s">
        <v>146</v>
      </c>
      <c r="V44">
        <f>VALUE(U44)</f>
        <v>1000</v>
      </c>
      <c r="W44" t="s">
        <v>202</v>
      </c>
      <c r="X44" t="s">
        <v>203</v>
      </c>
      <c r="Y44" t="str">
        <f>CONCATENATE(W44,", ",X44)</f>
        <v>Collingswood, NJ</v>
      </c>
      <c r="Z44" t="s">
        <v>41</v>
      </c>
      <c r="AA44" t="str">
        <f>TRIM(Z44)</f>
        <v>United States</v>
      </c>
      <c r="AB44" t="s">
        <v>58</v>
      </c>
      <c r="AC44">
        <f>LEN("https://www.kickstarter.com/discover/categories/games/")</f>
        <v>54</v>
      </c>
      <c r="AD44" t="str">
        <f>RIGHT(AB44,LEN(AB44)-54)</f>
        <v>tabletop%20games</v>
      </c>
      <c r="AE44" t="str">
        <f>SUBSTITUTE(AD44,"%20"," ")</f>
        <v>tabletop games</v>
      </c>
      <c r="AF44" s="8" t="b">
        <v>0</v>
      </c>
      <c r="AG44" s="8" t="str">
        <f>LOWER(AF44)</f>
        <v>false</v>
      </c>
      <c r="AH44" t="s">
        <v>43</v>
      </c>
      <c r="AJ44" s="18">
        <v>1633</v>
      </c>
      <c r="AK44" s="16"/>
      <c r="AL44" s="16"/>
      <c r="AM44" s="16"/>
      <c r="AN44" s="16"/>
      <c r="AO44" s="16"/>
    </row>
    <row r="45" spans="1:41">
      <c r="A45" s="5">
        <v>489200715</v>
      </c>
      <c r="B45" s="5" t="str">
        <f t="shared" si="3"/>
        <v>489200715</v>
      </c>
      <c r="C45" t="s">
        <v>204</v>
      </c>
      <c r="D45" t="str">
        <f>PROPER(C45)</f>
        <v>Sea Shanties: A Pirate-Centric Board Game</v>
      </c>
      <c r="E45" s="6">
        <v>43542</v>
      </c>
      <c r="F45" s="6">
        <v>43543</v>
      </c>
      <c r="G45" s="6">
        <v>43576</v>
      </c>
      <c r="H45" s="13">
        <f>G45-F45</f>
        <v>33</v>
      </c>
      <c r="I45" s="13">
        <f t="shared" si="4"/>
        <v>2</v>
      </c>
      <c r="J45" s="13" t="str">
        <f t="shared" si="5"/>
        <v>Week Day</v>
      </c>
      <c r="K45" s="13">
        <f>MONTH(F45)</f>
        <v>3</v>
      </c>
      <c r="L45" s="6" t="b">
        <f>EXACT(E45,F45)</f>
        <v>0</v>
      </c>
      <c r="M45">
        <v>272</v>
      </c>
      <c r="N45">
        <f t="shared" si="6"/>
        <v>272</v>
      </c>
      <c r="O45" t="s">
        <v>72</v>
      </c>
      <c r="P45" t="str">
        <f>UPPER(O45)</f>
        <v>EUR</v>
      </c>
      <c r="Q45">
        <f>VLOOKUP(P45,'Exchange Rate Table'!A:B,2,FALSE)</f>
        <v>1.16955371</v>
      </c>
      <c r="R45">
        <v>15456</v>
      </c>
      <c r="S45">
        <f>Q45*R45</f>
        <v>18076.622141759999</v>
      </c>
      <c r="T45">
        <f>ROUND(R45, 0)</f>
        <v>15456</v>
      </c>
      <c r="U45" s="7" t="s">
        <v>164</v>
      </c>
      <c r="V45">
        <f>VALUE(U45)</f>
        <v>500</v>
      </c>
      <c r="W45" t="s">
        <v>205</v>
      </c>
      <c r="X45" t="s">
        <v>206</v>
      </c>
      <c r="Y45" t="str">
        <f>CONCATENATE(W45,", ",X45)</f>
        <v>Krempe, Schleswig-Holstein</v>
      </c>
      <c r="Z45" t="s">
        <v>207</v>
      </c>
      <c r="AA45" t="str">
        <f>TRIM(Z45)</f>
        <v>Germany</v>
      </c>
      <c r="AB45" t="s">
        <v>58</v>
      </c>
      <c r="AC45">
        <f>LEN("https://www.kickstarter.com/discover/categories/games/")</f>
        <v>54</v>
      </c>
      <c r="AD45" t="str">
        <f>RIGHT(AB45,LEN(AB45)-54)</f>
        <v>tabletop%20games</v>
      </c>
      <c r="AE45" t="str">
        <f>SUBSTITUTE(AD45,"%20"," ")</f>
        <v>tabletop games</v>
      </c>
      <c r="AF45" s="8" t="b">
        <v>0</v>
      </c>
      <c r="AG45" s="8" t="str">
        <f>LOWER(AF45)</f>
        <v>false</v>
      </c>
      <c r="AH45" t="s">
        <v>43</v>
      </c>
      <c r="AJ45" s="18">
        <v>1731</v>
      </c>
      <c r="AK45" s="16"/>
      <c r="AL45" s="16"/>
      <c r="AM45" s="16"/>
      <c r="AN45" s="16"/>
      <c r="AO45" s="16"/>
    </row>
    <row r="46" spans="1:41">
      <c r="A46" s="5">
        <v>490205120</v>
      </c>
      <c r="B46" s="5" t="str">
        <f t="shared" si="3"/>
        <v>490205120</v>
      </c>
      <c r="C46" t="s">
        <v>208</v>
      </c>
      <c r="D46" t="str">
        <f>PROPER(C46)</f>
        <v>A Collection Based Game For People To Show Off</v>
      </c>
      <c r="E46" s="6">
        <v>43542</v>
      </c>
      <c r="F46" s="6">
        <v>43543</v>
      </c>
      <c r="G46" s="6">
        <v>43573</v>
      </c>
      <c r="H46" s="13">
        <f>G46-F46</f>
        <v>30</v>
      </c>
      <c r="I46" s="13">
        <f t="shared" si="4"/>
        <v>2</v>
      </c>
      <c r="J46" s="13" t="str">
        <f t="shared" si="5"/>
        <v>Week Day</v>
      </c>
      <c r="K46" s="13">
        <f>MONTH(F46)</f>
        <v>3</v>
      </c>
      <c r="L46" s="6" t="b">
        <f>EXACT(E46,F46)</f>
        <v>0</v>
      </c>
      <c r="M46">
        <v>725</v>
      </c>
      <c r="N46">
        <f t="shared" si="6"/>
        <v>725</v>
      </c>
      <c r="O46" t="s">
        <v>37</v>
      </c>
      <c r="P46" t="str">
        <f>UPPER(O46)</f>
        <v>USD</v>
      </c>
      <c r="Q46">
        <f>VLOOKUP(P46,'Exchange Rate Table'!A:B,2,FALSE)</f>
        <v>1</v>
      </c>
      <c r="R46">
        <v>12400</v>
      </c>
      <c r="S46">
        <f>Q46*R46</f>
        <v>12400</v>
      </c>
      <c r="T46">
        <f>ROUND(R46, 0)</f>
        <v>12400</v>
      </c>
      <c r="U46" s="7" t="s">
        <v>209</v>
      </c>
      <c r="V46">
        <f>VALUE(U46)</f>
        <v>400</v>
      </c>
      <c r="W46" t="s">
        <v>210</v>
      </c>
      <c r="X46" t="s">
        <v>69</v>
      </c>
      <c r="Y46" t="str">
        <f>CONCATENATE(W46,", ",X46)</f>
        <v>San Francisco, CA</v>
      </c>
      <c r="Z46" t="s">
        <v>41</v>
      </c>
      <c r="AA46" t="str">
        <f>TRIM(Z46)</f>
        <v>United States</v>
      </c>
      <c r="AB46" t="s">
        <v>58</v>
      </c>
      <c r="AC46">
        <f>LEN("https://www.kickstarter.com/discover/categories/games/")</f>
        <v>54</v>
      </c>
      <c r="AD46" t="str">
        <f>RIGHT(AB46,LEN(AB46)-54)</f>
        <v>tabletop%20games</v>
      </c>
      <c r="AE46" t="str">
        <f>SUBSTITUTE(AD46,"%20"," ")</f>
        <v>tabletop games</v>
      </c>
      <c r="AF46" s="8" t="b">
        <v>0</v>
      </c>
      <c r="AG46" s="8" t="str">
        <f>LOWER(AF46)</f>
        <v>false</v>
      </c>
      <c r="AH46" t="s">
        <v>43</v>
      </c>
      <c r="AJ46" s="18">
        <v>1737</v>
      </c>
      <c r="AK46" s="16"/>
      <c r="AL46" s="16"/>
      <c r="AM46" s="16"/>
      <c r="AN46" s="16"/>
      <c r="AO46" s="16"/>
    </row>
    <row r="47" spans="1:41">
      <c r="A47" s="5">
        <v>506366660</v>
      </c>
      <c r="B47" s="5" t="str">
        <f t="shared" si="3"/>
        <v>506366660</v>
      </c>
      <c r="C47" t="s">
        <v>211</v>
      </c>
      <c r="D47" t="str">
        <f>PROPER(C47)</f>
        <v>Secrets Of The World Harvesters</v>
      </c>
      <c r="E47" s="6">
        <v>43543</v>
      </c>
      <c r="F47" s="6">
        <v>43662</v>
      </c>
      <c r="G47" s="6">
        <v>43683</v>
      </c>
      <c r="H47" s="13">
        <f>G47-F47</f>
        <v>21</v>
      </c>
      <c r="I47" s="13">
        <f t="shared" si="4"/>
        <v>2</v>
      </c>
      <c r="J47" s="13" t="str">
        <f t="shared" si="5"/>
        <v>Week Day</v>
      </c>
      <c r="K47" s="13">
        <f>MONTH(F47)</f>
        <v>7</v>
      </c>
      <c r="L47" s="6" t="b">
        <f>EXACT(E47,F47)</f>
        <v>0</v>
      </c>
      <c r="M47">
        <v>160</v>
      </c>
      <c r="N47">
        <f t="shared" si="6"/>
        <v>160</v>
      </c>
      <c r="O47" t="s">
        <v>212</v>
      </c>
      <c r="P47" t="str">
        <f>UPPER(O47)</f>
        <v>HKD</v>
      </c>
      <c r="Q47">
        <f>VLOOKUP(P47,'Exchange Rate Table'!A:B,2,FALSE)</f>
        <v>0.12847297999999999</v>
      </c>
      <c r="R47">
        <v>87445</v>
      </c>
      <c r="S47">
        <f>Q47*R47</f>
        <v>11234.319736099998</v>
      </c>
      <c r="T47">
        <f>ROUND(R47, 0)</f>
        <v>87445</v>
      </c>
      <c r="U47" s="7" t="s">
        <v>138</v>
      </c>
      <c r="V47">
        <f>VALUE(U47)</f>
        <v>30000</v>
      </c>
      <c r="W47" t="s">
        <v>213</v>
      </c>
      <c r="X47" t="s">
        <v>214</v>
      </c>
      <c r="Y47" t="str">
        <f>CONCATENATE(W47,", ",X47)</f>
        <v>Hong Kong, Hong Kong Island</v>
      </c>
      <c r="Z47" t="s">
        <v>215</v>
      </c>
      <c r="AA47" t="str">
        <f>TRIM(Z47)</f>
        <v>Hong Kong</v>
      </c>
      <c r="AB47" t="s">
        <v>70</v>
      </c>
      <c r="AC47">
        <f>LEN("https://www.kickstarter.com/discover/categories/games/")</f>
        <v>54</v>
      </c>
      <c r="AD47" t="str">
        <f>RIGHT(AB47,LEN(AB47)-54)</f>
        <v>playing%20cards</v>
      </c>
      <c r="AE47" t="str">
        <f>SUBSTITUTE(AD47,"%20"," ")</f>
        <v>playing cards</v>
      </c>
      <c r="AF47" s="8" t="b">
        <v>0</v>
      </c>
      <c r="AG47" s="8" t="str">
        <f>LOWER(AF47)</f>
        <v>false</v>
      </c>
      <c r="AH47" t="s">
        <v>43</v>
      </c>
      <c r="AJ47" s="18">
        <v>1784.29</v>
      </c>
      <c r="AK47" s="16"/>
      <c r="AL47" s="16"/>
      <c r="AM47" s="16"/>
      <c r="AN47" s="16"/>
      <c r="AO47" s="16"/>
    </row>
    <row r="48" spans="1:41">
      <c r="A48" s="5">
        <v>526646207</v>
      </c>
      <c r="B48" s="5" t="str">
        <f t="shared" si="3"/>
        <v>526646207</v>
      </c>
      <c r="C48" t="s">
        <v>216</v>
      </c>
      <c r="D48" t="str">
        <f>PROPER(C48)</f>
        <v>Vengeance : Director'S Cut</v>
      </c>
      <c r="E48" s="6">
        <v>43543</v>
      </c>
      <c r="F48" s="6">
        <v>43552</v>
      </c>
      <c r="G48" s="6">
        <v>43601</v>
      </c>
      <c r="H48" s="13">
        <f>G48-F48</f>
        <v>49</v>
      </c>
      <c r="I48" s="13">
        <f t="shared" si="4"/>
        <v>4</v>
      </c>
      <c r="J48" s="13" t="str">
        <f t="shared" si="5"/>
        <v>Week Day</v>
      </c>
      <c r="K48" s="13">
        <f>MONTH(F48)</f>
        <v>3</v>
      </c>
      <c r="L48" s="6" t="b">
        <f>EXACT(E48,F48)</f>
        <v>0</v>
      </c>
      <c r="M48">
        <v>56</v>
      </c>
      <c r="N48">
        <f t="shared" si="6"/>
        <v>56</v>
      </c>
      <c r="O48" t="s">
        <v>37</v>
      </c>
      <c r="P48" t="str">
        <f>UPPER(O48)</f>
        <v>USD</v>
      </c>
      <c r="Q48">
        <f>VLOOKUP(P48,'Exchange Rate Table'!A:B,2,FALSE)</f>
        <v>1</v>
      </c>
      <c r="R48">
        <v>4046.69</v>
      </c>
      <c r="S48">
        <f>Q48*R48</f>
        <v>4046.69</v>
      </c>
      <c r="T48">
        <f>ROUND(R48, 0)</f>
        <v>4047</v>
      </c>
      <c r="U48" s="7" t="s">
        <v>67</v>
      </c>
      <c r="V48">
        <f>VALUE(U48)</f>
        <v>2500</v>
      </c>
      <c r="W48" t="s">
        <v>217</v>
      </c>
      <c r="X48" t="s">
        <v>203</v>
      </c>
      <c r="Y48" t="str">
        <f>CONCATENATE(W48,", ",X48)</f>
        <v>New Brunswick, NJ</v>
      </c>
      <c r="Z48" t="s">
        <v>41</v>
      </c>
      <c r="AA48" t="str">
        <f>TRIM(Z48)</f>
        <v>United States</v>
      </c>
      <c r="AB48" t="s">
        <v>58</v>
      </c>
      <c r="AC48">
        <f>LEN("https://www.kickstarter.com/discover/categories/games/")</f>
        <v>54</v>
      </c>
      <c r="AD48" t="str">
        <f>RIGHT(AB48,LEN(AB48)-54)</f>
        <v>tabletop%20games</v>
      </c>
      <c r="AE48" t="str">
        <f>SUBSTITUTE(AD48,"%20"," ")</f>
        <v>tabletop games</v>
      </c>
      <c r="AF48" s="8" t="b">
        <v>0</v>
      </c>
      <c r="AG48" s="8" t="str">
        <f>LOWER(AF48)</f>
        <v>false</v>
      </c>
      <c r="AH48" t="s">
        <v>43</v>
      </c>
      <c r="AJ48" s="18">
        <v>1816</v>
      </c>
      <c r="AK48" s="16"/>
      <c r="AL48" s="16"/>
      <c r="AM48" s="16"/>
      <c r="AN48" s="16"/>
      <c r="AO48" s="16"/>
    </row>
    <row r="49" spans="1:41">
      <c r="A49" s="5">
        <v>528402382</v>
      </c>
      <c r="B49" s="5" t="str">
        <f t="shared" si="3"/>
        <v>528402382</v>
      </c>
      <c r="C49" t="s">
        <v>218</v>
      </c>
      <c r="D49" t="str">
        <f>PROPER(C49)</f>
        <v>Reaping At River'S End For 5E And S&amp;W Rpg!</v>
      </c>
      <c r="E49" s="6">
        <v>43545</v>
      </c>
      <c r="F49" s="6">
        <v>43557</v>
      </c>
      <c r="G49" s="6">
        <v>43587</v>
      </c>
      <c r="H49" s="13">
        <f>G49-F49</f>
        <v>30</v>
      </c>
      <c r="I49" s="13">
        <f t="shared" si="4"/>
        <v>2</v>
      </c>
      <c r="J49" s="13" t="str">
        <f t="shared" si="5"/>
        <v>Week Day</v>
      </c>
      <c r="K49" s="13">
        <f>MONTH(F49)</f>
        <v>4</v>
      </c>
      <c r="L49" s="6" t="b">
        <f>EXACT(E49,F49)</f>
        <v>0</v>
      </c>
      <c r="M49">
        <v>78</v>
      </c>
      <c r="N49">
        <f t="shared" si="6"/>
        <v>78</v>
      </c>
      <c r="O49" t="s">
        <v>37</v>
      </c>
      <c r="P49" t="str">
        <f>UPPER(O49)</f>
        <v>USD</v>
      </c>
      <c r="Q49">
        <f>VLOOKUP(P49,'Exchange Rate Table'!A:B,2,FALSE)</f>
        <v>1</v>
      </c>
      <c r="R49">
        <v>2707</v>
      </c>
      <c r="S49">
        <f>Q49*R49</f>
        <v>2707</v>
      </c>
      <c r="T49">
        <f>ROUND(R49, 0)</f>
        <v>2707</v>
      </c>
      <c r="U49" s="7" t="s">
        <v>146</v>
      </c>
      <c r="V49">
        <f>VALUE(U49)</f>
        <v>1000</v>
      </c>
      <c r="W49" t="s">
        <v>219</v>
      </c>
      <c r="X49" t="s">
        <v>185</v>
      </c>
      <c r="Y49" t="str">
        <f>CONCATENATE(W49,", ",X49)</f>
        <v>Provo, UT</v>
      </c>
      <c r="Z49" t="s">
        <v>41</v>
      </c>
      <c r="AA49" t="str">
        <f>TRIM(Z49)</f>
        <v>United States</v>
      </c>
      <c r="AB49" t="s">
        <v>70</v>
      </c>
      <c r="AC49">
        <f>LEN("https://www.kickstarter.com/discover/categories/games/")</f>
        <v>54</v>
      </c>
      <c r="AD49" t="str">
        <f>RIGHT(AB49,LEN(AB49)-54)</f>
        <v>playing%20cards</v>
      </c>
      <c r="AE49" t="str">
        <f>SUBSTITUTE(AD49,"%20"," ")</f>
        <v>playing cards</v>
      </c>
      <c r="AF49" s="8" t="b">
        <v>0</v>
      </c>
      <c r="AG49" s="8" t="str">
        <f>LOWER(AF49)</f>
        <v>false</v>
      </c>
      <c r="AH49" t="s">
        <v>43</v>
      </c>
      <c r="AJ49" s="18">
        <v>1966</v>
      </c>
      <c r="AK49" s="16"/>
      <c r="AL49" s="16"/>
      <c r="AM49" s="16"/>
      <c r="AN49" s="16"/>
      <c r="AO49" s="16"/>
    </row>
    <row r="50" spans="1:41">
      <c r="A50" s="5">
        <v>570716639</v>
      </c>
      <c r="B50" s="5" t="str">
        <f t="shared" si="3"/>
        <v>570716639</v>
      </c>
      <c r="C50" t="s">
        <v>220</v>
      </c>
      <c r="D50" t="str">
        <f>PROPER(C50)</f>
        <v>Night Parade Of 100 Demons: The Board Game (English)</v>
      </c>
      <c r="E50" s="6">
        <v>43546</v>
      </c>
      <c r="F50" s="6">
        <v>43570</v>
      </c>
      <c r="G50" s="6">
        <v>43600</v>
      </c>
      <c r="H50" s="13">
        <f>G50-F50</f>
        <v>30</v>
      </c>
      <c r="I50" s="13">
        <f t="shared" si="4"/>
        <v>1</v>
      </c>
      <c r="J50" s="13" t="str">
        <f t="shared" si="5"/>
        <v>Week Day</v>
      </c>
      <c r="K50" s="13">
        <f>MONTH(F50)</f>
        <v>4</v>
      </c>
      <c r="L50" s="6" t="b">
        <f>EXACT(E50,F50)</f>
        <v>0</v>
      </c>
      <c r="M50">
        <v>18</v>
      </c>
      <c r="N50">
        <f t="shared" si="6"/>
        <v>18</v>
      </c>
      <c r="O50" t="s">
        <v>37</v>
      </c>
      <c r="P50" t="str">
        <f>UPPER(O50)</f>
        <v>USD</v>
      </c>
      <c r="Q50">
        <f>VLOOKUP(P50,'Exchange Rate Table'!A:B,2,FALSE)</f>
        <v>1</v>
      </c>
      <c r="R50">
        <v>1154</v>
      </c>
      <c r="S50">
        <f>Q50*R50</f>
        <v>1154</v>
      </c>
      <c r="T50">
        <f>ROUND(R50, 0)</f>
        <v>1154</v>
      </c>
      <c r="U50" s="7" t="s">
        <v>187</v>
      </c>
      <c r="V50">
        <f>VALUE(U50)</f>
        <v>10000</v>
      </c>
      <c r="W50" t="s">
        <v>221</v>
      </c>
      <c r="X50" t="s">
        <v>162</v>
      </c>
      <c r="Y50" t="str">
        <f>CONCATENATE(W50,", ",X50)</f>
        <v>East Lansing, MI</v>
      </c>
      <c r="Z50" t="s">
        <v>41</v>
      </c>
      <c r="AA50" t="str">
        <f>TRIM(Z50)</f>
        <v>United States</v>
      </c>
      <c r="AB50" t="s">
        <v>70</v>
      </c>
      <c r="AC50">
        <f>LEN("https://www.kickstarter.com/discover/categories/games/")</f>
        <v>54</v>
      </c>
      <c r="AD50" t="str">
        <f>RIGHT(AB50,LEN(AB50)-54)</f>
        <v>playing%20cards</v>
      </c>
      <c r="AE50" t="str">
        <f>SUBSTITUTE(AD50,"%20"," ")</f>
        <v>playing cards</v>
      </c>
      <c r="AF50" s="8" t="b">
        <v>0</v>
      </c>
      <c r="AG50" s="8" t="str">
        <f>LOWER(AF50)</f>
        <v>false</v>
      </c>
      <c r="AH50" t="s">
        <v>50</v>
      </c>
      <c r="AJ50" s="18">
        <v>2047</v>
      </c>
      <c r="AK50" s="16"/>
      <c r="AL50" s="16"/>
      <c r="AM50" s="16"/>
      <c r="AN50" s="16"/>
      <c r="AO50" s="16"/>
    </row>
    <row r="51" spans="1:41">
      <c r="A51" s="5">
        <v>575542112</v>
      </c>
      <c r="B51" s="5" t="str">
        <f t="shared" si="3"/>
        <v>575542112</v>
      </c>
      <c r="C51" t="s">
        <v>222</v>
      </c>
      <c r="D51" t="str">
        <f>PROPER(C51)</f>
        <v>Gaym</v>
      </c>
      <c r="E51" s="6">
        <v>43550</v>
      </c>
      <c r="F51" s="6">
        <v>43552</v>
      </c>
      <c r="G51" s="6">
        <v>43572</v>
      </c>
      <c r="H51" s="13">
        <f>G51-F51</f>
        <v>20</v>
      </c>
      <c r="I51" s="13">
        <f t="shared" si="4"/>
        <v>4</v>
      </c>
      <c r="J51" s="13" t="str">
        <f t="shared" si="5"/>
        <v>Week Day</v>
      </c>
      <c r="K51" s="13">
        <f>MONTH(F51)</f>
        <v>3</v>
      </c>
      <c r="L51" s="6" t="b">
        <f>EXACT(E51,F51)</f>
        <v>0</v>
      </c>
      <c r="M51">
        <v>96</v>
      </c>
      <c r="N51">
        <f t="shared" si="6"/>
        <v>96</v>
      </c>
      <c r="O51" t="s">
        <v>37</v>
      </c>
      <c r="P51" t="str">
        <f>UPPER(O51)</f>
        <v>USD</v>
      </c>
      <c r="Q51">
        <f>VLOOKUP(P51,'Exchange Rate Table'!A:B,2,FALSE)</f>
        <v>1</v>
      </c>
      <c r="R51">
        <v>2731</v>
      </c>
      <c r="S51">
        <f>Q51*R51</f>
        <v>2731</v>
      </c>
      <c r="T51">
        <f>ROUND(R51, 0)</f>
        <v>2731</v>
      </c>
      <c r="U51" s="7" t="s">
        <v>146</v>
      </c>
      <c r="V51">
        <f>VALUE(U51)</f>
        <v>1000</v>
      </c>
      <c r="W51" t="s">
        <v>223</v>
      </c>
      <c r="X51" t="s">
        <v>101</v>
      </c>
      <c r="Y51" t="str">
        <f>CONCATENATE(W51,", ",X51)</f>
        <v>New York, NY</v>
      </c>
      <c r="Z51" t="s">
        <v>41</v>
      </c>
      <c r="AA51" t="str">
        <f>TRIM(Z51)</f>
        <v>United States</v>
      </c>
      <c r="AB51" t="s">
        <v>58</v>
      </c>
      <c r="AC51">
        <f>LEN("https://www.kickstarter.com/discover/categories/games/")</f>
        <v>54</v>
      </c>
      <c r="AD51" t="str">
        <f>RIGHT(AB51,LEN(AB51)-54)</f>
        <v>tabletop%20games</v>
      </c>
      <c r="AE51" t="str">
        <f>SUBSTITUTE(AD51,"%20"," ")</f>
        <v>tabletop games</v>
      </c>
      <c r="AF51" s="8" t="b">
        <v>0</v>
      </c>
      <c r="AG51" s="8" t="str">
        <f>LOWER(AF51)</f>
        <v>false</v>
      </c>
      <c r="AH51" t="s">
        <v>43</v>
      </c>
      <c r="AJ51" s="18">
        <v>2060</v>
      </c>
      <c r="AK51" s="16"/>
      <c r="AL51" s="16"/>
      <c r="AM51" s="16"/>
      <c r="AN51" s="16"/>
      <c r="AO51" s="16"/>
    </row>
    <row r="52" spans="1:41">
      <c r="A52" s="5">
        <v>599991695</v>
      </c>
      <c r="B52" s="5" t="str">
        <f t="shared" si="3"/>
        <v>599991695</v>
      </c>
      <c r="C52" t="s">
        <v>224</v>
      </c>
      <c r="D52" t="str">
        <f>PROPER(C52)</f>
        <v>First Us Fantasy Sports Site For Women'S Leagues: She Plays</v>
      </c>
      <c r="E52" s="6">
        <v>43551</v>
      </c>
      <c r="F52" s="6">
        <v>43556</v>
      </c>
      <c r="G52" s="6">
        <v>43570</v>
      </c>
      <c r="H52" s="13">
        <f>G52-F52</f>
        <v>14</v>
      </c>
      <c r="I52" s="13">
        <f t="shared" si="4"/>
        <v>1</v>
      </c>
      <c r="J52" s="13" t="str">
        <f t="shared" si="5"/>
        <v>Week Day</v>
      </c>
      <c r="K52" s="13">
        <f>MONTH(F52)</f>
        <v>4</v>
      </c>
      <c r="L52" s="6" t="b">
        <f>EXACT(E52,F52)</f>
        <v>0</v>
      </c>
      <c r="M52">
        <v>228</v>
      </c>
      <c r="N52">
        <f t="shared" si="6"/>
        <v>228</v>
      </c>
      <c r="O52" t="s">
        <v>37</v>
      </c>
      <c r="P52" t="str">
        <f>UPPER(O52)</f>
        <v>USD</v>
      </c>
      <c r="Q52">
        <f>VLOOKUP(P52,'Exchange Rate Table'!A:B,2,FALSE)</f>
        <v>1</v>
      </c>
      <c r="R52">
        <v>16047</v>
      </c>
      <c r="S52">
        <f>Q52*R52</f>
        <v>16047</v>
      </c>
      <c r="T52">
        <f>ROUND(R52, 0)</f>
        <v>16047</v>
      </c>
      <c r="U52" s="7" t="s">
        <v>79</v>
      </c>
      <c r="V52">
        <f>VALUE(U52)</f>
        <v>5000</v>
      </c>
      <c r="W52" t="s">
        <v>225</v>
      </c>
      <c r="X52" t="s">
        <v>226</v>
      </c>
      <c r="Y52" t="str">
        <f>CONCATENATE(W52,", ",X52)</f>
        <v>Brandon, MS</v>
      </c>
      <c r="Z52" t="s">
        <v>41</v>
      </c>
      <c r="AA52" t="str">
        <f>TRIM(Z52)</f>
        <v>United States</v>
      </c>
      <c r="AB52" t="s">
        <v>58</v>
      </c>
      <c r="AC52">
        <f>LEN("https://www.kickstarter.com/discover/categories/games/")</f>
        <v>54</v>
      </c>
      <c r="AD52" t="str">
        <f>RIGHT(AB52,LEN(AB52)-54)</f>
        <v>tabletop%20games</v>
      </c>
      <c r="AE52" t="str">
        <f>SUBSTITUTE(AD52,"%20"," ")</f>
        <v>tabletop games</v>
      </c>
      <c r="AF52" s="8" t="b">
        <v>0</v>
      </c>
      <c r="AG52" s="8" t="str">
        <f>LOWER(AF52)</f>
        <v>false</v>
      </c>
      <c r="AH52" t="s">
        <v>43</v>
      </c>
      <c r="AJ52" s="18">
        <v>2123</v>
      </c>
      <c r="AK52" s="16"/>
      <c r="AL52" s="16"/>
      <c r="AM52" s="16"/>
      <c r="AN52" s="16"/>
      <c r="AO52" s="16"/>
    </row>
    <row r="53" spans="1:41">
      <c r="A53" s="5">
        <v>603218921</v>
      </c>
      <c r="B53" s="5" t="str">
        <f t="shared" si="3"/>
        <v>603218921</v>
      </c>
      <c r="C53" t="s">
        <v>227</v>
      </c>
      <c r="D53" t="str">
        <f>PROPER(C53)</f>
        <v>Football Fantasy, A First-And-Dungeon Zine.</v>
      </c>
      <c r="E53" s="6">
        <v>43553</v>
      </c>
      <c r="F53" s="6">
        <v>43605</v>
      </c>
      <c r="G53" s="6">
        <v>43635</v>
      </c>
      <c r="H53" s="13">
        <f>G53-F53</f>
        <v>30</v>
      </c>
      <c r="I53" s="13">
        <f t="shared" si="4"/>
        <v>1</v>
      </c>
      <c r="J53" s="13" t="str">
        <f t="shared" si="5"/>
        <v>Week Day</v>
      </c>
      <c r="K53" s="13">
        <f>MONTH(F53)</f>
        <v>5</v>
      </c>
      <c r="L53" s="6" t="b">
        <f>EXACT(E53,F53)</f>
        <v>0</v>
      </c>
      <c r="M53">
        <v>157</v>
      </c>
      <c r="N53">
        <f t="shared" si="6"/>
        <v>157</v>
      </c>
      <c r="O53" t="s">
        <v>53</v>
      </c>
      <c r="P53" t="str">
        <f>UPPER(O53)</f>
        <v>GBP</v>
      </c>
      <c r="Q53">
        <f>VLOOKUP(P53,'Exchange Rate Table'!A:B,2,FALSE)</f>
        <v>1.49576325</v>
      </c>
      <c r="R53">
        <v>4313</v>
      </c>
      <c r="S53">
        <f>Q53*R53</f>
        <v>6451.2268972499996</v>
      </c>
      <c r="T53">
        <f>ROUND(R53, 0)</f>
        <v>4313</v>
      </c>
      <c r="U53" s="7" t="s">
        <v>142</v>
      </c>
      <c r="V53">
        <f>VALUE(U53)</f>
        <v>3000</v>
      </c>
      <c r="W53" t="s">
        <v>228</v>
      </c>
      <c r="X53" t="s">
        <v>56</v>
      </c>
      <c r="Y53" t="str">
        <f>CONCATENATE(W53,", ",X53)</f>
        <v>Wales, England</v>
      </c>
      <c r="Z53" t="s">
        <v>57</v>
      </c>
      <c r="AA53" t="str">
        <f>TRIM(Z53)</f>
        <v>United Kingdom</v>
      </c>
      <c r="AB53" t="s">
        <v>70</v>
      </c>
      <c r="AC53">
        <f>LEN("https://www.kickstarter.com/discover/categories/games/")</f>
        <v>54</v>
      </c>
      <c r="AD53" t="str">
        <f>RIGHT(AB53,LEN(AB53)-54)</f>
        <v>playing%20cards</v>
      </c>
      <c r="AE53" t="str">
        <f>SUBSTITUTE(AD53,"%20"," ")</f>
        <v>playing cards</v>
      </c>
      <c r="AF53" s="8" t="b">
        <v>0</v>
      </c>
      <c r="AG53" s="8" t="str">
        <f>LOWER(AF53)</f>
        <v>false</v>
      </c>
      <c r="AH53" t="s">
        <v>43</v>
      </c>
      <c r="AJ53" s="18">
        <v>2145</v>
      </c>
      <c r="AK53" s="16"/>
      <c r="AL53" s="16"/>
      <c r="AM53" s="16"/>
      <c r="AN53" s="16"/>
      <c r="AO53" s="16"/>
    </row>
    <row r="54" spans="1:41">
      <c r="A54" s="5">
        <v>614983062</v>
      </c>
      <c r="B54" s="5" t="str">
        <f t="shared" si="3"/>
        <v>614983062</v>
      </c>
      <c r="C54" t="s">
        <v>229</v>
      </c>
      <c r="D54" t="str">
        <f>PROPER(C54)</f>
        <v>The Umerican Road Atlas And Umerica Unnatural</v>
      </c>
      <c r="E54" s="6">
        <v>43554</v>
      </c>
      <c r="F54" s="6">
        <v>43560</v>
      </c>
      <c r="G54" s="6">
        <v>43592</v>
      </c>
      <c r="H54" s="13">
        <f>G54-F54</f>
        <v>32</v>
      </c>
      <c r="I54" s="13">
        <f t="shared" si="4"/>
        <v>5</v>
      </c>
      <c r="J54" s="13" t="str">
        <f t="shared" si="5"/>
        <v>Week Day</v>
      </c>
      <c r="K54" s="13">
        <f>MONTH(F54)</f>
        <v>4</v>
      </c>
      <c r="L54" s="6" t="b">
        <f>EXACT(E54,F54)</f>
        <v>0</v>
      </c>
      <c r="M54">
        <v>341</v>
      </c>
      <c r="N54">
        <f t="shared" si="6"/>
        <v>341</v>
      </c>
      <c r="O54" t="s">
        <v>37</v>
      </c>
      <c r="P54" t="str">
        <f>UPPER(O54)</f>
        <v>USD</v>
      </c>
      <c r="Q54">
        <f>VLOOKUP(P54,'Exchange Rate Table'!A:B,2,FALSE)</f>
        <v>1</v>
      </c>
      <c r="R54">
        <v>13032</v>
      </c>
      <c r="S54">
        <f>Q54*R54</f>
        <v>13032</v>
      </c>
      <c r="T54">
        <f>ROUND(R54, 0)</f>
        <v>13032</v>
      </c>
      <c r="U54" s="7" t="s">
        <v>187</v>
      </c>
      <c r="V54">
        <f>VALUE(U54)</f>
        <v>10000</v>
      </c>
      <c r="W54" t="s">
        <v>230</v>
      </c>
      <c r="X54" t="s">
        <v>173</v>
      </c>
      <c r="Y54" t="str">
        <f>CONCATENATE(W54,", ",X54)</f>
        <v>Naperville, IL</v>
      </c>
      <c r="Z54" t="s">
        <v>41</v>
      </c>
      <c r="AA54" t="str">
        <f>TRIM(Z54)</f>
        <v>United States</v>
      </c>
      <c r="AB54" t="s">
        <v>58</v>
      </c>
      <c r="AC54">
        <f>LEN("https://www.kickstarter.com/discover/categories/games/")</f>
        <v>54</v>
      </c>
      <c r="AD54" t="str">
        <f>RIGHT(AB54,LEN(AB54)-54)</f>
        <v>tabletop%20games</v>
      </c>
      <c r="AE54" t="str">
        <f>SUBSTITUTE(AD54,"%20"," ")</f>
        <v>tabletop games</v>
      </c>
      <c r="AF54" s="8" t="b">
        <v>0</v>
      </c>
      <c r="AG54" s="8" t="str">
        <f>LOWER(AF54)</f>
        <v>false</v>
      </c>
      <c r="AH54" t="s">
        <v>43</v>
      </c>
      <c r="AJ54" s="18">
        <v>2612</v>
      </c>
      <c r="AK54" s="16"/>
      <c r="AL54" s="16"/>
      <c r="AM54" s="16"/>
      <c r="AN54" s="16"/>
      <c r="AO54" s="16"/>
    </row>
    <row r="55" spans="1:41">
      <c r="A55" s="5">
        <v>675733053</v>
      </c>
      <c r="B55" s="5" t="str">
        <f t="shared" si="3"/>
        <v>675733053</v>
      </c>
      <c r="C55" t="s">
        <v>231</v>
      </c>
      <c r="D55" t="str">
        <f>PROPER(C55)</f>
        <v>Fantasy Towers In Stl Format For 3D Printing</v>
      </c>
      <c r="E55" s="6">
        <v>43556</v>
      </c>
      <c r="F55" s="6">
        <v>43561</v>
      </c>
      <c r="G55" s="6">
        <v>43576</v>
      </c>
      <c r="H55" s="13">
        <f>G55-F55</f>
        <v>15</v>
      </c>
      <c r="I55" s="13">
        <f t="shared" si="4"/>
        <v>6</v>
      </c>
      <c r="J55" s="13" t="str">
        <f t="shared" si="5"/>
        <v>Weekend</v>
      </c>
      <c r="K55" s="13">
        <f>MONTH(F55)</f>
        <v>4</v>
      </c>
      <c r="L55" s="6" t="b">
        <f>EXACT(E55,F55)</f>
        <v>0</v>
      </c>
      <c r="M55">
        <v>7</v>
      </c>
      <c r="N55">
        <f t="shared" si="6"/>
        <v>7</v>
      </c>
      <c r="O55" t="s">
        <v>72</v>
      </c>
      <c r="P55" t="str">
        <f>UPPER(O55)</f>
        <v>EUR</v>
      </c>
      <c r="Q55">
        <f>VLOOKUP(P55,'Exchange Rate Table'!A:B,2,FALSE)</f>
        <v>1.16955371</v>
      </c>
      <c r="R55">
        <v>197</v>
      </c>
      <c r="S55">
        <f>Q55*R55</f>
        <v>230.40208086999999</v>
      </c>
      <c r="T55">
        <f>ROUND(R55, 0)</f>
        <v>197</v>
      </c>
      <c r="U55" s="7" t="s">
        <v>232</v>
      </c>
      <c r="V55">
        <f>VALUE(U55)</f>
        <v>100</v>
      </c>
      <c r="W55" t="s">
        <v>233</v>
      </c>
      <c r="X55" t="s">
        <v>197</v>
      </c>
      <c r="Y55" t="str">
        <f>CONCATENATE(W55,", ",X55)</f>
        <v>Bretagne, Centre</v>
      </c>
      <c r="Z55" t="s">
        <v>135</v>
      </c>
      <c r="AA55" t="str">
        <f>TRIM(Z55)</f>
        <v>France</v>
      </c>
      <c r="AB55" t="s">
        <v>58</v>
      </c>
      <c r="AC55">
        <f>LEN("https://www.kickstarter.com/discover/categories/games/")</f>
        <v>54</v>
      </c>
      <c r="AD55" t="str">
        <f>RIGHT(AB55,LEN(AB55)-54)</f>
        <v>tabletop%20games</v>
      </c>
      <c r="AE55" t="str">
        <f>SUBSTITUTE(AD55,"%20"," ")</f>
        <v>tabletop games</v>
      </c>
      <c r="AF55" s="8" t="b">
        <v>0</v>
      </c>
      <c r="AG55" s="8" t="str">
        <f>LOWER(AF55)</f>
        <v>false</v>
      </c>
      <c r="AH55" t="s">
        <v>43</v>
      </c>
      <c r="AJ55" s="18">
        <v>2707</v>
      </c>
      <c r="AK55" s="16"/>
      <c r="AL55" s="16"/>
      <c r="AM55" s="16"/>
      <c r="AN55" s="16"/>
      <c r="AO55" s="16"/>
    </row>
    <row r="56" spans="1:41">
      <c r="A56" s="5">
        <v>691012156</v>
      </c>
      <c r="B56" s="5" t="str">
        <f t="shared" si="3"/>
        <v>691012156</v>
      </c>
      <c r="C56" t="s">
        <v>234</v>
      </c>
      <c r="D56" t="str">
        <f>PROPER(C56)</f>
        <v>Ashes To Ashes - Ks Exclusive Game</v>
      </c>
      <c r="E56" s="6">
        <v>43558</v>
      </c>
      <c r="F56" s="6">
        <v>43571</v>
      </c>
      <c r="G56" s="6">
        <v>43587</v>
      </c>
      <c r="H56" s="13">
        <f>G56-F56</f>
        <v>16</v>
      </c>
      <c r="I56" s="13">
        <f t="shared" si="4"/>
        <v>2</v>
      </c>
      <c r="J56" s="13" t="str">
        <f t="shared" si="5"/>
        <v>Week Day</v>
      </c>
      <c r="K56" s="13">
        <f>MONTH(F56)</f>
        <v>4</v>
      </c>
      <c r="L56" s="6" t="b">
        <f>EXACT(E56,F56)</f>
        <v>0</v>
      </c>
      <c r="M56">
        <v>26004</v>
      </c>
      <c r="N56">
        <f t="shared" si="6"/>
        <v>26004</v>
      </c>
      <c r="O56" t="s">
        <v>37</v>
      </c>
      <c r="P56" t="str">
        <f>UPPER(O56)</f>
        <v>USD</v>
      </c>
      <c r="Q56">
        <f>VLOOKUP(P56,'Exchange Rate Table'!A:B,2,FALSE)</f>
        <v>1</v>
      </c>
      <c r="R56">
        <v>1367901.33</v>
      </c>
      <c r="S56">
        <f>Q56*R56</f>
        <v>1367901.33</v>
      </c>
      <c r="T56">
        <f>ROUND(R56, 0)</f>
        <v>1367901</v>
      </c>
      <c r="U56" s="7" t="s">
        <v>235</v>
      </c>
      <c r="V56">
        <f>VALUE(U56)</f>
        <v>20000</v>
      </c>
      <c r="W56" t="s">
        <v>236</v>
      </c>
      <c r="X56" t="s">
        <v>40</v>
      </c>
      <c r="Y56" t="str">
        <f>CONCATENATE(W56,", ",X56)</f>
        <v>Boynton Beach, FL</v>
      </c>
      <c r="Z56" t="s">
        <v>41</v>
      </c>
      <c r="AA56" t="str">
        <f>TRIM(Z56)</f>
        <v>United States</v>
      </c>
      <c r="AB56" t="s">
        <v>58</v>
      </c>
      <c r="AC56">
        <f>LEN("https://www.kickstarter.com/discover/categories/games/")</f>
        <v>54</v>
      </c>
      <c r="AD56" t="str">
        <f>RIGHT(AB56,LEN(AB56)-54)</f>
        <v>tabletop%20games</v>
      </c>
      <c r="AE56" t="str">
        <f>SUBSTITUTE(AD56,"%20"," ")</f>
        <v>tabletop games</v>
      </c>
      <c r="AF56" s="8" t="b">
        <v>0</v>
      </c>
      <c r="AG56" s="8" t="str">
        <f>LOWER(AF56)</f>
        <v>false</v>
      </c>
      <c r="AH56" t="s">
        <v>43</v>
      </c>
      <c r="AJ56" s="18">
        <v>2731</v>
      </c>
      <c r="AK56" s="16"/>
      <c r="AL56" s="16"/>
      <c r="AM56" s="16"/>
      <c r="AN56" s="16"/>
      <c r="AO56" s="16"/>
    </row>
    <row r="57" spans="1:41">
      <c r="A57" s="5">
        <v>693521123</v>
      </c>
      <c r="B57" s="5" t="str">
        <f t="shared" si="3"/>
        <v>693521123</v>
      </c>
      <c r="C57" t="s">
        <v>237</v>
      </c>
      <c r="D57" t="str">
        <f>PROPER(C57)</f>
        <v>Aeon'S End: The New Age</v>
      </c>
      <c r="E57" s="6">
        <v>43564</v>
      </c>
      <c r="F57" s="6">
        <v>43578</v>
      </c>
      <c r="G57" s="6">
        <v>43608</v>
      </c>
      <c r="H57" s="13">
        <f>G57-F57</f>
        <v>30</v>
      </c>
      <c r="I57" s="13">
        <f t="shared" si="4"/>
        <v>2</v>
      </c>
      <c r="J57" s="13" t="str">
        <f t="shared" si="5"/>
        <v>Week Day</v>
      </c>
      <c r="K57" s="13">
        <f>MONTH(F57)</f>
        <v>4</v>
      </c>
      <c r="L57" s="6" t="b">
        <f>EXACT(E57,F57)</f>
        <v>0</v>
      </c>
      <c r="M57">
        <v>71</v>
      </c>
      <c r="N57">
        <f t="shared" si="6"/>
        <v>71</v>
      </c>
      <c r="O57" t="s">
        <v>37</v>
      </c>
      <c r="P57" t="str">
        <f>UPPER(O57)</f>
        <v>USD</v>
      </c>
      <c r="Q57">
        <f>VLOOKUP(P57,'Exchange Rate Table'!A:B,2,FALSE)</f>
        <v>1</v>
      </c>
      <c r="R57">
        <v>1633</v>
      </c>
      <c r="S57">
        <f>Q57*R57</f>
        <v>1633</v>
      </c>
      <c r="T57">
        <f>ROUND(R57, 0)</f>
        <v>1633</v>
      </c>
      <c r="U57" s="7" t="s">
        <v>238</v>
      </c>
      <c r="V57">
        <f>VALUE(U57)</f>
        <v>7500</v>
      </c>
      <c r="W57" t="s">
        <v>239</v>
      </c>
      <c r="X57" t="s">
        <v>240</v>
      </c>
      <c r="Y57" t="str">
        <f>CONCATENATE(W57,", ",X57)</f>
        <v>College Park, MD</v>
      </c>
      <c r="Z57" t="s">
        <v>41</v>
      </c>
      <c r="AA57" t="str">
        <f>TRIM(Z57)</f>
        <v>United States</v>
      </c>
      <c r="AB57" t="s">
        <v>70</v>
      </c>
      <c r="AC57">
        <f>LEN("https://www.kickstarter.com/discover/categories/games/")</f>
        <v>54</v>
      </c>
      <c r="AD57" t="str">
        <f>RIGHT(AB57,LEN(AB57)-54)</f>
        <v>playing%20cards</v>
      </c>
      <c r="AE57" t="str">
        <f>SUBSTITUTE(AD57,"%20"," ")</f>
        <v>playing cards</v>
      </c>
      <c r="AF57" s="8" t="b">
        <v>0</v>
      </c>
      <c r="AG57" s="8" t="str">
        <f>LOWER(AF57)</f>
        <v>false</v>
      </c>
      <c r="AH57" t="s">
        <v>50</v>
      </c>
      <c r="AJ57" s="18">
        <v>3070</v>
      </c>
      <c r="AK57" s="16"/>
      <c r="AL57" s="16"/>
      <c r="AM57" s="16"/>
      <c r="AN57" s="16"/>
      <c r="AO57" s="16"/>
    </row>
    <row r="58" spans="1:41">
      <c r="A58" s="5">
        <v>697419301</v>
      </c>
      <c r="B58" s="5" t="str">
        <f t="shared" si="3"/>
        <v>697419301</v>
      </c>
      <c r="C58" t="s">
        <v>241</v>
      </c>
      <c r="D58" t="str">
        <f>PROPER(C58)</f>
        <v>The Bridge Of The Damned</v>
      </c>
      <c r="E58" s="6">
        <v>43564</v>
      </c>
      <c r="F58" s="6">
        <v>43574</v>
      </c>
      <c r="G58" s="6">
        <v>43605</v>
      </c>
      <c r="H58" s="13">
        <f>G58-F58</f>
        <v>31</v>
      </c>
      <c r="I58" s="13">
        <f t="shared" si="4"/>
        <v>5</v>
      </c>
      <c r="J58" s="13" t="str">
        <f t="shared" si="5"/>
        <v>Week Day</v>
      </c>
      <c r="K58" s="13">
        <f>MONTH(F58)</f>
        <v>4</v>
      </c>
      <c r="L58" s="6" t="b">
        <f>EXACT(E58,F58)</f>
        <v>0</v>
      </c>
      <c r="M58">
        <v>22</v>
      </c>
      <c r="N58">
        <f t="shared" si="6"/>
        <v>22</v>
      </c>
      <c r="O58" t="s">
        <v>37</v>
      </c>
      <c r="P58" t="str">
        <f>UPPER(O58)</f>
        <v>USD</v>
      </c>
      <c r="Q58">
        <f>VLOOKUP(P58,'Exchange Rate Table'!A:B,2,FALSE)</f>
        <v>1</v>
      </c>
      <c r="R58">
        <v>1364</v>
      </c>
      <c r="S58">
        <f>Q58*R58</f>
        <v>1364</v>
      </c>
      <c r="T58">
        <f>ROUND(R58, 0)</f>
        <v>1364</v>
      </c>
      <c r="U58" s="7" t="s">
        <v>79</v>
      </c>
      <c r="V58">
        <f>VALUE(U58)</f>
        <v>5000</v>
      </c>
      <c r="W58" t="s">
        <v>242</v>
      </c>
      <c r="X58" t="s">
        <v>182</v>
      </c>
      <c r="Y58" t="str">
        <f>CONCATENATE(W58,", ",X58)</f>
        <v>Durango, CO</v>
      </c>
      <c r="Z58" t="s">
        <v>41</v>
      </c>
      <c r="AA58" t="str">
        <f>TRIM(Z58)</f>
        <v>United States</v>
      </c>
      <c r="AB58" t="s">
        <v>243</v>
      </c>
      <c r="AC58">
        <f>LEN("https://www.kickstarter.com/discover/categories/games/")</f>
        <v>54</v>
      </c>
      <c r="AD58" t="str">
        <f>RIGHT(AB58,LEN(AB58)-54)</f>
        <v>puzzles</v>
      </c>
      <c r="AE58" t="str">
        <f>SUBSTITUTE(AD58,"%20"," ")</f>
        <v>puzzles</v>
      </c>
      <c r="AF58" s="8" t="b">
        <v>0</v>
      </c>
      <c r="AG58" s="8" t="str">
        <f>LOWER(AF58)</f>
        <v>false</v>
      </c>
      <c r="AH58" t="s">
        <v>50</v>
      </c>
      <c r="AJ58" s="18">
        <v>3208</v>
      </c>
      <c r="AK58" s="16"/>
      <c r="AL58" s="16"/>
      <c r="AM58" s="16"/>
      <c r="AN58" s="16"/>
      <c r="AO58" s="16"/>
    </row>
    <row r="59" spans="1:41">
      <c r="A59" s="5">
        <v>722089197</v>
      </c>
      <c r="B59" s="5" t="str">
        <f t="shared" si="3"/>
        <v>722089197</v>
      </c>
      <c r="C59" t="s">
        <v>244</v>
      </c>
      <c r="D59" t="str">
        <f>PROPER(C59)</f>
        <v>Monster Cards: Dnd 5E Reference Cards</v>
      </c>
      <c r="E59" s="6">
        <v>43566</v>
      </c>
      <c r="F59" s="6">
        <v>43572</v>
      </c>
      <c r="G59" s="6">
        <v>43602</v>
      </c>
      <c r="H59" s="13">
        <f>G59-F59</f>
        <v>30</v>
      </c>
      <c r="I59" s="13">
        <f t="shared" si="4"/>
        <v>3</v>
      </c>
      <c r="J59" s="13" t="str">
        <f t="shared" si="5"/>
        <v>Week Day</v>
      </c>
      <c r="K59" s="13">
        <f>MONTH(F59)</f>
        <v>4</v>
      </c>
      <c r="L59" s="6" t="b">
        <f>EXACT(E59,F59)</f>
        <v>0</v>
      </c>
      <c r="M59">
        <v>319</v>
      </c>
      <c r="N59">
        <f t="shared" si="6"/>
        <v>319</v>
      </c>
      <c r="O59" t="s">
        <v>37</v>
      </c>
      <c r="P59" t="str">
        <f>UPPER(O59)</f>
        <v>USD</v>
      </c>
      <c r="Q59">
        <f>VLOOKUP(P59,'Exchange Rate Table'!A:B,2,FALSE)</f>
        <v>1</v>
      </c>
      <c r="R59">
        <v>27666</v>
      </c>
      <c r="S59">
        <f>Q59*R59</f>
        <v>27666</v>
      </c>
      <c r="T59">
        <f>ROUND(R59, 0)</f>
        <v>27666</v>
      </c>
      <c r="U59" s="7" t="s">
        <v>187</v>
      </c>
      <c r="V59">
        <f>VALUE(U59)</f>
        <v>10000</v>
      </c>
      <c r="W59" t="s">
        <v>245</v>
      </c>
      <c r="X59" t="s">
        <v>185</v>
      </c>
      <c r="Y59" t="str">
        <f>CONCATENATE(W59,", ",X59)</f>
        <v>Salt Lake City, UT</v>
      </c>
      <c r="Z59" t="s">
        <v>41</v>
      </c>
      <c r="AA59" t="str">
        <f>TRIM(Z59)</f>
        <v>United States</v>
      </c>
      <c r="AB59" t="s">
        <v>58</v>
      </c>
      <c r="AC59">
        <f>LEN("https://www.kickstarter.com/discover/categories/games/")</f>
        <v>54</v>
      </c>
      <c r="AD59" t="str">
        <f>RIGHT(AB59,LEN(AB59)-54)</f>
        <v>tabletop%20games</v>
      </c>
      <c r="AE59" t="str">
        <f>SUBSTITUTE(AD59,"%20"," ")</f>
        <v>tabletop games</v>
      </c>
      <c r="AF59" s="8" t="b">
        <v>0</v>
      </c>
      <c r="AG59" s="8" t="str">
        <f>LOWER(AF59)</f>
        <v>false</v>
      </c>
      <c r="AH59" t="s">
        <v>43</v>
      </c>
      <c r="AJ59" s="18">
        <v>3511</v>
      </c>
      <c r="AK59" s="16"/>
      <c r="AL59" s="16"/>
      <c r="AM59" s="16"/>
      <c r="AN59" s="16"/>
      <c r="AO59" s="16"/>
    </row>
    <row r="60" spans="1:41">
      <c r="A60" s="5">
        <v>746887439</v>
      </c>
      <c r="B60" s="5" t="str">
        <f t="shared" si="3"/>
        <v>746887439</v>
      </c>
      <c r="C60" t="s">
        <v>246</v>
      </c>
      <c r="D60" t="str">
        <f>PROPER(C60)</f>
        <v>Cash Quiz Live: Making Ads Fun, Challenging, &amp; Rewarding</v>
      </c>
      <c r="E60" s="6">
        <v>43567</v>
      </c>
      <c r="F60" s="6">
        <v>43582</v>
      </c>
      <c r="G60" s="6">
        <v>43617</v>
      </c>
      <c r="H60" s="13">
        <f>G60-F60</f>
        <v>35</v>
      </c>
      <c r="I60" s="13">
        <f t="shared" si="4"/>
        <v>6</v>
      </c>
      <c r="J60" s="13" t="str">
        <f t="shared" si="5"/>
        <v>Weekend</v>
      </c>
      <c r="K60" s="13">
        <f>MONTH(F60)</f>
        <v>4</v>
      </c>
      <c r="L60" s="6" t="b">
        <f>EXACT(E60,F60)</f>
        <v>0</v>
      </c>
      <c r="M60">
        <v>3</v>
      </c>
      <c r="N60">
        <f t="shared" si="6"/>
        <v>3</v>
      </c>
      <c r="O60" t="s">
        <v>212</v>
      </c>
      <c r="P60" t="str">
        <f>UPPER(O60)</f>
        <v>HKD</v>
      </c>
      <c r="Q60">
        <f>VLOOKUP(P60,'Exchange Rate Table'!A:B,2,FALSE)</f>
        <v>0.12847297999999999</v>
      </c>
      <c r="R60">
        <v>40</v>
      </c>
      <c r="S60">
        <f>Q60*R60</f>
        <v>5.1389191999999992</v>
      </c>
      <c r="T60">
        <f>ROUND(R60, 0)</f>
        <v>40</v>
      </c>
      <c r="U60" s="7" t="s">
        <v>138</v>
      </c>
      <c r="V60">
        <f>VALUE(U60)</f>
        <v>30000</v>
      </c>
      <c r="W60" t="s">
        <v>213</v>
      </c>
      <c r="X60" t="s">
        <v>214</v>
      </c>
      <c r="Y60" t="str">
        <f>CONCATENATE(W60,", ",X60)</f>
        <v>Hong Kong, Hong Kong Island</v>
      </c>
      <c r="Z60" t="s">
        <v>215</v>
      </c>
      <c r="AA60" t="str">
        <f>TRIM(Z60)</f>
        <v>Hong Kong</v>
      </c>
      <c r="AB60" t="s">
        <v>49</v>
      </c>
      <c r="AC60">
        <f>LEN("https://www.kickstarter.com/discover/categories/games/")</f>
        <v>54</v>
      </c>
      <c r="AD60" t="str">
        <f>RIGHT(AB60,LEN(AB60)-54)</f>
        <v>mobile%20games</v>
      </c>
      <c r="AE60" t="str">
        <f>SUBSTITUTE(AD60,"%20"," ")</f>
        <v>mobile games</v>
      </c>
      <c r="AF60" s="8" t="b">
        <v>0</v>
      </c>
      <c r="AG60" s="8" t="str">
        <f>LOWER(AF60)</f>
        <v>false</v>
      </c>
      <c r="AH60" t="s">
        <v>50</v>
      </c>
      <c r="AJ60" s="18">
        <v>3659.32</v>
      </c>
      <c r="AK60" s="16"/>
      <c r="AL60" s="16"/>
      <c r="AM60" s="16"/>
      <c r="AN60" s="16"/>
      <c r="AO60" s="16"/>
    </row>
    <row r="61" spans="1:41">
      <c r="A61" s="5">
        <v>757326786</v>
      </c>
      <c r="B61" s="5" t="str">
        <f t="shared" si="3"/>
        <v>757326786</v>
      </c>
      <c r="C61" t="s">
        <v>247</v>
      </c>
      <c r="D61" t="str">
        <f>PROPER(C61)</f>
        <v>Dice &amp; Ink: A Roll &amp; Write Anthology</v>
      </c>
      <c r="E61" s="6">
        <v>43570</v>
      </c>
      <c r="F61" s="6">
        <v>43603</v>
      </c>
      <c r="G61" s="6">
        <v>43623</v>
      </c>
      <c r="H61" s="13">
        <f>G61-F61</f>
        <v>20</v>
      </c>
      <c r="I61" s="13">
        <f t="shared" si="4"/>
        <v>6</v>
      </c>
      <c r="J61" s="13" t="str">
        <f t="shared" si="5"/>
        <v>Weekend</v>
      </c>
      <c r="K61" s="13">
        <f>MONTH(F61)</f>
        <v>5</v>
      </c>
      <c r="L61" s="6" t="b">
        <f>EXACT(E61,F61)</f>
        <v>0</v>
      </c>
      <c r="M61">
        <v>193</v>
      </c>
      <c r="N61">
        <f t="shared" si="6"/>
        <v>193</v>
      </c>
      <c r="O61" t="s">
        <v>37</v>
      </c>
      <c r="P61" t="str">
        <f>UPPER(O61)</f>
        <v>USD</v>
      </c>
      <c r="Q61">
        <f>VLOOKUP(P61,'Exchange Rate Table'!A:B,2,FALSE)</f>
        <v>1</v>
      </c>
      <c r="R61">
        <v>10558</v>
      </c>
      <c r="S61">
        <f>Q61*R61</f>
        <v>10558</v>
      </c>
      <c r="T61">
        <f>ROUND(R61, 0)</f>
        <v>10558</v>
      </c>
      <c r="U61" s="7" t="s">
        <v>248</v>
      </c>
      <c r="V61">
        <f>VALUE(U61)</f>
        <v>4500</v>
      </c>
      <c r="W61" t="s">
        <v>249</v>
      </c>
      <c r="X61" t="s">
        <v>69</v>
      </c>
      <c r="Y61" t="str">
        <f>CONCATENATE(W61,", ",X61)</f>
        <v>Hayward, CA</v>
      </c>
      <c r="Z61" t="s">
        <v>41</v>
      </c>
      <c r="AA61" t="str">
        <f>TRIM(Z61)</f>
        <v>United States</v>
      </c>
      <c r="AB61" t="s">
        <v>70</v>
      </c>
      <c r="AC61">
        <f>LEN("https://www.kickstarter.com/discover/categories/games/")</f>
        <v>54</v>
      </c>
      <c r="AD61" t="str">
        <f>RIGHT(AB61,LEN(AB61)-54)</f>
        <v>playing%20cards</v>
      </c>
      <c r="AE61" t="str">
        <f>SUBSTITUTE(AD61,"%20"," ")</f>
        <v>playing cards</v>
      </c>
      <c r="AF61" s="8" t="b">
        <v>0</v>
      </c>
      <c r="AG61" s="8" t="str">
        <f>LOWER(AF61)</f>
        <v>false</v>
      </c>
      <c r="AH61" t="s">
        <v>43</v>
      </c>
      <c r="AJ61" s="18">
        <v>3850</v>
      </c>
      <c r="AK61" s="16"/>
      <c r="AL61" s="16"/>
      <c r="AM61" s="16"/>
      <c r="AN61" s="16"/>
      <c r="AO61" s="16"/>
    </row>
    <row r="62" spans="1:41">
      <c r="A62" s="5">
        <v>795830281</v>
      </c>
      <c r="B62" s="5" t="str">
        <f t="shared" si="3"/>
        <v>795830281</v>
      </c>
      <c r="C62" t="s">
        <v>250</v>
      </c>
      <c r="D62" t="str">
        <f>PROPER(C62)</f>
        <v>Japanese Mythology For Dungeons &amp; Dragons 5E And Pathfinder</v>
      </c>
      <c r="E62" s="6">
        <v>43571</v>
      </c>
      <c r="F62" s="6">
        <v>43572</v>
      </c>
      <c r="G62" s="6">
        <v>43586</v>
      </c>
      <c r="H62" s="13">
        <f>G62-F62</f>
        <v>14</v>
      </c>
      <c r="I62" s="13">
        <f t="shared" si="4"/>
        <v>3</v>
      </c>
      <c r="J62" s="13" t="str">
        <f t="shared" si="5"/>
        <v>Week Day</v>
      </c>
      <c r="K62" s="13">
        <f>MONTH(F62)</f>
        <v>4</v>
      </c>
      <c r="L62" s="6" t="b">
        <f>EXACT(E62,F62)</f>
        <v>0</v>
      </c>
      <c r="M62">
        <v>36</v>
      </c>
      <c r="N62">
        <f t="shared" si="6"/>
        <v>36</v>
      </c>
      <c r="O62" t="s">
        <v>37</v>
      </c>
      <c r="P62" t="str">
        <f>UPPER(O62)</f>
        <v>USD</v>
      </c>
      <c r="Q62">
        <f>VLOOKUP(P62,'Exchange Rate Table'!A:B,2,FALSE)</f>
        <v>1</v>
      </c>
      <c r="R62">
        <v>989</v>
      </c>
      <c r="S62">
        <f>Q62*R62</f>
        <v>989</v>
      </c>
      <c r="U62" s="7" t="s">
        <v>164</v>
      </c>
      <c r="V62">
        <f>VALUE(U62)</f>
        <v>500</v>
      </c>
      <c r="W62" t="s">
        <v>251</v>
      </c>
      <c r="X62" t="s">
        <v>252</v>
      </c>
      <c r="Y62" t="str">
        <f>CONCATENATE(W62,", ",X62)</f>
        <v>Carrollton, GA</v>
      </c>
      <c r="Z62" t="s">
        <v>41</v>
      </c>
      <c r="AA62" t="str">
        <f>TRIM(Z62)</f>
        <v>United States</v>
      </c>
      <c r="AB62" t="s">
        <v>58</v>
      </c>
      <c r="AC62">
        <f>LEN("https://www.kickstarter.com/discover/categories/games/")</f>
        <v>54</v>
      </c>
      <c r="AD62" t="str">
        <f>RIGHT(AB62,LEN(AB62)-54)</f>
        <v>tabletop%20games</v>
      </c>
      <c r="AE62" t="str">
        <f>SUBSTITUTE(AD62,"%20"," ")</f>
        <v>tabletop games</v>
      </c>
      <c r="AF62" s="8" t="b">
        <v>0</v>
      </c>
      <c r="AG62" s="8" t="str">
        <f>LOWER(AF62)</f>
        <v>false</v>
      </c>
      <c r="AH62" t="s">
        <v>43</v>
      </c>
      <c r="AJ62" s="18">
        <v>3886</v>
      </c>
      <c r="AK62" s="16"/>
      <c r="AL62" s="16"/>
      <c r="AM62" s="16"/>
      <c r="AN62" s="16"/>
      <c r="AO62" s="16"/>
    </row>
    <row r="63" spans="1:41">
      <c r="A63" s="5">
        <v>799327001</v>
      </c>
      <c r="B63" s="5" t="str">
        <f t="shared" si="3"/>
        <v>799327001</v>
      </c>
      <c r="C63" t="s">
        <v>253</v>
      </c>
      <c r="D63" t="str">
        <f>PROPER(C63)</f>
        <v>28Mm Scale Orc Defence Turrets</v>
      </c>
      <c r="E63" s="6">
        <v>43574</v>
      </c>
      <c r="F63" s="6"/>
      <c r="G63" s="6">
        <v>43661</v>
      </c>
      <c r="H63" s="13">
        <f>G63-F63</f>
        <v>43661</v>
      </c>
      <c r="I63" s="13">
        <f t="shared" si="4"/>
        <v>6</v>
      </c>
      <c r="J63" s="13" t="str">
        <f t="shared" si="5"/>
        <v>Weekend</v>
      </c>
      <c r="K63" s="13">
        <f>MONTH(F63)</f>
        <v>1</v>
      </c>
      <c r="L63" s="6" t="b">
        <f>EXACT(E63,F63)</f>
        <v>0</v>
      </c>
      <c r="M63">
        <v>208</v>
      </c>
      <c r="N63">
        <f t="shared" si="6"/>
        <v>208</v>
      </c>
      <c r="O63" t="s">
        <v>37</v>
      </c>
      <c r="P63" t="str">
        <f>UPPER(O63)</f>
        <v>USD</v>
      </c>
      <c r="Q63">
        <f>VLOOKUP(P63,'Exchange Rate Table'!A:B,2,FALSE)</f>
        <v>1</v>
      </c>
      <c r="R63">
        <v>4127</v>
      </c>
      <c r="S63">
        <f>Q63*R63</f>
        <v>4127</v>
      </c>
      <c r="T63">
        <f>ROUND(R63, 0)</f>
        <v>4127</v>
      </c>
      <c r="U63" s="7" t="s">
        <v>127</v>
      </c>
      <c r="V63">
        <f>VALUE(U63)</f>
        <v>1500</v>
      </c>
      <c r="W63" t="s">
        <v>254</v>
      </c>
      <c r="X63" t="s">
        <v>162</v>
      </c>
      <c r="Y63" t="str">
        <f>CONCATENATE(W63,", ",X63)</f>
        <v>Detroit, MI</v>
      </c>
      <c r="Z63" t="s">
        <v>41</v>
      </c>
      <c r="AA63" t="str">
        <f>TRIM(Z63)</f>
        <v>United States</v>
      </c>
      <c r="AB63" t="s">
        <v>58</v>
      </c>
      <c r="AC63">
        <f>LEN("https://www.kickstarter.com/discover/categories/games/")</f>
        <v>54</v>
      </c>
      <c r="AD63" t="str">
        <f>RIGHT(AB63,LEN(AB63)-54)</f>
        <v>tabletop%20games</v>
      </c>
      <c r="AE63" t="str">
        <f>SUBSTITUTE(AD63,"%20"," ")</f>
        <v>tabletop games</v>
      </c>
      <c r="AF63" s="8" t="b">
        <v>0</v>
      </c>
      <c r="AG63" s="8" t="str">
        <f>LOWER(AF63)</f>
        <v>false</v>
      </c>
      <c r="AH63" t="s">
        <v>43</v>
      </c>
      <c r="AJ63" s="18">
        <v>4046.69</v>
      </c>
      <c r="AK63" s="16"/>
      <c r="AL63" s="16"/>
      <c r="AM63" s="16"/>
      <c r="AN63" s="16"/>
      <c r="AO63" s="16"/>
    </row>
    <row r="64" spans="1:41">
      <c r="A64" s="5">
        <v>833136941</v>
      </c>
      <c r="B64" s="5" t="str">
        <f t="shared" si="3"/>
        <v>833136941</v>
      </c>
      <c r="C64" t="s">
        <v>255</v>
      </c>
      <c r="D64" t="str">
        <f>PROPER(C64)</f>
        <v>Alkemy, Rados Cults</v>
      </c>
      <c r="E64" s="6">
        <v>43574</v>
      </c>
      <c r="F64" s="6">
        <v>43586</v>
      </c>
      <c r="G64" s="6">
        <v>43611</v>
      </c>
      <c r="H64" s="13">
        <f>G64-F64</f>
        <v>25</v>
      </c>
      <c r="I64" s="13">
        <f t="shared" si="4"/>
        <v>3</v>
      </c>
      <c r="J64" s="13" t="str">
        <f t="shared" si="5"/>
        <v>Week Day</v>
      </c>
      <c r="K64" s="13">
        <f>MONTH(F64)</f>
        <v>5</v>
      </c>
      <c r="L64" s="6" t="b">
        <f>EXACT(E64,F64)</f>
        <v>0</v>
      </c>
      <c r="M64">
        <v>893</v>
      </c>
      <c r="N64">
        <f t="shared" si="6"/>
        <v>893</v>
      </c>
      <c r="O64" t="s">
        <v>72</v>
      </c>
      <c r="P64" t="str">
        <f>UPPER(O64)</f>
        <v>EUR</v>
      </c>
      <c r="Q64">
        <f>VLOOKUP(P64,'Exchange Rate Table'!A:B,2,FALSE)</f>
        <v>1.16955371</v>
      </c>
      <c r="R64">
        <v>44556</v>
      </c>
      <c r="S64">
        <f>Q64*R64</f>
        <v>52110.635102759996</v>
      </c>
      <c r="T64">
        <f>ROUND(R64, 0)</f>
        <v>44556</v>
      </c>
      <c r="U64" s="7" t="s">
        <v>46</v>
      </c>
      <c r="V64">
        <f>VALUE(U64)</f>
        <v>28000</v>
      </c>
      <c r="W64" t="s">
        <v>256</v>
      </c>
      <c r="X64" t="s">
        <v>257</v>
      </c>
      <c r="Y64" t="str">
        <f>CONCATENATE(W64,", ",X64)</f>
        <v>Perugia, Umbria</v>
      </c>
      <c r="Z64" t="s">
        <v>76</v>
      </c>
      <c r="AA64" t="str">
        <f>TRIM(Z64)</f>
        <v>Italy</v>
      </c>
      <c r="AB64" t="s">
        <v>58</v>
      </c>
      <c r="AC64">
        <f>LEN("https://www.kickstarter.com/discover/categories/games/")</f>
        <v>54</v>
      </c>
      <c r="AD64" t="str">
        <f>RIGHT(AB64,LEN(AB64)-54)</f>
        <v>tabletop%20games</v>
      </c>
      <c r="AE64" t="str">
        <f>SUBSTITUTE(AD64,"%20"," ")</f>
        <v>tabletop games</v>
      </c>
      <c r="AF64" s="8" t="b">
        <v>0</v>
      </c>
      <c r="AG64" s="8" t="str">
        <f>LOWER(AF64)</f>
        <v>false</v>
      </c>
      <c r="AH64" t="s">
        <v>43</v>
      </c>
      <c r="AJ64" s="18">
        <v>4127</v>
      </c>
      <c r="AK64" s="16"/>
      <c r="AL64" s="16"/>
      <c r="AM64" s="16"/>
      <c r="AN64" s="16"/>
      <c r="AO64" s="16"/>
    </row>
    <row r="65" spans="1:41">
      <c r="A65" s="5">
        <v>851252173</v>
      </c>
      <c r="B65" s="5" t="str">
        <f t="shared" si="3"/>
        <v>851252173</v>
      </c>
      <c r="C65" t="s">
        <v>258</v>
      </c>
      <c r="D65" t="str">
        <f>PROPER(C65)</f>
        <v>Nude Figure Playing Cards</v>
      </c>
      <c r="E65" s="6">
        <v>43575</v>
      </c>
      <c r="F65" s="6">
        <v>43593</v>
      </c>
      <c r="G65" s="6">
        <v>43623</v>
      </c>
      <c r="H65" s="13">
        <f>G65-F65</f>
        <v>30</v>
      </c>
      <c r="I65" s="13">
        <f t="shared" si="4"/>
        <v>3</v>
      </c>
      <c r="J65" s="13" t="str">
        <f t="shared" si="5"/>
        <v>Week Day</v>
      </c>
      <c r="K65" s="13">
        <f>MONTH(F65)</f>
        <v>5</v>
      </c>
      <c r="L65" s="6" t="b">
        <f>EXACT(E65,F65)</f>
        <v>0</v>
      </c>
      <c r="M65">
        <v>23</v>
      </c>
      <c r="N65">
        <f t="shared" si="6"/>
        <v>23</v>
      </c>
      <c r="O65" t="s">
        <v>37</v>
      </c>
      <c r="P65" t="str">
        <f>UPPER(O65)</f>
        <v>USD</v>
      </c>
      <c r="Q65">
        <f>VLOOKUP(P65,'Exchange Rate Table'!A:B,2,FALSE)</f>
        <v>1</v>
      </c>
      <c r="R65">
        <v>1966</v>
      </c>
      <c r="S65">
        <f>Q65*R65</f>
        <v>1966</v>
      </c>
      <c r="T65">
        <f>ROUND(R65, 0)</f>
        <v>1966</v>
      </c>
      <c r="U65" s="7" t="s">
        <v>259</v>
      </c>
      <c r="V65">
        <f>VALUE(U65)</f>
        <v>75000</v>
      </c>
      <c r="W65" t="s">
        <v>260</v>
      </c>
      <c r="X65" t="s">
        <v>110</v>
      </c>
      <c r="Y65" t="str">
        <f>CONCATENATE(W65,", ",X65)</f>
        <v>Redmond, WA</v>
      </c>
      <c r="Z65" t="s">
        <v>41</v>
      </c>
      <c r="AA65" t="str">
        <f>TRIM(Z65)</f>
        <v>United States</v>
      </c>
      <c r="AB65" t="s">
        <v>42</v>
      </c>
      <c r="AC65">
        <f>LEN("https://www.kickstarter.com/discover/categories/games/")</f>
        <v>54</v>
      </c>
      <c r="AD65" t="str">
        <f>RIGHT(AB65,LEN(AB65)-54)</f>
        <v>live%20games</v>
      </c>
      <c r="AE65" t="str">
        <f>SUBSTITUTE(AD65,"%20"," ")</f>
        <v>live games</v>
      </c>
      <c r="AF65" s="8" t="b">
        <v>0</v>
      </c>
      <c r="AG65" s="8" t="str">
        <f>LOWER(AF65)</f>
        <v>false</v>
      </c>
      <c r="AH65" t="s">
        <v>50</v>
      </c>
      <c r="AJ65" s="18">
        <v>4212</v>
      </c>
      <c r="AK65" s="16"/>
      <c r="AL65" s="16"/>
      <c r="AM65" s="16"/>
      <c r="AN65" s="16"/>
      <c r="AO65" s="16"/>
    </row>
    <row r="66" spans="1:41">
      <c r="A66" s="5">
        <v>859519481</v>
      </c>
      <c r="B66" s="5" t="str">
        <f t="shared" si="3"/>
        <v>859519481</v>
      </c>
      <c r="C66" t="s">
        <v>261</v>
      </c>
      <c r="D66" t="str">
        <f>PROPER(C66)</f>
        <v>Musical Breakout</v>
      </c>
      <c r="E66" s="6">
        <v>43575</v>
      </c>
      <c r="F66" s="6">
        <v>43586</v>
      </c>
      <c r="G66" s="6">
        <v>43622</v>
      </c>
      <c r="H66" s="13">
        <f>G66-F66</f>
        <v>36</v>
      </c>
      <c r="I66" s="13">
        <f t="shared" ref="I66:I97" si="7">WEEKDAY(F66, 2)</f>
        <v>3</v>
      </c>
      <c r="J66" s="13" t="str">
        <f t="shared" ref="J66:J97" si="8">IF(I66&gt;5, "Weekend", "Week Day")</f>
        <v>Week Day</v>
      </c>
      <c r="K66" s="13">
        <f>MONTH(F66)</f>
        <v>5</v>
      </c>
      <c r="L66" s="6" t="b">
        <f>EXACT(E66,F66)</f>
        <v>0</v>
      </c>
      <c r="M66">
        <v>1273</v>
      </c>
      <c r="N66">
        <f t="shared" ref="N66:N97" si="9">IF(OR(K66=1,K66=9), IF(AND(W66="Vancouver",AA66="Canada"), M66+5, M66), M66)</f>
        <v>1273</v>
      </c>
      <c r="O66" t="s">
        <v>37</v>
      </c>
      <c r="P66" t="str">
        <f>UPPER(O66)</f>
        <v>USD</v>
      </c>
      <c r="Q66">
        <f>VLOOKUP(P66,'Exchange Rate Table'!A:B,2,FALSE)</f>
        <v>1</v>
      </c>
      <c r="R66">
        <v>166304</v>
      </c>
      <c r="S66">
        <f>Q66*R66</f>
        <v>166304</v>
      </c>
      <c r="T66">
        <f>ROUND(R66, 0)</f>
        <v>166304</v>
      </c>
      <c r="U66" s="7" t="s">
        <v>38</v>
      </c>
      <c r="V66">
        <f>VALUE(U66)</f>
        <v>15000</v>
      </c>
      <c r="W66" t="s">
        <v>262</v>
      </c>
      <c r="X66" t="s">
        <v>173</v>
      </c>
      <c r="Y66" t="str">
        <f>CONCATENATE(W66,", ",X66)</f>
        <v>Bloomington, IL</v>
      </c>
      <c r="Z66" t="s">
        <v>41</v>
      </c>
      <c r="AA66" t="str">
        <f>TRIM(Z66)</f>
        <v>United States</v>
      </c>
      <c r="AB66" t="s">
        <v>58</v>
      </c>
      <c r="AC66">
        <f>LEN("https://www.kickstarter.com/discover/categories/games/")</f>
        <v>54</v>
      </c>
      <c r="AD66" t="str">
        <f>RIGHT(AB66,LEN(AB66)-54)</f>
        <v>tabletop%20games</v>
      </c>
      <c r="AE66" t="str">
        <f>SUBSTITUTE(AD66,"%20"," ")</f>
        <v>tabletop games</v>
      </c>
      <c r="AF66" s="8" t="b">
        <v>0</v>
      </c>
      <c r="AG66" s="8" t="str">
        <f>LOWER(AF66)</f>
        <v>false</v>
      </c>
      <c r="AH66" t="s">
        <v>43</v>
      </c>
      <c r="AJ66" s="18">
        <v>4313</v>
      </c>
      <c r="AK66" s="16"/>
      <c r="AL66" s="16"/>
      <c r="AM66" s="16"/>
      <c r="AN66" s="16"/>
      <c r="AO66" s="16"/>
    </row>
    <row r="67" spans="1:41">
      <c r="A67" s="5">
        <v>887539225</v>
      </c>
      <c r="B67" s="5" t="str">
        <f t="shared" ref="B67:B130" si="10">TEXT(A67,"00000000")</f>
        <v>887539225</v>
      </c>
      <c r="C67" t="s">
        <v>263</v>
      </c>
      <c r="D67" t="str">
        <f>PROPER(C67)</f>
        <v>Equality // Integrity \\\\ Justice Playing Cards</v>
      </c>
      <c r="E67" s="6">
        <v>43576</v>
      </c>
      <c r="F67" s="6">
        <v>43586</v>
      </c>
      <c r="G67" s="6">
        <v>43616</v>
      </c>
      <c r="H67" s="13">
        <f>G67-F67</f>
        <v>30</v>
      </c>
      <c r="I67" s="13">
        <f t="shared" si="7"/>
        <v>3</v>
      </c>
      <c r="J67" s="13" t="str">
        <f t="shared" si="8"/>
        <v>Week Day</v>
      </c>
      <c r="K67" s="13">
        <f>MONTH(F67)</f>
        <v>5</v>
      </c>
      <c r="L67" s="6" t="b">
        <f>EXACT(E67,F67)</f>
        <v>0</v>
      </c>
      <c r="M67">
        <v>36</v>
      </c>
      <c r="N67">
        <f t="shared" si="9"/>
        <v>36</v>
      </c>
      <c r="O67" t="s">
        <v>37</v>
      </c>
      <c r="P67" t="str">
        <f>UPPER(O67)</f>
        <v>USD</v>
      </c>
      <c r="Q67">
        <f>VLOOKUP(P67,'Exchange Rate Table'!A:B,2,FALSE)</f>
        <v>1</v>
      </c>
      <c r="R67">
        <v>3511</v>
      </c>
      <c r="S67">
        <f>Q67*R67</f>
        <v>3511</v>
      </c>
      <c r="T67">
        <f>ROUND(R67, 0)</f>
        <v>3511</v>
      </c>
      <c r="U67" s="7" t="s">
        <v>54</v>
      </c>
      <c r="V67">
        <f>VALUE(U67)</f>
        <v>2000</v>
      </c>
      <c r="W67" t="s">
        <v>264</v>
      </c>
      <c r="X67" t="s">
        <v>69</v>
      </c>
      <c r="Y67" t="str">
        <f>CONCATENATE(W67,", ",X67)</f>
        <v>Pasadena, CA</v>
      </c>
      <c r="Z67" t="s">
        <v>41</v>
      </c>
      <c r="AA67" t="str">
        <f>TRIM(Z67)</f>
        <v>United States</v>
      </c>
      <c r="AB67" t="s">
        <v>243</v>
      </c>
      <c r="AC67">
        <f>LEN("https://www.kickstarter.com/discover/categories/games/")</f>
        <v>54</v>
      </c>
      <c r="AD67" t="str">
        <f>RIGHT(AB67,LEN(AB67)-54)</f>
        <v>puzzles</v>
      </c>
      <c r="AE67" t="str">
        <f>SUBSTITUTE(AD67,"%20"," ")</f>
        <v>puzzles</v>
      </c>
      <c r="AF67" s="8" t="b">
        <v>0</v>
      </c>
      <c r="AG67" s="8" t="str">
        <f>LOWER(AF67)</f>
        <v>false</v>
      </c>
      <c r="AH67" t="s">
        <v>43</v>
      </c>
      <c r="AJ67" s="18">
        <v>4408.29</v>
      </c>
      <c r="AK67" s="16"/>
      <c r="AL67" s="16"/>
      <c r="AM67" s="16"/>
      <c r="AN67" s="16"/>
      <c r="AO67" s="16"/>
    </row>
    <row r="68" spans="1:41">
      <c r="A68" s="5">
        <v>919862684</v>
      </c>
      <c r="B68" s="5" t="str">
        <f t="shared" si="10"/>
        <v>919862684</v>
      </c>
      <c r="C68" t="s">
        <v>265</v>
      </c>
      <c r="D68" t="str">
        <f>PROPER(C68)</f>
        <v>Tabletop Terrain From Xps Foam: Buildings</v>
      </c>
      <c r="E68" s="6">
        <v>43579</v>
      </c>
      <c r="F68" s="6">
        <v>43640</v>
      </c>
      <c r="G68" s="6">
        <v>43685</v>
      </c>
      <c r="H68" s="13">
        <f>G68-F68</f>
        <v>45</v>
      </c>
      <c r="I68" s="13">
        <f t="shared" si="7"/>
        <v>1</v>
      </c>
      <c r="J68" s="13" t="str">
        <f t="shared" si="8"/>
        <v>Week Day</v>
      </c>
      <c r="K68" s="13">
        <f>MONTH(F68)</f>
        <v>6</v>
      </c>
      <c r="L68" s="6" t="b">
        <f>EXACT(E68,F68)</f>
        <v>0</v>
      </c>
      <c r="M68">
        <v>8504</v>
      </c>
      <c r="N68">
        <f t="shared" si="9"/>
        <v>8504</v>
      </c>
      <c r="O68" t="s">
        <v>266</v>
      </c>
      <c r="P68" t="str">
        <f>UPPER(O68)</f>
        <v>NOK</v>
      </c>
      <c r="Q68">
        <f>VLOOKUP(P68,'Exchange Rate Table'!A:B,2,FALSE)</f>
        <v>0.11943536</v>
      </c>
      <c r="R68">
        <v>3542035.74</v>
      </c>
      <c r="S68">
        <f>Q68*R68</f>
        <v>423044.31373976642</v>
      </c>
      <c r="T68">
        <f>ROUND(R68, 0)</f>
        <v>3542036</v>
      </c>
      <c r="U68" s="7" t="s">
        <v>267</v>
      </c>
      <c r="V68">
        <f>VALUE(U68)</f>
        <v>1079668</v>
      </c>
      <c r="W68" t="s">
        <v>268</v>
      </c>
      <c r="X68" t="s">
        <v>269</v>
      </c>
      <c r="Y68" t="str">
        <f>CONCATENATE(W68,", ",X68)</f>
        <v>Oslo, Oslo Fylke</v>
      </c>
      <c r="Z68" t="s">
        <v>270</v>
      </c>
      <c r="AA68" t="str">
        <f>TRIM(Z68)</f>
        <v>Norway</v>
      </c>
      <c r="AB68" t="s">
        <v>58</v>
      </c>
      <c r="AC68">
        <f>LEN("https://www.kickstarter.com/discover/categories/games/")</f>
        <v>54</v>
      </c>
      <c r="AD68" t="str">
        <f>RIGHT(AB68,LEN(AB68)-54)</f>
        <v>tabletop%20games</v>
      </c>
      <c r="AE68" t="str">
        <f>SUBSTITUTE(AD68,"%20"," ")</f>
        <v>tabletop games</v>
      </c>
      <c r="AF68" s="8" t="b">
        <v>0</v>
      </c>
      <c r="AG68" s="8" t="str">
        <f>LOWER(AF68)</f>
        <v>false</v>
      </c>
      <c r="AH68" t="s">
        <v>43</v>
      </c>
      <c r="AJ68" s="18">
        <v>4527</v>
      </c>
      <c r="AK68" s="16"/>
      <c r="AL68" s="16"/>
      <c r="AM68" s="16"/>
      <c r="AN68" s="16"/>
      <c r="AO68" s="16"/>
    </row>
    <row r="69" spans="1:41">
      <c r="A69" s="5">
        <v>921603041</v>
      </c>
      <c r="B69" s="5" t="str">
        <f t="shared" si="10"/>
        <v>921603041</v>
      </c>
      <c r="C69" t="s">
        <v>271</v>
      </c>
      <c r="D69" t="str">
        <f>PROPER(C69)</f>
        <v>Critical Dice</v>
      </c>
      <c r="E69" s="6">
        <v>43580</v>
      </c>
      <c r="F69" s="6">
        <v>43599</v>
      </c>
      <c r="G69" s="6">
        <v>43623</v>
      </c>
      <c r="H69" s="13">
        <f>G69-F69</f>
        <v>24</v>
      </c>
      <c r="I69" s="13">
        <f t="shared" si="7"/>
        <v>2</v>
      </c>
      <c r="J69" s="13" t="str">
        <f t="shared" si="8"/>
        <v>Week Day</v>
      </c>
      <c r="K69" s="13">
        <f>MONTH(F69)</f>
        <v>5</v>
      </c>
      <c r="L69" s="6" t="b">
        <f>EXACT(E69,F69)</f>
        <v>0</v>
      </c>
      <c r="M69">
        <v>2848</v>
      </c>
      <c r="N69">
        <f t="shared" si="9"/>
        <v>2848</v>
      </c>
      <c r="O69" t="s">
        <v>37</v>
      </c>
      <c r="P69" t="str">
        <f>UPPER(O69)</f>
        <v>USD</v>
      </c>
      <c r="Q69">
        <f>VLOOKUP(P69,'Exchange Rate Table'!A:B,2,FALSE)</f>
        <v>1</v>
      </c>
      <c r="R69">
        <v>136726</v>
      </c>
      <c r="S69">
        <f>Q69*R69</f>
        <v>136726</v>
      </c>
      <c r="T69">
        <f>ROUND(R69, 0)</f>
        <v>136726</v>
      </c>
      <c r="U69" s="7" t="s">
        <v>79</v>
      </c>
      <c r="V69">
        <f>VALUE(U69)</f>
        <v>5000</v>
      </c>
      <c r="W69" t="s">
        <v>272</v>
      </c>
      <c r="X69" t="s">
        <v>173</v>
      </c>
      <c r="Y69" t="str">
        <f>CONCATENATE(W69,", ",X69)</f>
        <v>Plainfield, IL</v>
      </c>
      <c r="Z69" t="s">
        <v>41</v>
      </c>
      <c r="AA69" t="str">
        <f>TRIM(Z69)</f>
        <v>United States</v>
      </c>
      <c r="AB69" t="s">
        <v>58</v>
      </c>
      <c r="AC69">
        <f>LEN("https://www.kickstarter.com/discover/categories/games/")</f>
        <v>54</v>
      </c>
      <c r="AD69" t="str">
        <f>RIGHT(AB69,LEN(AB69)-54)</f>
        <v>tabletop%20games</v>
      </c>
      <c r="AE69" t="str">
        <f>SUBSTITUTE(AD69,"%20"," ")</f>
        <v>tabletop games</v>
      </c>
      <c r="AF69" s="8" t="b">
        <v>0</v>
      </c>
      <c r="AG69" s="8" t="str">
        <f>LOWER(AF69)</f>
        <v>false</v>
      </c>
      <c r="AH69" t="s">
        <v>43</v>
      </c>
      <c r="AJ69" s="18">
        <v>4643</v>
      </c>
      <c r="AK69" s="16"/>
      <c r="AL69" s="16"/>
      <c r="AM69" s="16"/>
      <c r="AN69" s="16"/>
      <c r="AO69" s="16"/>
    </row>
    <row r="70" spans="1:41">
      <c r="A70" s="5">
        <v>935058626</v>
      </c>
      <c r="B70" s="5" t="str">
        <f t="shared" si="10"/>
        <v>935058626</v>
      </c>
      <c r="C70" t="s">
        <v>273</v>
      </c>
      <c r="D70" t="str">
        <f>PROPER(C70)</f>
        <v>Burrows &amp; Badgers: Great &amp; Small Anthro Minis By Oathsworn</v>
      </c>
      <c r="E70" s="6">
        <v>43581</v>
      </c>
      <c r="F70" s="6">
        <v>43647</v>
      </c>
      <c r="G70" s="6">
        <v>43677</v>
      </c>
      <c r="H70" s="13">
        <f>G70-F70</f>
        <v>30</v>
      </c>
      <c r="I70" s="13">
        <f t="shared" si="7"/>
        <v>1</v>
      </c>
      <c r="J70" s="13" t="str">
        <f t="shared" si="8"/>
        <v>Week Day</v>
      </c>
      <c r="K70" s="13">
        <f>MONTH(F70)</f>
        <v>7</v>
      </c>
      <c r="L70" s="6" t="b">
        <f>EXACT(E70,F70)</f>
        <v>0</v>
      </c>
      <c r="M70">
        <v>307</v>
      </c>
      <c r="N70">
        <f t="shared" si="9"/>
        <v>307</v>
      </c>
      <c r="O70" t="s">
        <v>37</v>
      </c>
      <c r="P70" t="str">
        <f>UPPER(O70)</f>
        <v>USD</v>
      </c>
      <c r="Q70">
        <f>VLOOKUP(P70,'Exchange Rate Table'!A:B,2,FALSE)</f>
        <v>1</v>
      </c>
      <c r="R70">
        <v>5363</v>
      </c>
      <c r="S70">
        <f>Q70*R70</f>
        <v>5363</v>
      </c>
      <c r="T70">
        <f>ROUND(R70, 0)</f>
        <v>5363</v>
      </c>
      <c r="U70" s="7" t="s">
        <v>146</v>
      </c>
      <c r="V70">
        <f>VALUE(U70)</f>
        <v>1000</v>
      </c>
      <c r="W70" t="s">
        <v>274</v>
      </c>
      <c r="X70" t="s">
        <v>275</v>
      </c>
      <c r="Y70" t="str">
        <f>CONCATENATE(W70,", ",X70)</f>
        <v>Minneapolis, MN</v>
      </c>
      <c r="Z70" t="s">
        <v>41</v>
      </c>
      <c r="AA70" t="str">
        <f>TRIM(Z70)</f>
        <v>United States</v>
      </c>
      <c r="AB70" t="s">
        <v>58</v>
      </c>
      <c r="AC70">
        <f>LEN("https://www.kickstarter.com/discover/categories/games/")</f>
        <v>54</v>
      </c>
      <c r="AD70" t="str">
        <f>RIGHT(AB70,LEN(AB70)-54)</f>
        <v>tabletop%20games</v>
      </c>
      <c r="AE70" t="str">
        <f>SUBSTITUTE(AD70,"%20"," ")</f>
        <v>tabletop games</v>
      </c>
      <c r="AF70" s="8" t="b">
        <v>0</v>
      </c>
      <c r="AG70" s="8" t="str">
        <f>LOWER(AF70)</f>
        <v>false</v>
      </c>
      <c r="AH70" t="s">
        <v>43</v>
      </c>
      <c r="AJ70" s="18">
        <v>4868.25</v>
      </c>
      <c r="AK70" s="16"/>
      <c r="AL70" s="16"/>
      <c r="AM70" s="16"/>
      <c r="AN70" s="16"/>
      <c r="AO70" s="16"/>
    </row>
    <row r="71" spans="1:41">
      <c r="A71" s="5">
        <v>965417878</v>
      </c>
      <c r="B71" s="5" t="str">
        <f t="shared" si="10"/>
        <v>965417878</v>
      </c>
      <c r="C71" t="s">
        <v>276</v>
      </c>
      <c r="D71" t="str">
        <f>PROPER(C71)</f>
        <v>Lux Runa: Metal Playing Cards</v>
      </c>
      <c r="E71" s="6">
        <v>43584</v>
      </c>
      <c r="F71" s="6">
        <v>43586</v>
      </c>
      <c r="G71" s="6">
        <v>43616</v>
      </c>
      <c r="H71" s="13">
        <f>G71-F71</f>
        <v>30</v>
      </c>
      <c r="I71" s="13">
        <f t="shared" si="7"/>
        <v>3</v>
      </c>
      <c r="J71" s="13" t="str">
        <f t="shared" si="8"/>
        <v>Week Day</v>
      </c>
      <c r="K71" s="13">
        <f>MONTH(F71)</f>
        <v>5</v>
      </c>
      <c r="L71" s="6" t="b">
        <f>EXACT(E71,F71)</f>
        <v>0</v>
      </c>
      <c r="M71">
        <v>173</v>
      </c>
      <c r="N71">
        <f t="shared" si="9"/>
        <v>173</v>
      </c>
      <c r="O71" t="s">
        <v>37</v>
      </c>
      <c r="P71" t="str">
        <f>UPPER(O71)</f>
        <v>USD</v>
      </c>
      <c r="Q71">
        <f>VLOOKUP(P71,'Exchange Rate Table'!A:B,2,FALSE)</f>
        <v>1</v>
      </c>
      <c r="R71">
        <v>1737</v>
      </c>
      <c r="S71">
        <f>Q71*R71</f>
        <v>1737</v>
      </c>
      <c r="T71">
        <f>ROUND(R71, 0)</f>
        <v>1737</v>
      </c>
      <c r="U71" s="7" t="s">
        <v>146</v>
      </c>
      <c r="V71">
        <f>VALUE(U71)</f>
        <v>1000</v>
      </c>
      <c r="W71" t="s">
        <v>260</v>
      </c>
      <c r="X71" t="s">
        <v>110</v>
      </c>
      <c r="Y71" t="str">
        <f>CONCATENATE(W71,", ",X71)</f>
        <v>Redmond, WA</v>
      </c>
      <c r="Z71" t="s">
        <v>41</v>
      </c>
      <c r="AA71" t="str">
        <f>TRIM(Z71)</f>
        <v>United States</v>
      </c>
      <c r="AB71" t="s">
        <v>58</v>
      </c>
      <c r="AC71">
        <f>LEN("https://www.kickstarter.com/discover/categories/games/")</f>
        <v>54</v>
      </c>
      <c r="AD71" t="str">
        <f>RIGHT(AB71,LEN(AB71)-54)</f>
        <v>tabletop%20games</v>
      </c>
      <c r="AE71" t="str">
        <f>SUBSTITUTE(AD71,"%20"," ")</f>
        <v>tabletop games</v>
      </c>
      <c r="AF71" s="8" t="b">
        <v>0</v>
      </c>
      <c r="AG71" s="8" t="str">
        <f>LOWER(AF71)</f>
        <v>false</v>
      </c>
      <c r="AH71" t="s">
        <v>43</v>
      </c>
      <c r="AJ71" s="18">
        <v>4951</v>
      </c>
      <c r="AK71" s="16"/>
      <c r="AL71" s="16"/>
      <c r="AM71" s="16"/>
      <c r="AN71" s="16"/>
      <c r="AO71" s="16"/>
    </row>
    <row r="72" spans="1:41">
      <c r="A72" s="5">
        <v>999093282</v>
      </c>
      <c r="B72" s="5" t="str">
        <f t="shared" si="10"/>
        <v>999093282</v>
      </c>
      <c r="C72" t="s">
        <v>277</v>
      </c>
      <c r="D72" t="str">
        <f>PROPER(C72)</f>
        <v>The 72 Angels Talisman Coins &amp; Spiritual Cards</v>
      </c>
      <c r="E72" s="6"/>
      <c r="F72" s="6">
        <v>43689</v>
      </c>
      <c r="G72" s="6">
        <v>43719</v>
      </c>
      <c r="H72" s="13">
        <f>G72-F72</f>
        <v>30</v>
      </c>
      <c r="I72" s="13">
        <f t="shared" si="7"/>
        <v>1</v>
      </c>
      <c r="J72" s="13" t="str">
        <f t="shared" si="8"/>
        <v>Week Day</v>
      </c>
      <c r="K72" s="13">
        <f>MONTH(F72)</f>
        <v>8</v>
      </c>
      <c r="L72" s="6" t="b">
        <f>EXACT(E72,F72)</f>
        <v>0</v>
      </c>
      <c r="M72">
        <v>11</v>
      </c>
      <c r="N72">
        <f t="shared" si="9"/>
        <v>11</v>
      </c>
      <c r="O72" t="s">
        <v>53</v>
      </c>
      <c r="P72" t="str">
        <f>UPPER(O72)</f>
        <v>GBP</v>
      </c>
      <c r="Q72">
        <f>VLOOKUP(P72,'Exchange Rate Table'!A:B,2,FALSE)</f>
        <v>1.49576325</v>
      </c>
      <c r="R72">
        <v>81</v>
      </c>
      <c r="S72">
        <f>Q72*R72</f>
        <v>121.15682325</v>
      </c>
      <c r="T72">
        <f>ROUND(R72, 0)</f>
        <v>81</v>
      </c>
      <c r="U72" s="7" t="s">
        <v>278</v>
      </c>
      <c r="V72">
        <f>VALUE(U72)</f>
        <v>20</v>
      </c>
      <c r="W72" t="s">
        <v>170</v>
      </c>
      <c r="X72" t="s">
        <v>56</v>
      </c>
      <c r="Y72" t="str">
        <f>CONCATENATE(W72,", ",X72)</f>
        <v>London, England</v>
      </c>
      <c r="Z72" t="s">
        <v>57</v>
      </c>
      <c r="AA72" t="str">
        <f>TRIM(Z72)</f>
        <v>United Kingdom</v>
      </c>
      <c r="AB72" t="s">
        <v>58</v>
      </c>
      <c r="AC72">
        <f>LEN("https://www.kickstarter.com/discover/categories/games/")</f>
        <v>54</v>
      </c>
      <c r="AD72" t="str">
        <f>RIGHT(AB72,LEN(AB72)-54)</f>
        <v>tabletop%20games</v>
      </c>
      <c r="AE72" t="str">
        <f>SUBSTITUTE(AD72,"%20"," ")</f>
        <v>tabletop games</v>
      </c>
      <c r="AF72" s="8" t="b">
        <v>0</v>
      </c>
      <c r="AG72" s="8" t="str">
        <f>LOWER(AF72)</f>
        <v>false</v>
      </c>
      <c r="AH72" t="s">
        <v>43</v>
      </c>
      <c r="AJ72" s="18">
        <v>5113</v>
      </c>
      <c r="AK72" s="16"/>
      <c r="AL72" s="16"/>
      <c r="AM72" s="16"/>
      <c r="AN72" s="16"/>
      <c r="AO72" s="16"/>
    </row>
    <row r="73" spans="1:41">
      <c r="A73" s="5">
        <v>1010252246</v>
      </c>
      <c r="B73" s="5" t="str">
        <f t="shared" si="10"/>
        <v>1010252246</v>
      </c>
      <c r="C73" t="s">
        <v>279</v>
      </c>
      <c r="D73" t="str">
        <f>PROPER(C73)</f>
        <v>Pixel Blocks By Little Problem Solvers</v>
      </c>
      <c r="E73" s="6">
        <v>43587</v>
      </c>
      <c r="F73" s="6">
        <v>43774</v>
      </c>
      <c r="G73" s="6">
        <v>43805</v>
      </c>
      <c r="H73" s="13">
        <f>G73-F73</f>
        <v>31</v>
      </c>
      <c r="I73" s="13">
        <f t="shared" si="7"/>
        <v>2</v>
      </c>
      <c r="J73" s="13" t="str">
        <f t="shared" si="8"/>
        <v>Week Day</v>
      </c>
      <c r="K73" s="13">
        <f>MONTH(F73)</f>
        <v>11</v>
      </c>
      <c r="L73" s="6" t="b">
        <f>EXACT(E73,F73)</f>
        <v>0</v>
      </c>
      <c r="M73">
        <v>23</v>
      </c>
      <c r="N73">
        <f t="shared" si="9"/>
        <v>23</v>
      </c>
      <c r="O73" t="s">
        <v>37</v>
      </c>
      <c r="P73" t="str">
        <f>UPPER(O73)</f>
        <v>USD</v>
      </c>
      <c r="Q73">
        <f>VLOOKUP(P73,'Exchange Rate Table'!A:B,2,FALSE)</f>
        <v>1</v>
      </c>
      <c r="R73">
        <v>607</v>
      </c>
      <c r="S73">
        <f>Q73*R73</f>
        <v>607</v>
      </c>
      <c r="T73">
        <f>ROUND(R73, 0)</f>
        <v>607</v>
      </c>
      <c r="U73" s="7" t="s">
        <v>127</v>
      </c>
      <c r="V73">
        <f>VALUE(U73)</f>
        <v>1500</v>
      </c>
      <c r="W73" t="s">
        <v>181</v>
      </c>
      <c r="X73" t="s">
        <v>182</v>
      </c>
      <c r="Y73" t="str">
        <f>CONCATENATE(W73,", ",X73)</f>
        <v>Denver, CO</v>
      </c>
      <c r="Z73" t="s">
        <v>41</v>
      </c>
      <c r="AA73" t="str">
        <f>TRIM(Z73)</f>
        <v>United States</v>
      </c>
      <c r="AB73" s="24" t="s">
        <v>58</v>
      </c>
      <c r="AC73">
        <f>LEN("https://www.kickstarter.com/discover/categories/games/")</f>
        <v>54</v>
      </c>
      <c r="AD73" t="str">
        <f>RIGHT(AB73,LEN(AB73)-54)</f>
        <v>tabletop%20games</v>
      </c>
      <c r="AE73" t="str">
        <f>SUBSTITUTE(AD73,"%20"," ")</f>
        <v>tabletop games</v>
      </c>
      <c r="AF73" s="8" t="b">
        <v>0</v>
      </c>
      <c r="AG73" s="8" t="str">
        <f>LOWER(AF73)</f>
        <v>false</v>
      </c>
      <c r="AH73" t="s">
        <v>280</v>
      </c>
      <c r="AJ73" s="18">
        <v>5214</v>
      </c>
      <c r="AK73" s="16"/>
      <c r="AL73" s="16"/>
      <c r="AM73" s="16"/>
      <c r="AN73" s="16"/>
      <c r="AO73" s="16"/>
    </row>
    <row r="74" spans="1:41">
      <c r="A74" s="5">
        <v>1038316883</v>
      </c>
      <c r="B74" s="5" t="str">
        <f t="shared" si="10"/>
        <v>1038316883</v>
      </c>
      <c r="C74" t="s">
        <v>281</v>
      </c>
      <c r="D74" t="str">
        <f>PROPER(C74)</f>
        <v>Quests And Chaos Merchandise Launch</v>
      </c>
      <c r="E74" s="6">
        <v>43588</v>
      </c>
      <c r="F74" s="6">
        <v>43599</v>
      </c>
      <c r="G74" s="6">
        <v>43629</v>
      </c>
      <c r="H74" s="13">
        <f>G74-F74</f>
        <v>30</v>
      </c>
      <c r="I74" s="13">
        <f t="shared" si="7"/>
        <v>2</v>
      </c>
      <c r="J74" s="13" t="str">
        <f t="shared" si="8"/>
        <v>Week Day</v>
      </c>
      <c r="K74" s="13">
        <f>MONTH(F74)</f>
        <v>5</v>
      </c>
      <c r="L74" s="6" t="b">
        <f>EXACT(E74,F74)</f>
        <v>0</v>
      </c>
      <c r="M74">
        <v>350</v>
      </c>
      <c r="N74">
        <f t="shared" si="9"/>
        <v>350</v>
      </c>
      <c r="O74" t="s">
        <v>37</v>
      </c>
      <c r="P74" t="str">
        <f>UPPER(O74)</f>
        <v>USD</v>
      </c>
      <c r="Q74">
        <f>VLOOKUP(P74,'Exchange Rate Table'!A:B,2,FALSE)</f>
        <v>1</v>
      </c>
      <c r="R74">
        <v>24500</v>
      </c>
      <c r="S74">
        <f>Q74*R74</f>
        <v>24500</v>
      </c>
      <c r="T74">
        <f>ROUND(R74, 0)</f>
        <v>24500</v>
      </c>
      <c r="U74" s="7" t="s">
        <v>209</v>
      </c>
      <c r="V74">
        <f>VALUE(U74)</f>
        <v>400</v>
      </c>
      <c r="W74" t="s">
        <v>282</v>
      </c>
      <c r="X74" t="s">
        <v>69</v>
      </c>
      <c r="Y74" t="str">
        <f>CONCATENATE(W74,", ",X74)</f>
        <v>Vacaville, CA</v>
      </c>
      <c r="Z74" t="s">
        <v>41</v>
      </c>
      <c r="AA74" t="str">
        <f>TRIM(Z74)</f>
        <v>United States</v>
      </c>
      <c r="AB74" t="s">
        <v>58</v>
      </c>
      <c r="AC74">
        <f>LEN("https://www.kickstarter.com/discover/categories/games/")</f>
        <v>54</v>
      </c>
      <c r="AD74" t="str">
        <f>RIGHT(AB74,LEN(AB74)-54)</f>
        <v>tabletop%20games</v>
      </c>
      <c r="AE74" t="str">
        <f>SUBSTITUTE(AD74,"%20"," ")</f>
        <v>tabletop games</v>
      </c>
      <c r="AF74" s="8" t="b">
        <v>0</v>
      </c>
      <c r="AG74" s="8" t="str">
        <f>LOWER(AF74)</f>
        <v>false</v>
      </c>
      <c r="AH74" t="s">
        <v>43</v>
      </c>
      <c r="AJ74" s="18">
        <v>5363</v>
      </c>
      <c r="AK74" s="16"/>
      <c r="AL74" s="16"/>
      <c r="AM74" s="16"/>
      <c r="AN74" s="16"/>
      <c r="AO74" s="16"/>
    </row>
    <row r="75" spans="1:41">
      <c r="A75" s="5">
        <v>1050302600</v>
      </c>
      <c r="B75" s="5" t="str">
        <f t="shared" si="10"/>
        <v>1050302600</v>
      </c>
      <c r="C75" t="s">
        <v>283</v>
      </c>
      <c r="D75" t="str">
        <f>PROPER(C75)</f>
        <v>Team Stack Cup - The Game</v>
      </c>
      <c r="E75" s="6">
        <v>43598</v>
      </c>
      <c r="F75" s="6">
        <v>43605</v>
      </c>
      <c r="G75" s="6">
        <v>43635</v>
      </c>
      <c r="H75" s="13">
        <f>G75-F75</f>
        <v>30</v>
      </c>
      <c r="I75" s="13">
        <f t="shared" si="7"/>
        <v>1</v>
      </c>
      <c r="J75" s="13" t="str">
        <f t="shared" si="8"/>
        <v>Week Day</v>
      </c>
      <c r="K75" s="13">
        <f>MONTH(F75)</f>
        <v>5</v>
      </c>
      <c r="L75" s="6" t="b">
        <f>EXACT(E75,F75)</f>
        <v>0</v>
      </c>
      <c r="M75">
        <v>10</v>
      </c>
      <c r="N75">
        <f t="shared" si="9"/>
        <v>10</v>
      </c>
      <c r="O75" t="s">
        <v>53</v>
      </c>
      <c r="P75" t="str">
        <f>UPPER(O75)</f>
        <v>GBP</v>
      </c>
      <c r="Q75">
        <f>VLOOKUP(P75,'Exchange Rate Table'!A:B,2,FALSE)</f>
        <v>1.49576325</v>
      </c>
      <c r="R75">
        <v>401</v>
      </c>
      <c r="S75">
        <f>Q75*R75</f>
        <v>599.80106324999997</v>
      </c>
      <c r="T75">
        <f>ROUND(R75, 0)</f>
        <v>401</v>
      </c>
      <c r="U75" s="7" t="s">
        <v>142</v>
      </c>
      <c r="V75">
        <f>VALUE(U75)</f>
        <v>3000</v>
      </c>
      <c r="X75" t="s">
        <v>56</v>
      </c>
      <c r="Y75" t="str">
        <f>CONCATENATE(W75,", ",X75)</f>
        <v>, England</v>
      </c>
      <c r="Z75" t="s">
        <v>57</v>
      </c>
      <c r="AA75" t="str">
        <f>TRIM(Z75)</f>
        <v>United Kingdom</v>
      </c>
      <c r="AB75" t="s">
        <v>49</v>
      </c>
      <c r="AC75">
        <f>LEN("https://www.kickstarter.com/discover/categories/games/")</f>
        <v>54</v>
      </c>
      <c r="AD75" t="str">
        <f>RIGHT(AB75,LEN(AB75)-54)</f>
        <v>mobile%20games</v>
      </c>
      <c r="AE75" t="str">
        <f>SUBSTITUTE(AD75,"%20"," ")</f>
        <v>mobile games</v>
      </c>
      <c r="AF75" s="8" t="b">
        <v>0</v>
      </c>
      <c r="AG75" s="8" t="str">
        <f>LOWER(AF75)</f>
        <v>false</v>
      </c>
      <c r="AH75" t="s">
        <v>50</v>
      </c>
      <c r="AJ75" s="18">
        <v>5407</v>
      </c>
      <c r="AK75" s="16"/>
      <c r="AL75" s="16"/>
      <c r="AM75" s="16"/>
      <c r="AN75" s="16"/>
      <c r="AO75" s="16"/>
    </row>
    <row r="76" spans="1:41">
      <c r="A76" s="5">
        <v>1070138616</v>
      </c>
      <c r="B76" s="5" t="str">
        <f t="shared" si="10"/>
        <v>1070138616</v>
      </c>
      <c r="C76" t="s">
        <v>284</v>
      </c>
      <c r="D76" t="str">
        <f>PROPER(C76)</f>
        <v>Dance Of Death Playing Cards - Limited 1,2,3 Deck Of Cards</v>
      </c>
      <c r="E76" s="6">
        <v>43601</v>
      </c>
      <c r="F76" s="6">
        <v>43606</v>
      </c>
      <c r="G76" s="6">
        <v>43636</v>
      </c>
      <c r="H76" s="13">
        <f>G76-F76</f>
        <v>30</v>
      </c>
      <c r="I76" s="13">
        <f t="shared" si="7"/>
        <v>2</v>
      </c>
      <c r="J76" s="13" t="str">
        <f t="shared" si="8"/>
        <v>Week Day</v>
      </c>
      <c r="K76" s="13">
        <f>MONTH(F76)</f>
        <v>5</v>
      </c>
      <c r="L76" s="6" t="b">
        <f>EXACT(E76,F76)</f>
        <v>0</v>
      </c>
      <c r="M76">
        <v>12</v>
      </c>
      <c r="N76">
        <f t="shared" si="9"/>
        <v>12</v>
      </c>
      <c r="O76" t="s">
        <v>112</v>
      </c>
      <c r="P76" t="str">
        <f>UPPER(O76)</f>
        <v>SGD</v>
      </c>
      <c r="Q76">
        <f>VLOOKUP(P76,'Exchange Rate Table'!A:B,2,FALSE)</f>
        <v>0.70150824000000001</v>
      </c>
      <c r="R76">
        <v>409</v>
      </c>
      <c r="S76">
        <f>Q76*R76</f>
        <v>286.91687016000003</v>
      </c>
      <c r="T76">
        <f>ROUND(R76, 0)</f>
        <v>409</v>
      </c>
      <c r="U76" s="7" t="s">
        <v>285</v>
      </c>
      <c r="V76">
        <f>VALUE(U76)</f>
        <v>300</v>
      </c>
      <c r="W76" t="s">
        <v>114</v>
      </c>
      <c r="X76" t="s">
        <v>115</v>
      </c>
      <c r="Y76" t="str">
        <f>CONCATENATE(W76,", ",X76)</f>
        <v>Singapore, Central Singapore</v>
      </c>
      <c r="Z76" t="s">
        <v>116</v>
      </c>
      <c r="AA76" t="str">
        <f>TRIM(Z76)</f>
        <v>Singapore</v>
      </c>
      <c r="AB76" t="s">
        <v>70</v>
      </c>
      <c r="AC76">
        <f>LEN("https://www.kickstarter.com/discover/categories/games/")</f>
        <v>54</v>
      </c>
      <c r="AD76" t="str">
        <f>RIGHT(AB76,LEN(AB76)-54)</f>
        <v>playing%20cards</v>
      </c>
      <c r="AE76" t="str">
        <f>SUBSTITUTE(AD76,"%20"," ")</f>
        <v>playing cards</v>
      </c>
      <c r="AF76" s="8" t="b">
        <v>0</v>
      </c>
      <c r="AG76" s="8" t="str">
        <f>LOWER(AF76)</f>
        <v>false</v>
      </c>
      <c r="AH76" t="s">
        <v>43</v>
      </c>
      <c r="AJ76" s="18">
        <v>5469</v>
      </c>
      <c r="AK76" s="16"/>
      <c r="AL76" s="16"/>
      <c r="AM76" s="16"/>
      <c r="AN76" s="16"/>
      <c r="AO76" s="16"/>
    </row>
    <row r="77" spans="1:41">
      <c r="A77" s="5">
        <v>1131233975</v>
      </c>
      <c r="B77" s="5" t="str">
        <f t="shared" si="10"/>
        <v>1131233975</v>
      </c>
      <c r="C77" t="s">
        <v>286</v>
      </c>
      <c r="D77" t="str">
        <f>PROPER(C77)</f>
        <v>Perfecttrine - Playing Cards</v>
      </c>
      <c r="E77" s="6">
        <v>43601</v>
      </c>
      <c r="F77" s="6">
        <v>43638</v>
      </c>
      <c r="G77" s="6">
        <v>43668</v>
      </c>
      <c r="H77" s="13">
        <f>G77-F77</f>
        <v>30</v>
      </c>
      <c r="I77" s="13">
        <f t="shared" si="7"/>
        <v>6</v>
      </c>
      <c r="J77" s="13" t="str">
        <f t="shared" si="8"/>
        <v>Weekend</v>
      </c>
      <c r="K77" s="13">
        <f>MONTH(F77)</f>
        <v>6</v>
      </c>
      <c r="L77" s="6" t="b">
        <f>EXACT(E77,F77)</f>
        <v>0</v>
      </c>
      <c r="M77">
        <v>27</v>
      </c>
      <c r="N77">
        <f t="shared" si="9"/>
        <v>27</v>
      </c>
      <c r="O77" t="s">
        <v>37</v>
      </c>
      <c r="P77" t="str">
        <f>UPPER(O77)</f>
        <v>USD</v>
      </c>
      <c r="Q77">
        <f>VLOOKUP(P77,'Exchange Rate Table'!A:B,2,FALSE)</f>
        <v>1</v>
      </c>
      <c r="R77">
        <v>1275</v>
      </c>
      <c r="S77">
        <f>Q77*R77</f>
        <v>1275</v>
      </c>
      <c r="T77">
        <f>ROUND(R77, 0)</f>
        <v>1275</v>
      </c>
      <c r="U77" s="7" t="s">
        <v>146</v>
      </c>
      <c r="V77">
        <f>VALUE(U77)</f>
        <v>1000</v>
      </c>
      <c r="W77" t="s">
        <v>287</v>
      </c>
      <c r="X77" t="s">
        <v>48</v>
      </c>
      <c r="Y77" t="str">
        <f>CONCATENATE(W77,", ",X77)</f>
        <v>Charlottesville, VA</v>
      </c>
      <c r="Z77" t="s">
        <v>41</v>
      </c>
      <c r="AA77" t="str">
        <f>TRIM(Z77)</f>
        <v>United States</v>
      </c>
      <c r="AB77" t="s">
        <v>58</v>
      </c>
      <c r="AC77">
        <f>LEN("https://www.kickstarter.com/discover/categories/games/")</f>
        <v>54</v>
      </c>
      <c r="AD77" t="str">
        <f>RIGHT(AB77,LEN(AB77)-54)</f>
        <v>tabletop%20games</v>
      </c>
      <c r="AE77" t="str">
        <f>SUBSTITUTE(AD77,"%20"," ")</f>
        <v>tabletop games</v>
      </c>
      <c r="AF77" s="8" t="b">
        <v>0</v>
      </c>
      <c r="AG77" s="8" t="str">
        <f>LOWER(AF77)</f>
        <v>false</v>
      </c>
      <c r="AH77" t="s">
        <v>43</v>
      </c>
      <c r="AJ77" s="18">
        <v>5513</v>
      </c>
      <c r="AK77" s="16"/>
      <c r="AL77" s="16"/>
      <c r="AM77" s="16"/>
      <c r="AN77" s="16"/>
      <c r="AO77" s="16"/>
    </row>
    <row r="78" spans="1:41">
      <c r="A78" s="5">
        <v>1134572644</v>
      </c>
      <c r="B78" s="5" t="str">
        <f t="shared" si="10"/>
        <v>1134572644</v>
      </c>
      <c r="C78" t="s">
        <v>288</v>
      </c>
      <c r="D78" t="str">
        <f>PROPER(C78)</f>
        <v>Monolith Playing Cards</v>
      </c>
      <c r="E78" s="6">
        <v>43607</v>
      </c>
      <c r="F78" s="6">
        <v>43630</v>
      </c>
      <c r="G78" s="6">
        <v>43660</v>
      </c>
      <c r="H78" s="13">
        <f>G78-F78</f>
        <v>30</v>
      </c>
      <c r="I78" s="13">
        <f t="shared" si="7"/>
        <v>5</v>
      </c>
      <c r="J78" s="13" t="str">
        <f t="shared" si="8"/>
        <v>Week Day</v>
      </c>
      <c r="K78" s="13">
        <f>MONTH(F78)</f>
        <v>6</v>
      </c>
      <c r="L78" s="6" t="b">
        <f>EXACT(E78,F78)</f>
        <v>0</v>
      </c>
      <c r="M78">
        <v>132</v>
      </c>
      <c r="N78">
        <f t="shared" si="9"/>
        <v>132</v>
      </c>
      <c r="O78" t="s">
        <v>37</v>
      </c>
      <c r="P78" t="str">
        <f>UPPER(O78)</f>
        <v>USD</v>
      </c>
      <c r="Q78">
        <f>VLOOKUP(P78,'Exchange Rate Table'!A:B,2,FALSE)</f>
        <v>1</v>
      </c>
      <c r="R78">
        <v>3208</v>
      </c>
      <c r="S78">
        <f>Q78*R78</f>
        <v>3208</v>
      </c>
      <c r="T78">
        <f>ROUND(R78, 0)</f>
        <v>3208</v>
      </c>
      <c r="U78" s="7" t="s">
        <v>289</v>
      </c>
      <c r="V78">
        <f>VALUE(U78)</f>
        <v>12000</v>
      </c>
      <c r="W78" t="s">
        <v>290</v>
      </c>
      <c r="X78" t="s">
        <v>162</v>
      </c>
      <c r="Y78" t="str">
        <f>CONCATENATE(W78,", ",X78)</f>
        <v>Traverse City, MI</v>
      </c>
      <c r="Z78" t="s">
        <v>41</v>
      </c>
      <c r="AA78" t="str">
        <f>TRIM(Z78)</f>
        <v>United States</v>
      </c>
      <c r="AB78" t="s">
        <v>70</v>
      </c>
      <c r="AC78">
        <f>LEN("https://www.kickstarter.com/discover/categories/games/")</f>
        <v>54</v>
      </c>
      <c r="AD78" t="str">
        <f>RIGHT(AB78,LEN(AB78)-54)</f>
        <v>playing%20cards</v>
      </c>
      <c r="AE78" t="str">
        <f>SUBSTITUTE(AD78,"%20"," ")</f>
        <v>playing cards</v>
      </c>
      <c r="AF78" s="8" t="b">
        <v>1</v>
      </c>
      <c r="AG78" s="8" t="str">
        <f>LOWER(AF78)</f>
        <v>true</v>
      </c>
      <c r="AH78" t="s">
        <v>50</v>
      </c>
      <c r="AJ78" s="18">
        <v>5585</v>
      </c>
      <c r="AK78" s="16"/>
      <c r="AL78" s="16"/>
      <c r="AM78" s="16"/>
      <c r="AN78" s="16"/>
      <c r="AO78" s="16"/>
    </row>
    <row r="79" spans="1:41">
      <c r="A79" s="5">
        <v>1185465369</v>
      </c>
      <c r="B79" s="5" t="str">
        <f t="shared" si="10"/>
        <v>1185465369</v>
      </c>
      <c r="C79" t="s">
        <v>291</v>
      </c>
      <c r="D79" t="str">
        <f>PROPER(C79)</f>
        <v>Odyssey: Anthropos</v>
      </c>
      <c r="E79" s="6">
        <v>43609</v>
      </c>
      <c r="F79" s="6">
        <v>43634</v>
      </c>
      <c r="G79" s="6">
        <v>43649</v>
      </c>
      <c r="H79" s="13">
        <f>G79-F79</f>
        <v>15</v>
      </c>
      <c r="I79" s="13">
        <f t="shared" si="7"/>
        <v>2</v>
      </c>
      <c r="J79" s="13" t="str">
        <f t="shared" si="8"/>
        <v>Week Day</v>
      </c>
      <c r="K79" s="13">
        <f>MONTH(F79)</f>
        <v>6</v>
      </c>
      <c r="L79" s="6" t="b">
        <f>EXACT(E79,F79)</f>
        <v>0</v>
      </c>
      <c r="M79">
        <v>5229</v>
      </c>
      <c r="N79">
        <f t="shared" si="9"/>
        <v>5229</v>
      </c>
      <c r="O79" t="s">
        <v>60</v>
      </c>
      <c r="P79" t="str">
        <f>UPPER(O79)</f>
        <v>CAD</v>
      </c>
      <c r="Q79">
        <f>VLOOKUP(P79,'Exchange Rate Table'!A:B,2,FALSE)</f>
        <v>0.76932900999999998</v>
      </c>
      <c r="R79">
        <v>265211.90999999997</v>
      </c>
      <c r="S79">
        <f>Q79*R79</f>
        <v>204035.21616050907</v>
      </c>
      <c r="T79">
        <f>ROUND(R79, 0)</f>
        <v>265212</v>
      </c>
      <c r="U79" s="7" t="s">
        <v>292</v>
      </c>
      <c r="V79">
        <f>VALUE(U79)</f>
        <v>36500</v>
      </c>
      <c r="W79" t="s">
        <v>293</v>
      </c>
      <c r="X79" t="s">
        <v>294</v>
      </c>
      <c r="Y79" t="str">
        <f>CONCATENATE(W79,", ",X79)</f>
        <v>Toronto, ON</v>
      </c>
      <c r="Z79" t="s">
        <v>64</v>
      </c>
      <c r="AA79" t="str">
        <f>TRIM(Z79)</f>
        <v>Canada</v>
      </c>
      <c r="AB79" t="s">
        <v>58</v>
      </c>
      <c r="AC79">
        <f>LEN("https://www.kickstarter.com/discover/categories/games/")</f>
        <v>54</v>
      </c>
      <c r="AD79" t="str">
        <f>RIGHT(AB79,LEN(AB79)-54)</f>
        <v>tabletop%20games</v>
      </c>
      <c r="AE79" t="str">
        <f>SUBSTITUTE(AD79,"%20"," ")</f>
        <v>tabletop games</v>
      </c>
      <c r="AF79" s="8" t="b">
        <v>0</v>
      </c>
      <c r="AG79" s="8" t="str">
        <f>LOWER(AF79)</f>
        <v>false</v>
      </c>
      <c r="AH79" t="s">
        <v>43</v>
      </c>
      <c r="AJ79" s="18">
        <v>5815</v>
      </c>
      <c r="AK79" s="16"/>
      <c r="AL79" s="16"/>
      <c r="AM79" s="16"/>
      <c r="AN79" s="16"/>
      <c r="AO79" s="16"/>
    </row>
    <row r="80" spans="1:41">
      <c r="A80" s="5">
        <v>1191044112</v>
      </c>
      <c r="B80" s="5" t="str">
        <f t="shared" si="10"/>
        <v>1191044112</v>
      </c>
      <c r="C80" t="s">
        <v>295</v>
      </c>
      <c r="D80" t="str">
        <f>PROPER(C80)</f>
        <v>Mosaic The Board Game.</v>
      </c>
      <c r="E80" s="6">
        <v>43611</v>
      </c>
      <c r="F80" s="6">
        <v>43629</v>
      </c>
      <c r="G80" s="6">
        <v>43689</v>
      </c>
      <c r="H80" s="13">
        <f>G80-F80</f>
        <v>60</v>
      </c>
      <c r="I80" s="13">
        <f t="shared" si="7"/>
        <v>4</v>
      </c>
      <c r="J80" s="13" t="str">
        <f t="shared" si="8"/>
        <v>Week Day</v>
      </c>
      <c r="K80" s="13">
        <f>MONTH(F80)</f>
        <v>6</v>
      </c>
      <c r="L80" s="6" t="b">
        <f>EXACT(E80,F80)</f>
        <v>0</v>
      </c>
      <c r="M80">
        <v>16</v>
      </c>
      <c r="N80">
        <f t="shared" si="9"/>
        <v>16</v>
      </c>
      <c r="O80" t="s">
        <v>37</v>
      </c>
      <c r="P80" t="str">
        <f>UPPER(O80)</f>
        <v>USD</v>
      </c>
      <c r="Q80">
        <f>VLOOKUP(P80,'Exchange Rate Table'!A:B,2,FALSE)</f>
        <v>1</v>
      </c>
      <c r="R80">
        <v>1612</v>
      </c>
      <c r="S80">
        <f>Q80*R80</f>
        <v>1612</v>
      </c>
      <c r="T80">
        <f>ROUND(R80, 0)</f>
        <v>1612</v>
      </c>
      <c r="U80" s="7" t="s">
        <v>187</v>
      </c>
      <c r="V80">
        <f>VALUE(U80)</f>
        <v>10000</v>
      </c>
      <c r="W80" t="s">
        <v>296</v>
      </c>
      <c r="X80" t="s">
        <v>194</v>
      </c>
      <c r="Y80" t="str">
        <f>CONCATENATE(W80,", ",X80)</f>
        <v>Houston, TX</v>
      </c>
      <c r="Z80" t="s">
        <v>41</v>
      </c>
      <c r="AA80" t="str">
        <f>TRIM(Z80)</f>
        <v>United States</v>
      </c>
      <c r="AB80" t="s">
        <v>70</v>
      </c>
      <c r="AC80">
        <f>LEN("https://www.kickstarter.com/discover/categories/games/")</f>
        <v>54</v>
      </c>
      <c r="AD80" t="str">
        <f>RIGHT(AB80,LEN(AB80)-54)</f>
        <v>playing%20cards</v>
      </c>
      <c r="AE80" t="str">
        <f>SUBSTITUTE(AD80,"%20"," ")</f>
        <v>playing cards</v>
      </c>
      <c r="AF80" s="8" t="b">
        <v>0</v>
      </c>
      <c r="AG80" s="8" t="str">
        <f>LOWER(AF80)</f>
        <v>false</v>
      </c>
      <c r="AH80" t="s">
        <v>50</v>
      </c>
      <c r="AJ80" s="18">
        <v>6029</v>
      </c>
      <c r="AK80" s="16"/>
      <c r="AL80" s="16"/>
      <c r="AM80" s="16"/>
      <c r="AN80" s="16"/>
      <c r="AO80" s="16"/>
    </row>
    <row r="81" spans="1:41">
      <c r="A81" s="5">
        <v>1191456933</v>
      </c>
      <c r="B81" s="5" t="str">
        <f t="shared" si="10"/>
        <v>1191456933</v>
      </c>
      <c r="C81" t="s">
        <v>297</v>
      </c>
      <c r="D81" t="str">
        <f>PROPER(C81)</f>
        <v>Us National Park Playing Cards</v>
      </c>
      <c r="E81" s="6">
        <v>43614</v>
      </c>
      <c r="F81" s="6">
        <v>43675</v>
      </c>
      <c r="G81" s="6">
        <v>43720</v>
      </c>
      <c r="H81" s="13">
        <f>G81-F81</f>
        <v>45</v>
      </c>
      <c r="I81" s="13">
        <f t="shared" si="7"/>
        <v>1</v>
      </c>
      <c r="J81" s="13" t="str">
        <f t="shared" si="8"/>
        <v>Week Day</v>
      </c>
      <c r="K81" s="13">
        <f>MONTH(F81)</f>
        <v>7</v>
      </c>
      <c r="L81" s="6" t="b">
        <f>EXACT(E81,F81)</f>
        <v>0</v>
      </c>
      <c r="M81">
        <v>1</v>
      </c>
      <c r="N81">
        <f t="shared" si="9"/>
        <v>1</v>
      </c>
      <c r="O81" t="s">
        <v>72</v>
      </c>
      <c r="P81" t="str">
        <f>UPPER(O81)</f>
        <v>EUR</v>
      </c>
      <c r="Q81">
        <f>VLOOKUP(P81,'Exchange Rate Table'!A:B,2,FALSE)</f>
        <v>1.16955371</v>
      </c>
      <c r="R81">
        <v>1</v>
      </c>
      <c r="S81">
        <f>Q81*R81</f>
        <v>1.16955371</v>
      </c>
      <c r="T81">
        <f>ROUND(R81, 0)</f>
        <v>1</v>
      </c>
      <c r="U81" s="7" t="s">
        <v>146</v>
      </c>
      <c r="V81">
        <f>VALUE(U81)</f>
        <v>1000</v>
      </c>
      <c r="W81" t="s">
        <v>298</v>
      </c>
      <c r="X81" t="s">
        <v>298</v>
      </c>
      <c r="Y81" t="str">
        <f>CONCATENATE(W81,", ",X81)</f>
        <v>Salzburg, Salzburg</v>
      </c>
      <c r="Z81" t="s">
        <v>299</v>
      </c>
      <c r="AA81" t="str">
        <f>TRIM(Z81)</f>
        <v>Austria</v>
      </c>
      <c r="AB81" t="s">
        <v>243</v>
      </c>
      <c r="AC81">
        <f>LEN("https://www.kickstarter.com/discover/categories/games/")</f>
        <v>54</v>
      </c>
      <c r="AD81" t="str">
        <f>RIGHT(AB81,LEN(AB81)-54)</f>
        <v>puzzles</v>
      </c>
      <c r="AE81" t="str">
        <f>SUBSTITUTE(AD81,"%20"," ")</f>
        <v>puzzles</v>
      </c>
      <c r="AF81" s="8" t="b">
        <v>0</v>
      </c>
      <c r="AG81" s="8" t="str">
        <f>LOWER(AF81)</f>
        <v>false</v>
      </c>
      <c r="AH81" t="s">
        <v>50</v>
      </c>
      <c r="AJ81" s="18">
        <v>6087</v>
      </c>
      <c r="AK81" s="16"/>
      <c r="AL81" s="16"/>
      <c r="AM81" s="16"/>
      <c r="AN81" s="16"/>
      <c r="AO81" s="16"/>
    </row>
    <row r="82" spans="1:41">
      <c r="A82" s="5">
        <v>1204514267</v>
      </c>
      <c r="B82" s="5" t="str">
        <f t="shared" si="10"/>
        <v>1204514267</v>
      </c>
      <c r="C82" t="s">
        <v>300</v>
      </c>
      <c r="D82" t="str">
        <f>PROPER(C82)</f>
        <v>Attribute Dice</v>
      </c>
      <c r="E82" s="6">
        <v>43621</v>
      </c>
      <c r="F82" s="6">
        <v>43626</v>
      </c>
      <c r="G82" s="6">
        <v>43640</v>
      </c>
      <c r="H82" s="13">
        <f>G82-F82</f>
        <v>14</v>
      </c>
      <c r="I82" s="13">
        <f t="shared" si="7"/>
        <v>1</v>
      </c>
      <c r="J82" s="13" t="str">
        <f t="shared" si="8"/>
        <v>Week Day</v>
      </c>
      <c r="K82" s="13">
        <f>MONTH(F82)</f>
        <v>6</v>
      </c>
      <c r="L82" s="6" t="b">
        <f>EXACT(E82,F82)</f>
        <v>0</v>
      </c>
      <c r="M82">
        <v>144</v>
      </c>
      <c r="N82">
        <f t="shared" si="9"/>
        <v>144</v>
      </c>
      <c r="O82" t="s">
        <v>72</v>
      </c>
      <c r="P82" t="str">
        <f>UPPER(O82)</f>
        <v>EUR</v>
      </c>
      <c r="Q82">
        <f>VLOOKUP(P82,'Exchange Rate Table'!A:B,2,FALSE)</f>
        <v>1.16955371</v>
      </c>
      <c r="R82">
        <v>6087</v>
      </c>
      <c r="S82">
        <f>Q82*R82</f>
        <v>7119.0734327700002</v>
      </c>
      <c r="T82">
        <f>ROUND(R82, 0)</f>
        <v>6087</v>
      </c>
      <c r="U82" s="7" t="s">
        <v>54</v>
      </c>
      <c r="V82">
        <f>VALUE(U82)</f>
        <v>2000</v>
      </c>
      <c r="W82" t="s">
        <v>301</v>
      </c>
      <c r="X82" t="s">
        <v>302</v>
      </c>
      <c r="Y82" t="str">
        <f>CONCATENATE(W82,", ",X82)</f>
        <v>Cintru√©nigo, Navarre</v>
      </c>
      <c r="Z82" t="s">
        <v>130</v>
      </c>
      <c r="AA82" t="str">
        <f>TRIM(Z82)</f>
        <v>Spain</v>
      </c>
      <c r="AB82" t="s">
        <v>58</v>
      </c>
      <c r="AC82">
        <f>LEN("https://www.kickstarter.com/discover/categories/games/")</f>
        <v>54</v>
      </c>
      <c r="AD82" t="str">
        <f>RIGHT(AB82,LEN(AB82)-54)</f>
        <v>tabletop%20games</v>
      </c>
      <c r="AE82" t="str">
        <f>SUBSTITUTE(AD82,"%20"," ")</f>
        <v>tabletop games</v>
      </c>
      <c r="AF82" s="8" t="b">
        <v>0</v>
      </c>
      <c r="AG82" s="8" t="str">
        <f>LOWER(AF82)</f>
        <v>false</v>
      </c>
      <c r="AH82" t="s">
        <v>43</v>
      </c>
      <c r="AJ82" s="18">
        <v>6234</v>
      </c>
      <c r="AK82" s="16"/>
      <c r="AL82" s="16"/>
      <c r="AM82" s="16"/>
      <c r="AN82" s="16"/>
      <c r="AO82" s="16"/>
    </row>
    <row r="83" spans="1:41">
      <c r="A83" s="5">
        <v>1216759387</v>
      </c>
      <c r="B83" s="5" t="str">
        <f t="shared" si="10"/>
        <v>1216759387</v>
      </c>
      <c r="C83" t="s">
        <v>303</v>
      </c>
      <c r="D83" t="str">
        <f>PROPER(C83)</f>
        <v>Medieval, 3D Printable Terrain For Tabletop And Modeling</v>
      </c>
      <c r="E83" s="6">
        <v>43627</v>
      </c>
      <c r="F83" s="6">
        <v>43718</v>
      </c>
      <c r="G83" s="6">
        <v>43736</v>
      </c>
      <c r="H83" s="13">
        <f>G83-F83</f>
        <v>18</v>
      </c>
      <c r="I83" s="13">
        <f t="shared" si="7"/>
        <v>2</v>
      </c>
      <c r="J83" s="13" t="str">
        <f t="shared" si="8"/>
        <v>Week Day</v>
      </c>
      <c r="K83" s="13">
        <f>MONTH(F83)</f>
        <v>9</v>
      </c>
      <c r="L83" s="6" t="b">
        <f>EXACT(E83,F83)</f>
        <v>0</v>
      </c>
      <c r="M83">
        <v>611</v>
      </c>
      <c r="N83">
        <f t="shared" si="9"/>
        <v>611</v>
      </c>
      <c r="O83" t="s">
        <v>37</v>
      </c>
      <c r="P83" t="str">
        <f>UPPER(O83)</f>
        <v>USD</v>
      </c>
      <c r="Q83">
        <f>VLOOKUP(P83,'Exchange Rate Table'!A:B,2,FALSE)</f>
        <v>1</v>
      </c>
      <c r="R83">
        <v>15805</v>
      </c>
      <c r="S83">
        <f>Q83*R83</f>
        <v>15805</v>
      </c>
      <c r="T83">
        <f>ROUND(R83, 0)</f>
        <v>15805</v>
      </c>
      <c r="U83" s="7" t="s">
        <v>38</v>
      </c>
      <c r="V83">
        <f>VALUE(U83)</f>
        <v>15000</v>
      </c>
      <c r="W83" t="s">
        <v>62</v>
      </c>
      <c r="X83" t="s">
        <v>110</v>
      </c>
      <c r="Y83" t="str">
        <f>CONCATENATE(W83,", ",X83)</f>
        <v>Vancouver, WA</v>
      </c>
      <c r="Z83" t="s">
        <v>41</v>
      </c>
      <c r="AA83" t="str">
        <f>TRIM(Z83)</f>
        <v>United States</v>
      </c>
      <c r="AB83" t="s">
        <v>58</v>
      </c>
      <c r="AC83">
        <f>LEN("https://www.kickstarter.com/discover/categories/games/")</f>
        <v>54</v>
      </c>
      <c r="AD83" t="str">
        <f>RIGHT(AB83,LEN(AB83)-54)</f>
        <v>tabletop%20games</v>
      </c>
      <c r="AE83" t="str">
        <f>SUBSTITUTE(AD83,"%20"," ")</f>
        <v>tabletop games</v>
      </c>
      <c r="AF83" s="8" t="b">
        <v>0</v>
      </c>
      <c r="AG83" s="8" t="str">
        <f>LOWER(AF83)</f>
        <v>false</v>
      </c>
      <c r="AH83" t="s">
        <v>43</v>
      </c>
      <c r="AJ83" s="18">
        <v>6324</v>
      </c>
      <c r="AK83" s="16"/>
      <c r="AL83" s="16"/>
      <c r="AM83" s="16"/>
      <c r="AN83" s="16"/>
      <c r="AO83" s="16"/>
    </row>
    <row r="84" spans="1:41">
      <c r="A84" s="5">
        <v>1221572723</v>
      </c>
      <c r="B84" s="5" t="str">
        <f t="shared" si="10"/>
        <v>1221572723</v>
      </c>
      <c r="C84" t="s">
        <v>304</v>
      </c>
      <c r="D84" t="str">
        <f>PROPER(C84)</f>
        <v>Murder Mystery Manor</v>
      </c>
      <c r="E84" s="6">
        <v>43631</v>
      </c>
      <c r="F84" s="6">
        <v>43632</v>
      </c>
      <c r="G84" s="6">
        <v>43662</v>
      </c>
      <c r="H84" s="13">
        <f>G84-F84</f>
        <v>30</v>
      </c>
      <c r="I84" s="13">
        <f t="shared" si="7"/>
        <v>7</v>
      </c>
      <c r="J84" s="13" t="str">
        <f t="shared" si="8"/>
        <v>Weekend</v>
      </c>
      <c r="K84" s="13">
        <f>MONTH(F84)</f>
        <v>6</v>
      </c>
      <c r="L84" s="6" t="b">
        <f>EXACT(E84,F84)</f>
        <v>0</v>
      </c>
      <c r="M84">
        <v>230</v>
      </c>
      <c r="N84">
        <f t="shared" si="9"/>
        <v>230</v>
      </c>
      <c r="O84" t="s">
        <v>37</v>
      </c>
      <c r="P84" t="str">
        <f>UPPER(O84)</f>
        <v>USD</v>
      </c>
      <c r="Q84">
        <f>VLOOKUP(P84,'Exchange Rate Table'!A:B,2,FALSE)</f>
        <v>1</v>
      </c>
      <c r="R84">
        <v>8927</v>
      </c>
      <c r="S84">
        <f>Q84*R84</f>
        <v>8927</v>
      </c>
      <c r="T84">
        <f>ROUND(R84, 0)</f>
        <v>8927</v>
      </c>
      <c r="U84" s="7" t="s">
        <v>146</v>
      </c>
      <c r="V84">
        <f>VALUE(U84)</f>
        <v>1000</v>
      </c>
      <c r="W84" t="s">
        <v>305</v>
      </c>
      <c r="X84" t="s">
        <v>48</v>
      </c>
      <c r="Y84" t="str">
        <f>CONCATENATE(W84,", ",X84)</f>
        <v>Shacklefords, VA</v>
      </c>
      <c r="Z84" t="s">
        <v>41</v>
      </c>
      <c r="AA84" t="str">
        <f>TRIM(Z84)</f>
        <v>United States</v>
      </c>
      <c r="AB84" t="s">
        <v>58</v>
      </c>
      <c r="AC84">
        <f>LEN("https://www.kickstarter.com/discover/categories/games/")</f>
        <v>54</v>
      </c>
      <c r="AD84" t="str">
        <f>RIGHT(AB84,LEN(AB84)-54)</f>
        <v>tabletop%20games</v>
      </c>
      <c r="AE84" t="str">
        <f>SUBSTITUTE(AD84,"%20"," ")</f>
        <v>tabletop games</v>
      </c>
      <c r="AF84" s="8" t="b">
        <v>0</v>
      </c>
      <c r="AG84" s="8" t="str">
        <f>LOWER(AF84)</f>
        <v>false</v>
      </c>
      <c r="AH84" t="s">
        <v>43</v>
      </c>
      <c r="AJ84" s="18">
        <v>6341</v>
      </c>
      <c r="AK84" s="16"/>
      <c r="AL84" s="16"/>
      <c r="AM84" s="16"/>
      <c r="AN84" s="16"/>
      <c r="AO84" s="16"/>
    </row>
    <row r="85" spans="1:41">
      <c r="A85" s="5">
        <v>1235953202</v>
      </c>
      <c r="B85" s="5" t="str">
        <f t="shared" si="10"/>
        <v>1235953202</v>
      </c>
      <c r="C85" t="s">
        <v>306</v>
      </c>
      <c r="D85" t="str">
        <f>PROPER(C85)</f>
        <v>Castles &amp; Crusades Codex Egyptium</v>
      </c>
      <c r="E85" s="6">
        <v>43633</v>
      </c>
      <c r="F85" s="6">
        <v>43655</v>
      </c>
      <c r="G85" s="6"/>
      <c r="H85" s="13">
        <f>G85-F85</f>
        <v>-43655</v>
      </c>
      <c r="I85" s="13">
        <f t="shared" si="7"/>
        <v>2</v>
      </c>
      <c r="J85" s="13" t="str">
        <f t="shared" si="8"/>
        <v>Week Day</v>
      </c>
      <c r="K85" s="13">
        <f>MONTH(F85)</f>
        <v>7</v>
      </c>
      <c r="L85" s="6" t="b">
        <f>EXACT(E85,F85)</f>
        <v>0</v>
      </c>
      <c r="M85">
        <v>5698</v>
      </c>
      <c r="N85">
        <f t="shared" si="9"/>
        <v>5698</v>
      </c>
      <c r="O85" t="s">
        <v>37</v>
      </c>
      <c r="P85" t="str">
        <f>UPPER(O85)</f>
        <v>USD</v>
      </c>
      <c r="Q85">
        <f>VLOOKUP(P85,'Exchange Rate Table'!A:B,2,FALSE)</f>
        <v>1</v>
      </c>
      <c r="R85">
        <v>358133</v>
      </c>
      <c r="S85">
        <f>Q85*R85</f>
        <v>358133</v>
      </c>
      <c r="T85">
        <f>ROUND(R85, 0)</f>
        <v>358133</v>
      </c>
      <c r="U85" s="7" t="s">
        <v>259</v>
      </c>
      <c r="V85">
        <f>VALUE(U85)</f>
        <v>75000</v>
      </c>
      <c r="W85" t="s">
        <v>307</v>
      </c>
      <c r="X85" t="s">
        <v>148</v>
      </c>
      <c r="Y85" t="str">
        <f>CONCATENATE(W85,", ",X85)</f>
        <v>Portland, OR</v>
      </c>
      <c r="Z85" t="s">
        <v>41</v>
      </c>
      <c r="AA85" t="str">
        <f>TRIM(Z85)</f>
        <v>United States</v>
      </c>
      <c r="AB85" t="s">
        <v>58</v>
      </c>
      <c r="AC85">
        <f>LEN("https://www.kickstarter.com/discover/categories/games/")</f>
        <v>54</v>
      </c>
      <c r="AD85" t="str">
        <f>RIGHT(AB85,LEN(AB85)-54)</f>
        <v>tabletop%20games</v>
      </c>
      <c r="AE85" t="str">
        <f>SUBSTITUTE(AD85,"%20"," ")</f>
        <v>tabletop games</v>
      </c>
      <c r="AF85" s="8" t="b">
        <v>0</v>
      </c>
      <c r="AG85" s="8" t="str">
        <f>LOWER(AF85)</f>
        <v>false</v>
      </c>
      <c r="AH85" t="s">
        <v>43</v>
      </c>
      <c r="AJ85" s="18">
        <v>6372</v>
      </c>
      <c r="AK85" s="16"/>
      <c r="AL85" s="16"/>
      <c r="AM85" s="16"/>
      <c r="AN85" s="16"/>
      <c r="AO85" s="16"/>
    </row>
    <row r="86" spans="1:41">
      <c r="A86" s="5">
        <v>1268024169</v>
      </c>
      <c r="B86" s="5" t="str">
        <f t="shared" si="10"/>
        <v>1268024169</v>
      </c>
      <c r="C86" t="s">
        <v>308</v>
      </c>
      <c r="D86" t="str">
        <f>PROPER(C86)</f>
        <v>Titans: Historical Fantasy Miniature Board Game</v>
      </c>
      <c r="E86" s="6">
        <v>43633</v>
      </c>
      <c r="F86" s="6">
        <v>43648</v>
      </c>
      <c r="G86" s="6">
        <v>43686</v>
      </c>
      <c r="H86" s="13">
        <f>G86-F86</f>
        <v>38</v>
      </c>
      <c r="I86" s="13">
        <f t="shared" si="7"/>
        <v>2</v>
      </c>
      <c r="J86" s="13" t="str">
        <f t="shared" si="8"/>
        <v>Week Day</v>
      </c>
      <c r="K86" s="13">
        <f>MONTH(F86)</f>
        <v>7</v>
      </c>
      <c r="L86" s="6" t="b">
        <f>EXACT(E86,F86)</f>
        <v>0</v>
      </c>
      <c r="M86">
        <v>702</v>
      </c>
      <c r="N86">
        <f t="shared" si="9"/>
        <v>702</v>
      </c>
      <c r="O86" t="s">
        <v>53</v>
      </c>
      <c r="P86" t="str">
        <f>UPPER(O86)</f>
        <v>GBP</v>
      </c>
      <c r="Q86">
        <f>VLOOKUP(P86,'Exchange Rate Table'!A:B,2,FALSE)</f>
        <v>1.49576325</v>
      </c>
      <c r="R86">
        <v>30858</v>
      </c>
      <c r="S86">
        <f>Q86*R86</f>
        <v>46156.2623685</v>
      </c>
      <c r="T86">
        <f>ROUND(R86, 0)</f>
        <v>30858</v>
      </c>
      <c r="U86" s="7" t="s">
        <v>73</v>
      </c>
      <c r="V86">
        <f>VALUE(U86)</f>
        <v>17000</v>
      </c>
      <c r="W86" t="s">
        <v>170</v>
      </c>
      <c r="X86" t="s">
        <v>56</v>
      </c>
      <c r="Y86" t="str">
        <f>CONCATENATE(W86,", ",X86)</f>
        <v>London, England</v>
      </c>
      <c r="Z86" t="s">
        <v>57</v>
      </c>
      <c r="AA86" t="str">
        <f>TRIM(Z86)</f>
        <v>United Kingdom</v>
      </c>
      <c r="AB86" t="s">
        <v>58</v>
      </c>
      <c r="AC86">
        <f>LEN("https://www.kickstarter.com/discover/categories/games/")</f>
        <v>54</v>
      </c>
      <c r="AD86" t="str">
        <f>RIGHT(AB86,LEN(AB86)-54)</f>
        <v>tabletop%20games</v>
      </c>
      <c r="AE86" t="str">
        <f>SUBSTITUTE(AD86,"%20"," ")</f>
        <v>tabletop games</v>
      </c>
      <c r="AF86" s="8" t="b">
        <v>0</v>
      </c>
      <c r="AG86" s="8" t="str">
        <f>LOWER(AF86)</f>
        <v>false</v>
      </c>
      <c r="AH86" t="s">
        <v>43</v>
      </c>
      <c r="AJ86" s="18">
        <v>6469</v>
      </c>
      <c r="AK86" s="16"/>
      <c r="AL86" s="16"/>
      <c r="AM86" s="16"/>
      <c r="AN86" s="16"/>
      <c r="AO86" s="16"/>
    </row>
    <row r="87" spans="1:41">
      <c r="A87" s="5">
        <v>1286829186</v>
      </c>
      <c r="B87" s="5" t="str">
        <f t="shared" si="10"/>
        <v>1286829186</v>
      </c>
      <c r="C87" t="s">
        <v>309</v>
      </c>
      <c r="D87" t="str">
        <f>PROPER(C87)</f>
        <v>Dado</v>
      </c>
      <c r="E87" s="6">
        <v>43636</v>
      </c>
      <c r="F87" s="6">
        <v>43661</v>
      </c>
      <c r="G87" s="6">
        <v>43685</v>
      </c>
      <c r="H87" s="13">
        <f>G87-F87</f>
        <v>24</v>
      </c>
      <c r="I87" s="13">
        <f t="shared" si="7"/>
        <v>1</v>
      </c>
      <c r="J87" s="13" t="str">
        <f t="shared" si="8"/>
        <v>Week Day</v>
      </c>
      <c r="K87" s="13">
        <f>MONTH(F87)</f>
        <v>7</v>
      </c>
      <c r="L87" s="6" t="b">
        <f>EXACT(E87,F87)</f>
        <v>0</v>
      </c>
      <c r="M87">
        <v>139</v>
      </c>
      <c r="N87">
        <f t="shared" si="9"/>
        <v>139</v>
      </c>
      <c r="O87" t="s">
        <v>37</v>
      </c>
      <c r="P87" t="str">
        <f>UPPER(O87)</f>
        <v>USD</v>
      </c>
      <c r="Q87">
        <f>VLOOKUP(P87,'Exchange Rate Table'!A:B,2,FALSE)</f>
        <v>1</v>
      </c>
      <c r="R87">
        <v>8522</v>
      </c>
      <c r="S87">
        <f>Q87*R87</f>
        <v>8522</v>
      </c>
      <c r="T87">
        <f>ROUND(R87, 0)</f>
        <v>8522</v>
      </c>
      <c r="U87" s="7" t="s">
        <v>79</v>
      </c>
      <c r="V87">
        <f>VALUE(U87)</f>
        <v>5000</v>
      </c>
      <c r="W87" t="s">
        <v>310</v>
      </c>
      <c r="X87" t="s">
        <v>40</v>
      </c>
      <c r="Y87" t="str">
        <f>CONCATENATE(W87,", ",X87)</f>
        <v>Coral Springs, FL</v>
      </c>
      <c r="Z87" t="s">
        <v>41</v>
      </c>
      <c r="AA87" t="str">
        <f>TRIM(Z87)</f>
        <v>United States</v>
      </c>
      <c r="AB87" t="s">
        <v>58</v>
      </c>
      <c r="AC87">
        <f>LEN("https://www.kickstarter.com/discover/categories/games/")</f>
        <v>54</v>
      </c>
      <c r="AD87" t="str">
        <f>RIGHT(AB87,LEN(AB87)-54)</f>
        <v>tabletop%20games</v>
      </c>
      <c r="AE87" t="str">
        <f>SUBSTITUTE(AD87,"%20"," ")</f>
        <v>tabletop games</v>
      </c>
      <c r="AF87" s="8" t="b">
        <v>0</v>
      </c>
      <c r="AG87" s="8" t="str">
        <f>LOWER(AF87)</f>
        <v>false</v>
      </c>
      <c r="AH87" t="s">
        <v>43</v>
      </c>
      <c r="AJ87" s="18">
        <v>6553</v>
      </c>
      <c r="AK87" s="16"/>
      <c r="AL87" s="16"/>
      <c r="AM87" s="16"/>
      <c r="AN87" s="16"/>
      <c r="AO87" s="16"/>
    </row>
    <row r="88" spans="1:41">
      <c r="A88" s="5">
        <v>1292186083</v>
      </c>
      <c r="B88" s="5" t="str">
        <f t="shared" si="10"/>
        <v>1292186083</v>
      </c>
      <c r="C88" t="s">
        <v>311</v>
      </c>
      <c r="D88" t="str">
        <f>PROPER(C88)</f>
        <v>Iwari</v>
      </c>
      <c r="E88" s="6">
        <v>43638</v>
      </c>
      <c r="F88" s="6">
        <v>43655</v>
      </c>
      <c r="G88" s="6">
        <v>43685</v>
      </c>
      <c r="H88" s="13">
        <f>G88-F88</f>
        <v>30</v>
      </c>
      <c r="I88" s="13">
        <f t="shared" si="7"/>
        <v>2</v>
      </c>
      <c r="J88" s="13" t="str">
        <f t="shared" si="8"/>
        <v>Week Day</v>
      </c>
      <c r="K88" s="13">
        <f>MONTH(F88)</f>
        <v>7</v>
      </c>
      <c r="L88" s="6" t="b">
        <f>EXACT(E88,F88)</f>
        <v>0</v>
      </c>
      <c r="M88">
        <v>253</v>
      </c>
      <c r="N88">
        <f t="shared" si="9"/>
        <v>253</v>
      </c>
      <c r="O88" t="s">
        <v>37</v>
      </c>
      <c r="P88" t="str">
        <f>UPPER(O88)</f>
        <v>USD</v>
      </c>
      <c r="Q88">
        <f>VLOOKUP(P88,'Exchange Rate Table'!A:B,2,FALSE)</f>
        <v>1</v>
      </c>
      <c r="R88">
        <v>14564.5</v>
      </c>
      <c r="S88">
        <f>Q88*R88</f>
        <v>14564.5</v>
      </c>
      <c r="T88">
        <f>ROUND(R88, 0)</f>
        <v>14565</v>
      </c>
      <c r="U88" s="7" t="s">
        <v>312</v>
      </c>
      <c r="V88">
        <f>VALUE(U88)</f>
        <v>8000</v>
      </c>
      <c r="W88" t="s">
        <v>313</v>
      </c>
      <c r="X88" t="s">
        <v>314</v>
      </c>
      <c r="Y88" t="str">
        <f>CONCATENATE(W88,", ",X88)</f>
        <v>Kiev, Kiev City Municipality</v>
      </c>
      <c r="Z88" t="s">
        <v>315</v>
      </c>
      <c r="AA88" t="str">
        <f>TRIM(Z88)</f>
        <v>Ukraine</v>
      </c>
      <c r="AB88" t="s">
        <v>70</v>
      </c>
      <c r="AC88">
        <f>LEN("https://www.kickstarter.com/discover/categories/games/")</f>
        <v>54</v>
      </c>
      <c r="AD88" t="str">
        <f>RIGHT(AB88,LEN(AB88)-54)</f>
        <v>playing%20cards</v>
      </c>
      <c r="AE88" t="str">
        <f>SUBSTITUTE(AD88,"%20"," ")</f>
        <v>playing cards</v>
      </c>
      <c r="AF88" s="8" t="b">
        <v>0</v>
      </c>
      <c r="AG88" s="8" t="str">
        <f>LOWER(AF88)</f>
        <v>false</v>
      </c>
      <c r="AH88" t="s">
        <v>43</v>
      </c>
      <c r="AJ88" s="18">
        <v>6818</v>
      </c>
      <c r="AK88" s="16"/>
      <c r="AL88" s="16"/>
      <c r="AM88" s="16"/>
      <c r="AN88" s="16"/>
      <c r="AO88" s="16"/>
    </row>
    <row r="89" spans="1:41">
      <c r="A89" s="5">
        <v>1293602338</v>
      </c>
      <c r="B89" s="5" t="str">
        <f t="shared" si="10"/>
        <v>1293602338</v>
      </c>
      <c r="C89" t="s">
        <v>316</v>
      </c>
      <c r="D89" t="str">
        <f>PROPER(C89)</f>
        <v>Steve Hampson'S Tabletop Games Kickstarter Report 2019</v>
      </c>
      <c r="E89" s="6">
        <v>43639</v>
      </c>
      <c r="F89" s="6">
        <v>43640</v>
      </c>
      <c r="G89" s="6">
        <v>43660</v>
      </c>
      <c r="H89" s="13">
        <f>G89-F89</f>
        <v>20</v>
      </c>
      <c r="I89" s="13">
        <f t="shared" si="7"/>
        <v>1</v>
      </c>
      <c r="J89" s="13" t="str">
        <f t="shared" si="8"/>
        <v>Week Day</v>
      </c>
      <c r="K89" s="13">
        <f>MONTH(F89)</f>
        <v>6</v>
      </c>
      <c r="L89" s="6" t="b">
        <f>EXACT(E89,F89)</f>
        <v>0</v>
      </c>
      <c r="M89">
        <v>31</v>
      </c>
      <c r="N89">
        <f t="shared" si="9"/>
        <v>31</v>
      </c>
      <c r="O89" t="s">
        <v>53</v>
      </c>
      <c r="P89" t="str">
        <f>UPPER(O89)</f>
        <v>GBP</v>
      </c>
      <c r="Q89">
        <f>VLOOKUP(P89,'Exchange Rate Table'!A:B,2,FALSE)</f>
        <v>1.49576325</v>
      </c>
      <c r="R89">
        <v>815</v>
      </c>
      <c r="S89">
        <f>Q89*R89</f>
        <v>1219.0470487499999</v>
      </c>
      <c r="T89">
        <f>ROUND(R89, 0)</f>
        <v>815</v>
      </c>
      <c r="U89" s="7" t="s">
        <v>317</v>
      </c>
      <c r="V89">
        <f>VALUE(U89)</f>
        <v>800</v>
      </c>
      <c r="W89" t="s">
        <v>318</v>
      </c>
      <c r="X89" t="s">
        <v>101</v>
      </c>
      <c r="Y89" t="str">
        <f>CONCATENATE(W89,", ",X89)</f>
        <v>DUMBO, NY</v>
      </c>
      <c r="Z89" t="s">
        <v>41</v>
      </c>
      <c r="AA89" t="str">
        <f>TRIM(Z89)</f>
        <v>United States</v>
      </c>
      <c r="AB89" t="s">
        <v>42</v>
      </c>
      <c r="AC89">
        <f>LEN("https://www.kickstarter.com/discover/categories/games/")</f>
        <v>54</v>
      </c>
      <c r="AD89" t="str">
        <f>RIGHT(AB89,LEN(AB89)-54)</f>
        <v>live%20games</v>
      </c>
      <c r="AE89" t="str">
        <f>SUBSTITUTE(AD89,"%20"," ")</f>
        <v>live games</v>
      </c>
      <c r="AF89" s="8" t="b">
        <v>0</v>
      </c>
      <c r="AG89" s="8" t="str">
        <f>LOWER(AF89)</f>
        <v>false</v>
      </c>
      <c r="AH89" t="s">
        <v>43</v>
      </c>
      <c r="AJ89" s="18">
        <v>7169</v>
      </c>
      <c r="AK89" s="16"/>
      <c r="AL89" s="16"/>
      <c r="AM89" s="16"/>
      <c r="AN89" s="16"/>
      <c r="AO89" s="16"/>
    </row>
    <row r="90" spans="1:41">
      <c r="A90" s="5">
        <v>1302123934</v>
      </c>
      <c r="B90" s="5" t="str">
        <f t="shared" si="10"/>
        <v>1302123934</v>
      </c>
      <c r="C90" t="s">
        <v>319</v>
      </c>
      <c r="D90" t="str">
        <f>PROPER(C90)</f>
        <v>Incoming Transmission: Coop Deduction Boardgame (Plus App!)</v>
      </c>
      <c r="E90" s="6">
        <v>43641</v>
      </c>
      <c r="F90" s="6">
        <v>43676</v>
      </c>
      <c r="G90" s="6">
        <v>43704</v>
      </c>
      <c r="H90" s="13">
        <f>G90-F90</f>
        <v>28</v>
      </c>
      <c r="I90" s="13">
        <f t="shared" si="7"/>
        <v>2</v>
      </c>
      <c r="J90" s="13" t="str">
        <f t="shared" si="8"/>
        <v>Week Day</v>
      </c>
      <c r="K90" s="13">
        <f>MONTH(F90)</f>
        <v>7</v>
      </c>
      <c r="L90" s="6" t="b">
        <f>EXACT(E90,F90)</f>
        <v>0</v>
      </c>
      <c r="M90">
        <v>219</v>
      </c>
      <c r="N90">
        <f t="shared" si="9"/>
        <v>219</v>
      </c>
      <c r="O90" t="s">
        <v>37</v>
      </c>
      <c r="P90" t="str">
        <f>UPPER(O90)</f>
        <v>USD</v>
      </c>
      <c r="Q90">
        <f>VLOOKUP(P90,'Exchange Rate Table'!A:B,2,FALSE)</f>
        <v>1</v>
      </c>
      <c r="R90">
        <v>1057</v>
      </c>
      <c r="S90">
        <f>Q90*R90</f>
        <v>1057</v>
      </c>
      <c r="T90">
        <f>ROUND(R90, 0)</f>
        <v>1057</v>
      </c>
      <c r="U90" s="7" t="s">
        <v>103</v>
      </c>
      <c r="V90">
        <f>VALUE(U90)</f>
        <v>250</v>
      </c>
      <c r="W90" t="s">
        <v>245</v>
      </c>
      <c r="X90" t="s">
        <v>185</v>
      </c>
      <c r="Y90" t="str">
        <f>CONCATENATE(W90,", ",X90)</f>
        <v>Salt Lake City, UT</v>
      </c>
      <c r="Z90" t="s">
        <v>41</v>
      </c>
      <c r="AA90" t="str">
        <f>TRIM(Z90)</f>
        <v>United States</v>
      </c>
      <c r="AB90" t="s">
        <v>58</v>
      </c>
      <c r="AC90">
        <f>LEN("https://www.kickstarter.com/discover/categories/games/")</f>
        <v>54</v>
      </c>
      <c r="AD90" t="str">
        <f>RIGHT(AB90,LEN(AB90)-54)</f>
        <v>tabletop%20games</v>
      </c>
      <c r="AE90" t="str">
        <f>SUBSTITUTE(AD90,"%20"," ")</f>
        <v>tabletop games</v>
      </c>
      <c r="AF90" s="8" t="b">
        <v>0</v>
      </c>
      <c r="AG90" s="8" t="str">
        <f>LOWER(AF90)</f>
        <v>false</v>
      </c>
      <c r="AH90" t="s">
        <v>43</v>
      </c>
      <c r="AJ90" s="18">
        <v>7339</v>
      </c>
      <c r="AK90" s="16"/>
      <c r="AL90" s="16"/>
      <c r="AM90" s="16"/>
      <c r="AN90" s="16"/>
      <c r="AO90" s="16"/>
    </row>
    <row r="91" spans="1:41">
      <c r="A91" s="5">
        <v>1321289146</v>
      </c>
      <c r="B91" s="5" t="str">
        <f t="shared" si="10"/>
        <v>1321289146</v>
      </c>
      <c r="C91" t="s">
        <v>320</v>
      </c>
      <c r="D91" t="str">
        <f>PROPER(C91)</f>
        <v>Rod, Reel, &amp; Fist</v>
      </c>
      <c r="E91" s="6">
        <v>43648</v>
      </c>
      <c r="F91" s="6">
        <v>43774</v>
      </c>
      <c r="G91" s="6">
        <v>43796</v>
      </c>
      <c r="H91" s="13">
        <f>G91-F91</f>
        <v>22</v>
      </c>
      <c r="I91" s="13">
        <f t="shared" si="7"/>
        <v>2</v>
      </c>
      <c r="J91" s="13" t="str">
        <f t="shared" si="8"/>
        <v>Week Day</v>
      </c>
      <c r="K91" s="13">
        <f>MONTH(F91)</f>
        <v>11</v>
      </c>
      <c r="L91" s="6" t="b">
        <f>EXACT(E91,F91)</f>
        <v>0</v>
      </c>
      <c r="M91">
        <v>712</v>
      </c>
      <c r="N91">
        <f t="shared" si="9"/>
        <v>712</v>
      </c>
      <c r="O91" t="s">
        <v>37</v>
      </c>
      <c r="P91" t="str">
        <f>UPPER(O91)</f>
        <v>USD</v>
      </c>
      <c r="Q91">
        <f>VLOOKUP(P91,'Exchange Rate Table'!A:B,2,FALSE)</f>
        <v>1</v>
      </c>
      <c r="R91">
        <v>37048</v>
      </c>
      <c r="S91">
        <f>Q91*R91</f>
        <v>37048</v>
      </c>
      <c r="T91">
        <f>ROUND(R91, 0)</f>
        <v>37048</v>
      </c>
      <c r="U91" s="7" t="s">
        <v>321</v>
      </c>
      <c r="V91">
        <f>VALUE(U91)</f>
        <v>23000</v>
      </c>
      <c r="W91" t="s">
        <v>322</v>
      </c>
      <c r="X91" t="s">
        <v>122</v>
      </c>
      <c r="Y91" t="str">
        <f>CONCATENATE(W91,", ",X91)</f>
        <v>Oshkosh, WI</v>
      </c>
      <c r="Z91" t="s">
        <v>41</v>
      </c>
      <c r="AA91" t="str">
        <f>TRIM(Z91)</f>
        <v>United States</v>
      </c>
      <c r="AB91" t="s">
        <v>58</v>
      </c>
      <c r="AC91">
        <f>LEN("https://www.kickstarter.com/discover/categories/games/")</f>
        <v>54</v>
      </c>
      <c r="AD91" t="str">
        <f>RIGHT(AB91,LEN(AB91)-54)</f>
        <v>tabletop%20games</v>
      </c>
      <c r="AE91" t="str">
        <f>SUBSTITUTE(AD91,"%20"," ")</f>
        <v>tabletop games</v>
      </c>
      <c r="AF91" s="8" t="b">
        <v>0</v>
      </c>
      <c r="AG91" s="8" t="str">
        <f>LOWER(AF91)</f>
        <v>false</v>
      </c>
      <c r="AH91" t="s">
        <v>280</v>
      </c>
      <c r="AJ91" s="18">
        <v>7402</v>
      </c>
      <c r="AK91" s="16"/>
      <c r="AL91" s="16"/>
      <c r="AM91" s="16"/>
      <c r="AN91" s="16"/>
      <c r="AO91" s="16"/>
    </row>
    <row r="92" spans="1:41">
      <c r="A92" s="5">
        <v>1325891740</v>
      </c>
      <c r="B92" s="5" t="str">
        <f t="shared" si="10"/>
        <v>1325891740</v>
      </c>
      <c r="C92" t="s">
        <v>323</v>
      </c>
      <c r="D92" t="str">
        <f>PROPER(C92)</f>
        <v>Camp Pinetop</v>
      </c>
      <c r="E92" s="6">
        <v>43649</v>
      </c>
      <c r="F92" s="6">
        <v>43693</v>
      </c>
      <c r="G92" s="6">
        <v>43724</v>
      </c>
      <c r="H92" s="13">
        <f>G92-F92</f>
        <v>31</v>
      </c>
      <c r="I92" s="13">
        <f t="shared" si="7"/>
        <v>5</v>
      </c>
      <c r="J92" s="13" t="str">
        <f t="shared" si="8"/>
        <v>Week Day</v>
      </c>
      <c r="K92" s="13">
        <f>MONTH(F92)</f>
        <v>8</v>
      </c>
      <c r="L92" s="6" t="b">
        <f>EXACT(E92,F92)</f>
        <v>0</v>
      </c>
      <c r="M92">
        <v>620</v>
      </c>
      <c r="N92">
        <f t="shared" si="9"/>
        <v>620</v>
      </c>
      <c r="O92" t="s">
        <v>53</v>
      </c>
      <c r="P92" t="str">
        <f>UPPER(O92)</f>
        <v>GBP</v>
      </c>
      <c r="Q92">
        <f>VLOOKUP(P92,'Exchange Rate Table'!A:B,2,FALSE)</f>
        <v>1.49576325</v>
      </c>
      <c r="R92">
        <v>24249</v>
      </c>
      <c r="S92">
        <f>Q92*R92</f>
        <v>36270.763049250003</v>
      </c>
      <c r="T92">
        <f>ROUND(R92, 0)</f>
        <v>24249</v>
      </c>
      <c r="U92" s="7" t="s">
        <v>146</v>
      </c>
      <c r="V92">
        <f>VALUE(U92)</f>
        <v>1000</v>
      </c>
      <c r="W92" t="s">
        <v>324</v>
      </c>
      <c r="X92" t="s">
        <v>325</v>
      </c>
      <c r="Y92" t="str">
        <f>CONCATENATE(W92,", ",X92)</f>
        <v>Edinburgh, Scotland</v>
      </c>
      <c r="Z92" t="s">
        <v>57</v>
      </c>
      <c r="AA92" t="str">
        <f>TRIM(Z92)</f>
        <v>United Kingdom</v>
      </c>
      <c r="AB92" t="s">
        <v>58</v>
      </c>
      <c r="AC92">
        <f>LEN("https://www.kickstarter.com/discover/categories/games/")</f>
        <v>54</v>
      </c>
      <c r="AD92" t="str">
        <f>RIGHT(AB92,LEN(AB92)-54)</f>
        <v>tabletop%20games</v>
      </c>
      <c r="AE92" t="str">
        <f>SUBSTITUTE(AD92,"%20"," ")</f>
        <v>tabletop games</v>
      </c>
      <c r="AF92" s="8" t="b">
        <v>0</v>
      </c>
      <c r="AG92" s="8" t="str">
        <f>LOWER(AF92)</f>
        <v>false</v>
      </c>
      <c r="AH92" t="s">
        <v>43</v>
      </c>
      <c r="AJ92" s="18">
        <v>8522</v>
      </c>
      <c r="AK92" s="16"/>
      <c r="AL92" s="16"/>
      <c r="AM92" s="16"/>
      <c r="AN92" s="16"/>
      <c r="AO92" s="16"/>
    </row>
    <row r="93" spans="1:41">
      <c r="A93" s="5">
        <v>1336875210</v>
      </c>
      <c r="B93" s="5" t="str">
        <f t="shared" si="10"/>
        <v>1336875210</v>
      </c>
      <c r="C93" t="s">
        <v>326</v>
      </c>
      <c r="D93" t="str">
        <f>PROPER(C93)</f>
        <v>Montana: Goldrush &amp; Longhorns (Heritage Edition Expansions)</v>
      </c>
      <c r="E93" s="6">
        <v>43649</v>
      </c>
      <c r="F93" s="6">
        <v>43781</v>
      </c>
      <c r="G93" s="6">
        <v>43809</v>
      </c>
      <c r="H93" s="13">
        <f>G93-F93</f>
        <v>28</v>
      </c>
      <c r="I93" s="13">
        <f t="shared" si="7"/>
        <v>2</v>
      </c>
      <c r="J93" s="13" t="str">
        <f t="shared" si="8"/>
        <v>Week Day</v>
      </c>
      <c r="K93" s="13">
        <f>MONTH(F93)</f>
        <v>11</v>
      </c>
      <c r="L93" s="6" t="b">
        <f>EXACT(E93,F93)</f>
        <v>0</v>
      </c>
      <c r="M93">
        <v>77</v>
      </c>
      <c r="N93">
        <f t="shared" si="9"/>
        <v>77</v>
      </c>
      <c r="O93" t="s">
        <v>72</v>
      </c>
      <c r="P93" t="str">
        <f>UPPER(O93)</f>
        <v>EUR</v>
      </c>
      <c r="Q93">
        <f>VLOOKUP(P93,'Exchange Rate Table'!A:B,2,FALSE)</f>
        <v>1.16955371</v>
      </c>
      <c r="R93">
        <v>1411</v>
      </c>
      <c r="S93">
        <f>Q93*R93</f>
        <v>1650.24028481</v>
      </c>
      <c r="T93">
        <f>ROUND(R93, 0)</f>
        <v>1411</v>
      </c>
      <c r="U93" s="7" t="s">
        <v>164</v>
      </c>
      <c r="V93">
        <f>VALUE(U93)</f>
        <v>500</v>
      </c>
      <c r="W93" t="s">
        <v>327</v>
      </c>
      <c r="X93" t="s">
        <v>328</v>
      </c>
      <c r="Y93" t="str">
        <f>CONCATENATE(W93,", ",X93)</f>
        <v>Cologne, North Rhine-Westphalia</v>
      </c>
      <c r="Z93" t="s">
        <v>207</v>
      </c>
      <c r="AA93" t="str">
        <f>TRIM(Z93)</f>
        <v>Germany</v>
      </c>
      <c r="AB93" t="s">
        <v>58</v>
      </c>
      <c r="AC93">
        <f>LEN("https://www.kickstarter.com/discover/categories/games/")</f>
        <v>54</v>
      </c>
      <c r="AD93" t="str">
        <f>RIGHT(AB93,LEN(AB93)-54)</f>
        <v>tabletop%20games</v>
      </c>
      <c r="AE93" t="str">
        <f>SUBSTITUTE(AD93,"%20"," ")</f>
        <v>tabletop games</v>
      </c>
      <c r="AF93" s="8" t="b">
        <v>0</v>
      </c>
      <c r="AG93" s="8" t="str">
        <f>LOWER(AF93)</f>
        <v>false</v>
      </c>
      <c r="AH93" t="s">
        <v>280</v>
      </c>
      <c r="AJ93" s="18">
        <v>8927</v>
      </c>
      <c r="AK93" s="16"/>
      <c r="AL93" s="16"/>
      <c r="AM93" s="16"/>
      <c r="AN93" s="16"/>
      <c r="AO93" s="16"/>
    </row>
    <row r="94" spans="1:41">
      <c r="A94" s="5">
        <v>1342385545</v>
      </c>
      <c r="B94" s="5" t="str">
        <f t="shared" si="10"/>
        <v>1342385545</v>
      </c>
      <c r="C94" t="s">
        <v>329</v>
      </c>
      <c r="D94" t="str">
        <f>PROPER(C94)</f>
        <v>The Spy Game: 5Th Edition Action/Espionage Roleplaying Game</v>
      </c>
      <c r="E94" s="6">
        <v>43649</v>
      </c>
      <c r="F94" s="6">
        <v>43709</v>
      </c>
      <c r="G94" s="6">
        <v>43737</v>
      </c>
      <c r="H94" s="13">
        <f>G94-F94</f>
        <v>28</v>
      </c>
      <c r="I94" s="13">
        <f t="shared" si="7"/>
        <v>7</v>
      </c>
      <c r="J94" s="13" t="str">
        <f t="shared" si="8"/>
        <v>Weekend</v>
      </c>
      <c r="K94" s="13">
        <f>MONTH(F94)</f>
        <v>9</v>
      </c>
      <c r="L94" s="6" t="b">
        <f>EXACT(E94,F94)</f>
        <v>0</v>
      </c>
      <c r="M94">
        <v>812</v>
      </c>
      <c r="N94">
        <f t="shared" si="9"/>
        <v>812</v>
      </c>
      <c r="O94" t="s">
        <v>37</v>
      </c>
      <c r="P94" t="str">
        <f>UPPER(O94)</f>
        <v>USD</v>
      </c>
      <c r="Q94">
        <f>VLOOKUP(P94,'Exchange Rate Table'!A:B,2,FALSE)</f>
        <v>1</v>
      </c>
      <c r="R94">
        <v>45701.01</v>
      </c>
      <c r="S94">
        <f>Q94*R94</f>
        <v>45701.01</v>
      </c>
      <c r="T94">
        <f>ROUND(R94, 0)</f>
        <v>45701</v>
      </c>
      <c r="U94" s="7" t="s">
        <v>79</v>
      </c>
      <c r="V94">
        <f>VALUE(U94)</f>
        <v>5000</v>
      </c>
      <c r="W94" t="s">
        <v>330</v>
      </c>
      <c r="X94" t="s">
        <v>194</v>
      </c>
      <c r="Y94" t="str">
        <f>CONCATENATE(W94,", ",X94)</f>
        <v>Austin, TX</v>
      </c>
      <c r="Z94" t="s">
        <v>41</v>
      </c>
      <c r="AA94" t="str">
        <f>TRIM(Z94)</f>
        <v>United States</v>
      </c>
      <c r="AB94" t="s">
        <v>58</v>
      </c>
      <c r="AC94">
        <f>LEN("https://www.kickstarter.com/discover/categories/games/")</f>
        <v>54</v>
      </c>
      <c r="AD94" t="str">
        <f>RIGHT(AB94,LEN(AB94)-54)</f>
        <v>tabletop%20games</v>
      </c>
      <c r="AE94" t="str">
        <f>SUBSTITUTE(AD94,"%20"," ")</f>
        <v>tabletop games</v>
      </c>
      <c r="AF94" s="8" t="b">
        <v>0</v>
      </c>
      <c r="AG94" s="8" t="str">
        <f>LOWER(AF94)</f>
        <v>false</v>
      </c>
      <c r="AH94" t="s">
        <v>43</v>
      </c>
      <c r="AJ94" s="18">
        <v>9244.75</v>
      </c>
      <c r="AK94" s="16"/>
      <c r="AL94" s="16"/>
      <c r="AM94" s="16"/>
      <c r="AN94" s="16"/>
      <c r="AO94" s="16"/>
    </row>
    <row r="95" spans="1:41">
      <c r="A95" s="5">
        <v>1361589531</v>
      </c>
      <c r="B95" s="5" t="str">
        <f t="shared" si="10"/>
        <v>1361589531</v>
      </c>
      <c r="C95" t="s">
        <v>331</v>
      </c>
      <c r="D95" t="str">
        <f>PROPER(C95)</f>
        <v>Space Raiders - The Space Goblins!</v>
      </c>
      <c r="E95" s="6">
        <v>43650</v>
      </c>
      <c r="F95" s="6">
        <v>43756</v>
      </c>
      <c r="G95" s="6">
        <v>43786</v>
      </c>
      <c r="H95" s="13">
        <f>G95-F95</f>
        <v>30</v>
      </c>
      <c r="I95" s="13">
        <f t="shared" si="7"/>
        <v>5</v>
      </c>
      <c r="J95" s="13" t="str">
        <f t="shared" si="8"/>
        <v>Week Day</v>
      </c>
      <c r="K95" s="13">
        <f>MONTH(F95)</f>
        <v>10</v>
      </c>
      <c r="L95" s="6" t="b">
        <f>EXACT(E95,F95)</f>
        <v>0</v>
      </c>
      <c r="M95">
        <v>15</v>
      </c>
      <c r="N95">
        <f t="shared" si="9"/>
        <v>15</v>
      </c>
      <c r="O95" t="s">
        <v>37</v>
      </c>
      <c r="P95" t="str">
        <f>UPPER(O95)</f>
        <v>USD</v>
      </c>
      <c r="Q95">
        <f>VLOOKUP(P95,'Exchange Rate Table'!A:B,2,FALSE)</f>
        <v>1</v>
      </c>
      <c r="R95">
        <v>915</v>
      </c>
      <c r="S95">
        <f>Q95*R95</f>
        <v>915</v>
      </c>
      <c r="T95">
        <f>ROUND(R95, 0)</f>
        <v>915</v>
      </c>
      <c r="U95" s="7" t="s">
        <v>238</v>
      </c>
      <c r="V95">
        <f>VALUE(U95)</f>
        <v>7500</v>
      </c>
      <c r="W95" t="s">
        <v>332</v>
      </c>
      <c r="X95" t="s">
        <v>333</v>
      </c>
      <c r="Y95" t="str">
        <f>CONCATENATE(W95,", ",X95)</f>
        <v>New Albany, IN</v>
      </c>
      <c r="Z95" t="s">
        <v>41</v>
      </c>
      <c r="AA95" t="str">
        <f>TRIM(Z95)</f>
        <v>United States</v>
      </c>
      <c r="AB95" t="s">
        <v>58</v>
      </c>
      <c r="AC95">
        <f>LEN("https://www.kickstarter.com/discover/categories/games/")</f>
        <v>54</v>
      </c>
      <c r="AD95" t="str">
        <f>RIGHT(AB95,LEN(AB95)-54)</f>
        <v>tabletop%20games</v>
      </c>
      <c r="AE95" t="str">
        <f>SUBSTITUTE(AD95,"%20"," ")</f>
        <v>tabletop games</v>
      </c>
      <c r="AF95" s="8" t="b">
        <v>0</v>
      </c>
      <c r="AG95" s="8" t="str">
        <f>LOWER(AF95)</f>
        <v>false</v>
      </c>
      <c r="AH95" t="s">
        <v>280</v>
      </c>
      <c r="AJ95" s="18">
        <v>9766</v>
      </c>
      <c r="AK95" s="16"/>
      <c r="AL95" s="16"/>
      <c r="AM95" s="16"/>
      <c r="AN95" s="16"/>
      <c r="AO95" s="16"/>
    </row>
    <row r="96" spans="1:41">
      <c r="A96" s="5">
        <v>1384863013</v>
      </c>
      <c r="B96" s="5" t="str">
        <f t="shared" si="10"/>
        <v>1384863013</v>
      </c>
      <c r="C96" t="s">
        <v>334</v>
      </c>
      <c r="D96" t="str">
        <f>PROPER(C96)</f>
        <v>Insecta; A Transformations Deck Of Intricate Insects</v>
      </c>
      <c r="E96" s="6">
        <v>43650</v>
      </c>
      <c r="F96" s="6">
        <v>43767</v>
      </c>
      <c r="G96" s="6">
        <v>43791</v>
      </c>
      <c r="H96" s="13">
        <f>G96-F96</f>
        <v>24</v>
      </c>
      <c r="I96" s="13">
        <f t="shared" si="7"/>
        <v>2</v>
      </c>
      <c r="J96" s="13" t="str">
        <f t="shared" si="8"/>
        <v>Week Day</v>
      </c>
      <c r="K96" s="13">
        <f>MONTH(F96)</f>
        <v>10</v>
      </c>
      <c r="L96" s="6" t="b">
        <f>EXACT(E96,F96)</f>
        <v>0</v>
      </c>
      <c r="M96">
        <v>42</v>
      </c>
      <c r="N96">
        <f t="shared" si="9"/>
        <v>42</v>
      </c>
      <c r="O96" t="s">
        <v>60</v>
      </c>
      <c r="P96" t="str">
        <f>UPPER(O96)</f>
        <v>CAD</v>
      </c>
      <c r="Q96">
        <f>VLOOKUP(P96,'Exchange Rate Table'!A:B,2,FALSE)</f>
        <v>0.76932900999999998</v>
      </c>
      <c r="R96">
        <v>1784.29</v>
      </c>
      <c r="S96">
        <f>Q96*R96</f>
        <v>1372.7060592528999</v>
      </c>
      <c r="T96">
        <f>ROUND(R96, 0)</f>
        <v>1784</v>
      </c>
      <c r="U96" s="7" t="s">
        <v>113</v>
      </c>
      <c r="V96">
        <f>VALUE(U96)</f>
        <v>9000</v>
      </c>
      <c r="W96" t="s">
        <v>293</v>
      </c>
      <c r="X96" t="s">
        <v>294</v>
      </c>
      <c r="Y96" t="str">
        <f>CONCATENATE(W96,", ",X96)</f>
        <v>Toronto, ON</v>
      </c>
      <c r="Z96" t="s">
        <v>64</v>
      </c>
      <c r="AA96" t="str">
        <f>TRIM(Z96)</f>
        <v>Canada</v>
      </c>
      <c r="AB96" t="s">
        <v>58</v>
      </c>
      <c r="AC96">
        <f>LEN("https://www.kickstarter.com/discover/categories/games/")</f>
        <v>54</v>
      </c>
      <c r="AD96" t="str">
        <f>RIGHT(AB96,LEN(AB96)-54)</f>
        <v>tabletop%20games</v>
      </c>
      <c r="AE96" t="str">
        <f>SUBSTITUTE(AD96,"%20"," ")</f>
        <v>tabletop games</v>
      </c>
      <c r="AF96" s="8" t="b">
        <v>0</v>
      </c>
      <c r="AG96" s="8" t="str">
        <f>LOWER(AF96)</f>
        <v>false</v>
      </c>
      <c r="AH96" t="s">
        <v>280</v>
      </c>
      <c r="AJ96" s="18">
        <v>9831</v>
      </c>
      <c r="AK96" s="16"/>
      <c r="AL96" s="16"/>
      <c r="AM96" s="16"/>
      <c r="AN96" s="16"/>
      <c r="AO96" s="16"/>
    </row>
    <row r="97" spans="1:41">
      <c r="A97" s="5">
        <v>1388623378</v>
      </c>
      <c r="B97" s="5" t="str">
        <f t="shared" si="10"/>
        <v>1388623378</v>
      </c>
      <c r="C97" t="s">
        <v>335</v>
      </c>
      <c r="D97" t="str">
        <f>PROPER(C97)</f>
        <v>Mine City</v>
      </c>
      <c r="E97" s="6">
        <v>43651</v>
      </c>
      <c r="F97" s="6">
        <v>43734</v>
      </c>
      <c r="G97" s="6">
        <v>43764</v>
      </c>
      <c r="H97" s="13">
        <f>G97-F97</f>
        <v>30</v>
      </c>
      <c r="I97" s="13">
        <f t="shared" si="7"/>
        <v>4</v>
      </c>
      <c r="J97" s="13" t="str">
        <f t="shared" si="8"/>
        <v>Week Day</v>
      </c>
      <c r="K97" s="13">
        <f>MONTH(F97)</f>
        <v>9</v>
      </c>
      <c r="L97" s="6" t="b">
        <f>EXACT(E97,F97)</f>
        <v>0</v>
      </c>
      <c r="M97">
        <v>314</v>
      </c>
      <c r="N97">
        <f t="shared" si="9"/>
        <v>314</v>
      </c>
      <c r="O97" t="s">
        <v>37</v>
      </c>
      <c r="P97" t="str">
        <f>UPPER(O97)</f>
        <v>USD</v>
      </c>
      <c r="Q97">
        <f>VLOOKUP(P97,'Exchange Rate Table'!A:B,2,FALSE)</f>
        <v>1</v>
      </c>
      <c r="R97">
        <v>58293</v>
      </c>
      <c r="S97">
        <f>Q97*R97</f>
        <v>58293</v>
      </c>
      <c r="T97">
        <f>ROUND(R97, 0)</f>
        <v>58293</v>
      </c>
      <c r="U97" s="7" t="s">
        <v>79</v>
      </c>
      <c r="V97">
        <f>VALUE(U97)</f>
        <v>5000</v>
      </c>
      <c r="W97" t="s">
        <v>336</v>
      </c>
      <c r="X97" t="s">
        <v>337</v>
      </c>
      <c r="Y97" t="str">
        <f>CONCATENATE(W97,", ",X97)</f>
        <v>Nashville, TN</v>
      </c>
      <c r="Z97" t="s">
        <v>41</v>
      </c>
      <c r="AA97" t="str">
        <f>TRIM(Z97)</f>
        <v>United States</v>
      </c>
      <c r="AB97" t="s">
        <v>58</v>
      </c>
      <c r="AC97">
        <f>LEN("https://www.kickstarter.com/discover/categories/games/")</f>
        <v>54</v>
      </c>
      <c r="AD97" t="str">
        <f>RIGHT(AB97,LEN(AB97)-54)</f>
        <v>tabletop%20games</v>
      </c>
      <c r="AE97" t="str">
        <f>SUBSTITUTE(AD97,"%20"," ")</f>
        <v>tabletop games</v>
      </c>
      <c r="AF97" s="8" t="b">
        <v>0</v>
      </c>
      <c r="AG97" s="8" t="str">
        <f>LOWER(AF97)</f>
        <v>false</v>
      </c>
      <c r="AH97" t="s">
        <v>43</v>
      </c>
      <c r="AJ97" s="18">
        <v>10558</v>
      </c>
      <c r="AK97" s="16"/>
      <c r="AL97" s="16"/>
      <c r="AM97" s="16"/>
      <c r="AN97" s="16"/>
      <c r="AO97" s="16"/>
    </row>
    <row r="98" spans="1:41">
      <c r="A98" s="5">
        <v>1389755413</v>
      </c>
      <c r="B98" s="5" t="str">
        <f t="shared" si="10"/>
        <v>1389755413</v>
      </c>
      <c r="C98" t="s">
        <v>338</v>
      </c>
      <c r="E98" s="6">
        <v>43654</v>
      </c>
      <c r="F98" s="6">
        <v>43725</v>
      </c>
      <c r="G98" s="6">
        <v>43755</v>
      </c>
      <c r="H98" s="13">
        <f>G98-F98</f>
        <v>30</v>
      </c>
      <c r="I98" s="13">
        <f t="shared" ref="I98:I129" si="11">WEEKDAY(F98, 2)</f>
        <v>2</v>
      </c>
      <c r="J98" s="13" t="str">
        <f t="shared" ref="J98:J129" si="12">IF(I98&gt;5, "Weekend", "Week Day")</f>
        <v>Week Day</v>
      </c>
      <c r="K98" s="13">
        <f>MONTH(F98)</f>
        <v>9</v>
      </c>
      <c r="L98" s="6" t="b">
        <f>EXACT(E98,F98)</f>
        <v>0</v>
      </c>
      <c r="M98">
        <v>30</v>
      </c>
      <c r="N98">
        <f t="shared" ref="N98:N129" si="13">IF(OR(K98=1,K98=9), IF(AND(W98="Vancouver",AA98="Canada"), M98+5, M98), M98)</f>
        <v>30</v>
      </c>
      <c r="O98" t="s">
        <v>37</v>
      </c>
      <c r="P98" t="str">
        <f>UPPER(O98)</f>
        <v>USD</v>
      </c>
      <c r="Q98">
        <f>VLOOKUP(P98,'Exchange Rate Table'!A:B,2,FALSE)</f>
        <v>1</v>
      </c>
      <c r="R98">
        <v>2123</v>
      </c>
      <c r="S98">
        <f>Q98*R98</f>
        <v>2123</v>
      </c>
      <c r="T98">
        <f>ROUND(R98, 0)</f>
        <v>2123</v>
      </c>
      <c r="U98" s="7" t="s">
        <v>146</v>
      </c>
      <c r="V98">
        <f>VALUE(U98)</f>
        <v>1000</v>
      </c>
      <c r="W98" t="s">
        <v>339</v>
      </c>
      <c r="X98" t="s">
        <v>182</v>
      </c>
      <c r="Y98" t="str">
        <f>CONCATENATE(W98,", ",X98)</f>
        <v>Fort Collins, CO</v>
      </c>
      <c r="Z98" t="s">
        <v>41</v>
      </c>
      <c r="AA98" t="str">
        <f>TRIM(Z98)</f>
        <v>United States</v>
      </c>
      <c r="AB98" t="s">
        <v>58</v>
      </c>
      <c r="AC98">
        <f>LEN("https://www.kickstarter.com/discover/categories/games/")</f>
        <v>54</v>
      </c>
      <c r="AD98" t="str">
        <f>RIGHT(AB98,LEN(AB98)-54)</f>
        <v>tabletop%20games</v>
      </c>
      <c r="AE98" t="str">
        <f>SUBSTITUTE(AD98,"%20"," ")</f>
        <v>tabletop games</v>
      </c>
      <c r="AF98" s="8" t="b">
        <v>0</v>
      </c>
      <c r="AG98" s="8" t="str">
        <f>LOWER(AF98)</f>
        <v>false</v>
      </c>
      <c r="AH98" t="s">
        <v>43</v>
      </c>
      <c r="AJ98" s="18">
        <v>10986</v>
      </c>
      <c r="AK98" s="16"/>
      <c r="AL98" s="16"/>
      <c r="AM98" s="16"/>
      <c r="AN98" s="16"/>
      <c r="AO98" s="16"/>
    </row>
    <row r="99" spans="1:41">
      <c r="A99" s="5">
        <v>1428354446</v>
      </c>
      <c r="B99" s="5" t="str">
        <f t="shared" si="10"/>
        <v>1428354446</v>
      </c>
      <c r="C99" t="s">
        <v>340</v>
      </c>
      <c r="D99" t="str">
        <f>PROPER(C99)</f>
        <v>The Few And Cursed: Board Game</v>
      </c>
      <c r="E99" s="6">
        <v>43661</v>
      </c>
      <c r="F99" s="6">
        <v>43668</v>
      </c>
      <c r="G99" s="6">
        <v>43695</v>
      </c>
      <c r="H99" s="13">
        <f>G99-F99</f>
        <v>27</v>
      </c>
      <c r="I99" s="13">
        <f t="shared" si="11"/>
        <v>1</v>
      </c>
      <c r="J99" s="13" t="str">
        <f t="shared" si="12"/>
        <v>Week Day</v>
      </c>
      <c r="K99" s="13">
        <f>MONTH(F99)</f>
        <v>7</v>
      </c>
      <c r="L99" s="6" t="b">
        <f>EXACT(E99,F99)</f>
        <v>0</v>
      </c>
      <c r="M99">
        <v>160</v>
      </c>
      <c r="N99">
        <f t="shared" si="13"/>
        <v>160</v>
      </c>
      <c r="O99" t="s">
        <v>72</v>
      </c>
      <c r="P99" t="str">
        <f>UPPER(O99)</f>
        <v>EUR</v>
      </c>
      <c r="Q99">
        <f>VLOOKUP(P99,'Exchange Rate Table'!A:B,2,FALSE)</f>
        <v>1.16955371</v>
      </c>
      <c r="R99">
        <v>9831</v>
      </c>
      <c r="S99">
        <f>Q99*R99</f>
        <v>11497.882523009999</v>
      </c>
      <c r="T99">
        <f>ROUND(R99, 0)</f>
        <v>9831</v>
      </c>
      <c r="U99" s="7" t="s">
        <v>146</v>
      </c>
      <c r="V99">
        <f>VALUE(U99)</f>
        <v>1000</v>
      </c>
      <c r="W99" t="s">
        <v>205</v>
      </c>
      <c r="X99" t="s">
        <v>206</v>
      </c>
      <c r="Y99" t="str">
        <f>CONCATENATE(W99,", ",X99)</f>
        <v>Krempe, Schleswig-Holstein</v>
      </c>
      <c r="Z99" t="s">
        <v>207</v>
      </c>
      <c r="AA99" t="str">
        <f>TRIM(Z99)</f>
        <v>Germany</v>
      </c>
      <c r="AB99" t="s">
        <v>58</v>
      </c>
      <c r="AC99">
        <f>LEN("https://www.kickstarter.com/discover/categories/games/")</f>
        <v>54</v>
      </c>
      <c r="AD99" t="str">
        <f>RIGHT(AB99,LEN(AB99)-54)</f>
        <v>tabletop%20games</v>
      </c>
      <c r="AE99" t="str">
        <f>SUBSTITUTE(AD99,"%20"," ")</f>
        <v>tabletop games</v>
      </c>
      <c r="AF99" s="8" t="b">
        <v>0</v>
      </c>
      <c r="AG99" s="8" t="str">
        <f>LOWER(AF99)</f>
        <v>false</v>
      </c>
      <c r="AH99" t="s">
        <v>43</v>
      </c>
      <c r="AJ99" s="18">
        <v>11063</v>
      </c>
      <c r="AK99" s="16"/>
      <c r="AL99" s="16"/>
      <c r="AM99" s="16"/>
      <c r="AN99" s="16"/>
      <c r="AO99" s="16"/>
    </row>
    <row r="100" spans="1:41">
      <c r="A100" s="5">
        <v>1430382857</v>
      </c>
      <c r="B100" s="5" t="str">
        <f t="shared" si="10"/>
        <v>1430382857</v>
      </c>
      <c r="C100" t="s">
        <v>341</v>
      </c>
      <c r="D100" t="str">
        <f>PROPER(C100)</f>
        <v>Capers Covert Rpg</v>
      </c>
      <c r="E100" s="6">
        <v>43661</v>
      </c>
      <c r="F100" s="6">
        <v>43725</v>
      </c>
      <c r="G100" s="6">
        <v>43749</v>
      </c>
      <c r="H100" s="13">
        <f>G100-F100</f>
        <v>24</v>
      </c>
      <c r="I100" s="13">
        <f t="shared" si="11"/>
        <v>2</v>
      </c>
      <c r="J100" s="13" t="str">
        <f t="shared" si="12"/>
        <v>Week Day</v>
      </c>
      <c r="K100" s="13">
        <f>MONTH(F100)</f>
        <v>9</v>
      </c>
      <c r="L100" s="6" t="b">
        <f>EXACT(E100,F100)</f>
        <v>0</v>
      </c>
      <c r="M100">
        <v>306</v>
      </c>
      <c r="N100">
        <f t="shared" si="13"/>
        <v>306</v>
      </c>
      <c r="O100" t="s">
        <v>37</v>
      </c>
      <c r="P100" t="str">
        <f>UPPER(O100)</f>
        <v>USD</v>
      </c>
      <c r="Q100">
        <f>VLOOKUP(P100,'Exchange Rate Table'!A:B,2,FALSE)</f>
        <v>1</v>
      </c>
      <c r="R100">
        <v>5585</v>
      </c>
      <c r="S100">
        <f>Q100*R100</f>
        <v>5585</v>
      </c>
      <c r="T100">
        <f>ROUND(R100, 0)</f>
        <v>5585</v>
      </c>
      <c r="U100" s="7" t="s">
        <v>146</v>
      </c>
      <c r="V100">
        <f>VALUE(U100)</f>
        <v>1000</v>
      </c>
      <c r="W100" t="s">
        <v>342</v>
      </c>
      <c r="X100" t="s">
        <v>252</v>
      </c>
      <c r="Y100" t="str">
        <f>CONCATENATE(W100,", ",X100)</f>
        <v>Marietta, GA</v>
      </c>
      <c r="Z100" t="s">
        <v>41</v>
      </c>
      <c r="AA100" t="str">
        <f>TRIM(Z100)</f>
        <v>United States</v>
      </c>
      <c r="AB100" t="s">
        <v>58</v>
      </c>
      <c r="AC100">
        <f>LEN("https://www.kickstarter.com/discover/categories/games/")</f>
        <v>54</v>
      </c>
      <c r="AD100" t="str">
        <f>RIGHT(AB100,LEN(AB100)-54)</f>
        <v>tabletop%20games</v>
      </c>
      <c r="AE100" t="str">
        <f>SUBSTITUTE(AD100,"%20"," ")</f>
        <v>tabletop games</v>
      </c>
      <c r="AF100" s="8" t="b">
        <v>0</v>
      </c>
      <c r="AG100" s="8" t="str">
        <f>LOWER(AF100)</f>
        <v>false</v>
      </c>
      <c r="AH100" t="s">
        <v>43</v>
      </c>
      <c r="AJ100" s="18">
        <v>12400</v>
      </c>
      <c r="AK100" s="16"/>
      <c r="AL100" s="16"/>
      <c r="AM100" s="16"/>
      <c r="AN100" s="16"/>
      <c r="AO100" s="16"/>
    </row>
    <row r="101" spans="1:41">
      <c r="A101" s="5">
        <v>1433669141</v>
      </c>
      <c r="B101" s="5" t="str">
        <f t="shared" si="10"/>
        <v>1433669141</v>
      </c>
      <c r="C101" t="s">
        <v>343</v>
      </c>
      <c r="D101" t="str">
        <f>PROPER(C101)</f>
        <v>American Civil War Printable Terrain Tabletop And Modeling</v>
      </c>
      <c r="E101" s="6">
        <v>43662</v>
      </c>
      <c r="F101" s="6">
        <v>43774</v>
      </c>
      <c r="G101" s="6">
        <v>43797</v>
      </c>
      <c r="H101" s="13">
        <f>G101-F101</f>
        <v>23</v>
      </c>
      <c r="I101" s="13">
        <f t="shared" si="11"/>
        <v>2</v>
      </c>
      <c r="J101" s="13" t="str">
        <f t="shared" si="12"/>
        <v>Week Day</v>
      </c>
      <c r="K101" s="13">
        <f>MONTH(F101)</f>
        <v>11</v>
      </c>
      <c r="L101" s="6" t="b">
        <f>EXACT(E101,F101)</f>
        <v>0</v>
      </c>
      <c r="M101">
        <v>1609</v>
      </c>
      <c r="N101">
        <f t="shared" si="13"/>
        <v>1609</v>
      </c>
      <c r="O101" t="s">
        <v>53</v>
      </c>
      <c r="P101" t="str">
        <f>UPPER(O101)</f>
        <v>GBP</v>
      </c>
      <c r="Q101">
        <f>VLOOKUP(P101,'Exchange Rate Table'!A:B,2,FALSE)</f>
        <v>1.49576325</v>
      </c>
      <c r="R101">
        <v>136578</v>
      </c>
      <c r="S101">
        <f>Q101*R101</f>
        <v>204288.35315849999</v>
      </c>
      <c r="T101">
        <f>ROUND(R101, 0)</f>
        <v>136578</v>
      </c>
      <c r="U101" s="7" t="s">
        <v>344</v>
      </c>
      <c r="V101">
        <f>VALUE(U101)</f>
        <v>80000</v>
      </c>
      <c r="W101" t="s">
        <v>345</v>
      </c>
      <c r="X101" t="s">
        <v>346</v>
      </c>
      <c r="Y101" t="str">
        <f>CONCATENATE(W101,", ",X101)</f>
        <v>Pozna≈Ñ, Lublin</v>
      </c>
      <c r="Z101" t="s">
        <v>347</v>
      </c>
      <c r="AA101" t="str">
        <f>TRIM(Z101)</f>
        <v>Poland</v>
      </c>
      <c r="AB101" t="s">
        <v>58</v>
      </c>
      <c r="AC101">
        <f>LEN("https://www.kickstarter.com/discover/categories/games/")</f>
        <v>54</v>
      </c>
      <c r="AD101" t="str">
        <f>RIGHT(AB101,LEN(AB101)-54)</f>
        <v>tabletop%20games</v>
      </c>
      <c r="AE101" t="str">
        <f>SUBSTITUTE(AD101,"%20"," ")</f>
        <v>tabletop games</v>
      </c>
      <c r="AF101" s="8" t="b">
        <v>0</v>
      </c>
      <c r="AG101" s="8" t="str">
        <f>LOWER(AF101)</f>
        <v>false</v>
      </c>
      <c r="AH101" t="s">
        <v>280</v>
      </c>
      <c r="AJ101" s="18">
        <v>13032</v>
      </c>
      <c r="AK101" s="16"/>
      <c r="AL101" s="16"/>
      <c r="AM101" s="16"/>
      <c r="AN101" s="16"/>
      <c r="AO101" s="16"/>
    </row>
    <row r="102" spans="1:41">
      <c r="A102" s="5">
        <v>1439972235</v>
      </c>
      <c r="B102" s="5" t="str">
        <f t="shared" si="10"/>
        <v>1439972235</v>
      </c>
      <c r="C102" t="s">
        <v>348</v>
      </c>
      <c r="D102" t="str">
        <f>PROPER(C102)</f>
        <v>Spark: The Magic Of Storytelling</v>
      </c>
      <c r="E102" s="6">
        <v>43663</v>
      </c>
      <c r="F102" s="6">
        <v>43663</v>
      </c>
      <c r="G102" s="6">
        <v>43683</v>
      </c>
      <c r="H102" s="13">
        <f>G102-F102</f>
        <v>20</v>
      </c>
      <c r="I102" s="13">
        <f t="shared" si="11"/>
        <v>3</v>
      </c>
      <c r="J102" s="13" t="str">
        <f t="shared" si="12"/>
        <v>Week Day</v>
      </c>
      <c r="K102" s="13">
        <f>MONTH(F102)</f>
        <v>7</v>
      </c>
      <c r="L102" s="6" t="b">
        <f>EXACT(E102,F102)</f>
        <v>1</v>
      </c>
      <c r="M102">
        <v>7</v>
      </c>
      <c r="N102">
        <f t="shared" si="13"/>
        <v>7</v>
      </c>
      <c r="O102" t="s">
        <v>72</v>
      </c>
      <c r="P102" t="str">
        <f>UPPER(O102)</f>
        <v>EUR</v>
      </c>
      <c r="Q102">
        <f>VLOOKUP(P102,'Exchange Rate Table'!A:B,2,FALSE)</f>
        <v>1.16955371</v>
      </c>
      <c r="R102">
        <v>1004</v>
      </c>
      <c r="S102">
        <f>Q102*R102</f>
        <v>1174.2319248399999</v>
      </c>
      <c r="T102">
        <f>ROUND(R102, 0)</f>
        <v>1004</v>
      </c>
      <c r="U102" s="7" t="s">
        <v>146</v>
      </c>
      <c r="V102">
        <f>VALUE(U102)</f>
        <v>1000</v>
      </c>
      <c r="W102" t="s">
        <v>349</v>
      </c>
      <c r="X102" t="s">
        <v>349</v>
      </c>
      <c r="Y102" t="str">
        <f>CONCATENATE(W102,", ",X102)</f>
        <v>Berlin, Berlin</v>
      </c>
      <c r="Z102" t="s">
        <v>207</v>
      </c>
      <c r="AA102" t="str">
        <f>TRIM(Z102)</f>
        <v>Germany</v>
      </c>
      <c r="AB102" t="s">
        <v>42</v>
      </c>
      <c r="AC102">
        <f>LEN("https://www.kickstarter.com/discover/categories/games/")</f>
        <v>54</v>
      </c>
      <c r="AD102" t="str">
        <f>RIGHT(AB102,LEN(AB102)-54)</f>
        <v>live%20games</v>
      </c>
      <c r="AE102" t="str">
        <f>SUBSTITUTE(AD102,"%20"," ")</f>
        <v>live games</v>
      </c>
      <c r="AF102" s="8" t="b">
        <v>0</v>
      </c>
      <c r="AG102" s="8" t="str">
        <f>LOWER(AF102)</f>
        <v>false</v>
      </c>
      <c r="AH102" t="s">
        <v>350</v>
      </c>
      <c r="AJ102" s="18">
        <v>14147</v>
      </c>
      <c r="AK102" s="16"/>
      <c r="AL102" s="16"/>
      <c r="AM102" s="16"/>
      <c r="AN102" s="16"/>
      <c r="AO102" s="16"/>
    </row>
    <row r="103" spans="1:41">
      <c r="A103" s="5">
        <v>1471383303</v>
      </c>
      <c r="B103" s="5" t="str">
        <f t="shared" si="10"/>
        <v>1471383303</v>
      </c>
      <c r="C103" t="s">
        <v>351</v>
      </c>
      <c r="D103" t="str">
        <f>PROPER(C103)</f>
        <v>Heritage Luxury Playing Cards ‚Îç Printed By Cartamundi</v>
      </c>
      <c r="E103" s="6">
        <v>43663</v>
      </c>
      <c r="F103" s="6">
        <v>43683</v>
      </c>
      <c r="G103" s="6">
        <v>43704</v>
      </c>
      <c r="H103" s="13">
        <f>G103-F103</f>
        <v>21</v>
      </c>
      <c r="I103" s="13">
        <f t="shared" si="11"/>
        <v>2</v>
      </c>
      <c r="J103" s="13" t="str">
        <f t="shared" si="12"/>
        <v>Week Day</v>
      </c>
      <c r="K103" s="13">
        <f>MONTH(F103)</f>
        <v>8</v>
      </c>
      <c r="L103" s="6" t="b">
        <f>EXACT(E103,F103)</f>
        <v>0</v>
      </c>
      <c r="M103">
        <v>482</v>
      </c>
      <c r="N103">
        <f t="shared" si="13"/>
        <v>482</v>
      </c>
      <c r="O103" t="s">
        <v>53</v>
      </c>
      <c r="P103" t="str">
        <f>UPPER(O103)</f>
        <v>GBP</v>
      </c>
      <c r="Q103">
        <f>VLOOKUP(P103,'Exchange Rate Table'!A:B,2,FALSE)</f>
        <v>1.49576325</v>
      </c>
      <c r="R103">
        <v>11063</v>
      </c>
      <c r="S103">
        <f>Q103*R103</f>
        <v>16547.628834750001</v>
      </c>
      <c r="T103">
        <f>ROUND(R103, 0)</f>
        <v>11063</v>
      </c>
      <c r="U103" s="7" t="s">
        <v>54</v>
      </c>
      <c r="V103">
        <f>VALUE(U103)</f>
        <v>2000</v>
      </c>
      <c r="W103" t="s">
        <v>352</v>
      </c>
      <c r="X103" t="s">
        <v>353</v>
      </c>
      <c r="Y103" t="str">
        <f>CONCATENATE(W103,", ",X103)</f>
        <v>Bydgoszcz, Kuiavia-Pomerania</v>
      </c>
      <c r="Z103" t="s">
        <v>347</v>
      </c>
      <c r="AA103" t="str">
        <f>TRIM(Z103)</f>
        <v>Poland</v>
      </c>
      <c r="AB103" t="s">
        <v>58</v>
      </c>
      <c r="AC103">
        <f>LEN("https://www.kickstarter.com/discover/categories/games/")</f>
        <v>54</v>
      </c>
      <c r="AD103" t="str">
        <f>RIGHT(AB103,LEN(AB103)-54)</f>
        <v>tabletop%20games</v>
      </c>
      <c r="AE103" t="str">
        <f>SUBSTITUTE(AD103,"%20"," ")</f>
        <v>tabletop games</v>
      </c>
      <c r="AF103" s="8" t="b">
        <v>0</v>
      </c>
      <c r="AG103" s="8" t="str">
        <f>LOWER(AF103)</f>
        <v>false</v>
      </c>
      <c r="AH103" t="s">
        <v>43</v>
      </c>
      <c r="AJ103" s="18">
        <v>14564.5</v>
      </c>
      <c r="AK103" s="16"/>
      <c r="AL103" s="16"/>
      <c r="AM103" s="16"/>
      <c r="AN103" s="16"/>
      <c r="AO103" s="16"/>
    </row>
    <row r="104" spans="1:41">
      <c r="A104" s="5">
        <v>1475393080</v>
      </c>
      <c r="B104" s="5" t="str">
        <f t="shared" si="10"/>
        <v>1475393080</v>
      </c>
      <c r="C104" t="s">
        <v>354</v>
      </c>
      <c r="D104" t="str">
        <f>PROPER(C104)</f>
        <v>G.O.H.K (Game Of Hong Kong)</v>
      </c>
      <c r="E104" s="6">
        <v>43667</v>
      </c>
      <c r="F104" s="6">
        <v>43677</v>
      </c>
      <c r="G104" s="6">
        <v>43698</v>
      </c>
      <c r="H104" s="13">
        <f>G104-F104</f>
        <v>21</v>
      </c>
      <c r="I104" s="13">
        <f t="shared" si="11"/>
        <v>3</v>
      </c>
      <c r="J104" s="13" t="str">
        <f t="shared" si="12"/>
        <v>Week Day</v>
      </c>
      <c r="K104" s="13">
        <f>MONTH(F104)</f>
        <v>7</v>
      </c>
      <c r="L104" s="6" t="b">
        <f>EXACT(E104,F104)</f>
        <v>0</v>
      </c>
      <c r="M104">
        <v>183</v>
      </c>
      <c r="N104">
        <f t="shared" si="13"/>
        <v>183</v>
      </c>
      <c r="O104" t="s">
        <v>212</v>
      </c>
      <c r="P104" t="str">
        <f>UPPER(O104)</f>
        <v>HKD</v>
      </c>
      <c r="Q104">
        <f>VLOOKUP(P104,'Exchange Rate Table'!A:B,2,FALSE)</f>
        <v>0.12847297999999999</v>
      </c>
      <c r="R104">
        <v>24176</v>
      </c>
      <c r="S104">
        <f>Q104*R104</f>
        <v>3105.9627644799998</v>
      </c>
      <c r="T104">
        <f>ROUND(R104, 0)</f>
        <v>24176</v>
      </c>
      <c r="U104" s="7" t="s">
        <v>142</v>
      </c>
      <c r="V104">
        <f>VALUE(U104)</f>
        <v>3000</v>
      </c>
      <c r="W104" t="s">
        <v>213</v>
      </c>
      <c r="X104" t="s">
        <v>214</v>
      </c>
      <c r="Y104" t="str">
        <f>CONCATENATE(W104,", ",X104)</f>
        <v>Hong Kong, Hong Kong Island</v>
      </c>
      <c r="Z104" t="s">
        <v>215</v>
      </c>
      <c r="AA104" t="str">
        <f>TRIM(Z104)</f>
        <v>Hong Kong</v>
      </c>
      <c r="AB104" t="s">
        <v>58</v>
      </c>
      <c r="AC104">
        <f>LEN("https://www.kickstarter.com/discover/categories/games/")</f>
        <v>54</v>
      </c>
      <c r="AD104" t="str">
        <f>RIGHT(AB104,LEN(AB104)-54)</f>
        <v>tabletop%20games</v>
      </c>
      <c r="AE104" t="str">
        <f>SUBSTITUTE(AD104,"%20"," ")</f>
        <v>tabletop games</v>
      </c>
      <c r="AF104" s="8" t="b">
        <v>0</v>
      </c>
      <c r="AG104" s="8" t="str">
        <f>LOWER(AF104)</f>
        <v>false</v>
      </c>
      <c r="AH104" t="s">
        <v>43</v>
      </c>
      <c r="AJ104" s="18">
        <v>15047</v>
      </c>
      <c r="AK104" s="16"/>
      <c r="AL104" s="16"/>
      <c r="AM104" s="16"/>
      <c r="AN104" s="16"/>
      <c r="AO104" s="16"/>
    </row>
    <row r="105" spans="1:41">
      <c r="A105" s="5">
        <v>1482962260</v>
      </c>
      <c r="B105" s="5" t="str">
        <f t="shared" si="10"/>
        <v>1482962260</v>
      </c>
      <c r="C105" t="s">
        <v>355</v>
      </c>
      <c r="D105" t="str">
        <f>PROPER(C105)</f>
        <v>Blume</v>
      </c>
      <c r="E105" s="6">
        <v>43670</v>
      </c>
      <c r="F105" s="6">
        <v>43693</v>
      </c>
      <c r="G105" s="6">
        <v>43711</v>
      </c>
      <c r="H105" s="13">
        <f>G105-F105</f>
        <v>18</v>
      </c>
      <c r="I105" s="13">
        <f t="shared" si="11"/>
        <v>5</v>
      </c>
      <c r="J105" s="13" t="str">
        <f t="shared" si="12"/>
        <v>Week Day</v>
      </c>
      <c r="K105" s="13">
        <f>MONTH(F105)</f>
        <v>8</v>
      </c>
      <c r="L105" s="6" t="b">
        <f>EXACT(E105,F105)</f>
        <v>0</v>
      </c>
      <c r="M105">
        <v>29</v>
      </c>
      <c r="N105">
        <f t="shared" si="13"/>
        <v>29</v>
      </c>
      <c r="O105" t="s">
        <v>37</v>
      </c>
      <c r="P105" t="str">
        <f>UPPER(O105)</f>
        <v>USD</v>
      </c>
      <c r="Q105">
        <f>VLOOKUP(P105,'Exchange Rate Table'!A:B,2,FALSE)</f>
        <v>1</v>
      </c>
      <c r="R105">
        <v>2612</v>
      </c>
      <c r="S105">
        <f>Q105*R105</f>
        <v>2612</v>
      </c>
      <c r="T105">
        <f>ROUND(R105, 0)</f>
        <v>2612</v>
      </c>
      <c r="U105" s="7" t="s">
        <v>356</v>
      </c>
      <c r="V105">
        <f>VALUE(U105)</f>
        <v>650</v>
      </c>
      <c r="W105" t="s">
        <v>357</v>
      </c>
      <c r="X105" t="s">
        <v>358</v>
      </c>
      <c r="Y105" t="str">
        <f>CONCATENATE(W105,", ",X105)</f>
        <v>Beverly, MA</v>
      </c>
      <c r="Z105" t="s">
        <v>41</v>
      </c>
      <c r="AA105" t="str">
        <f>TRIM(Z105)</f>
        <v>United States</v>
      </c>
      <c r="AB105" t="s">
        <v>58</v>
      </c>
      <c r="AC105">
        <f>LEN("https://www.kickstarter.com/discover/categories/games/")</f>
        <v>54</v>
      </c>
      <c r="AD105" t="str">
        <f>RIGHT(AB105,LEN(AB105)-54)</f>
        <v>tabletop%20games</v>
      </c>
      <c r="AE105" t="str">
        <f>SUBSTITUTE(AD105,"%20"," ")</f>
        <v>tabletop games</v>
      </c>
      <c r="AF105" s="8" t="b">
        <v>0</v>
      </c>
      <c r="AG105" s="8" t="str">
        <f>LOWER(AF105)</f>
        <v>false</v>
      </c>
      <c r="AH105" t="s">
        <v>43</v>
      </c>
      <c r="AJ105" s="18">
        <v>15456</v>
      </c>
      <c r="AK105" s="16"/>
      <c r="AL105" s="16"/>
      <c r="AM105" s="16"/>
      <c r="AN105" s="16"/>
      <c r="AO105" s="16"/>
    </row>
    <row r="106" spans="1:41">
      <c r="A106" s="5">
        <v>1485641700</v>
      </c>
      <c r="B106" s="5" t="str">
        <f t="shared" si="10"/>
        <v>1485641700</v>
      </c>
      <c r="C106" t="s">
        <v>359</v>
      </c>
      <c r="D106" t="str">
        <f>PROPER(C106)</f>
        <v>The Road To Hell - 3D Print-Ready Models</v>
      </c>
      <c r="E106" s="6">
        <v>43670</v>
      </c>
      <c r="F106" s="6">
        <v>43676</v>
      </c>
      <c r="G106" s="6">
        <v>43690</v>
      </c>
      <c r="H106" s="13">
        <f>G106-F106</f>
        <v>14</v>
      </c>
      <c r="I106" s="13">
        <f t="shared" si="11"/>
        <v>2</v>
      </c>
      <c r="J106" s="13" t="str">
        <f t="shared" si="12"/>
        <v>Week Day</v>
      </c>
      <c r="K106" s="13">
        <f>MONTH(F106)</f>
        <v>7</v>
      </c>
      <c r="L106" s="6" t="b">
        <f>EXACT(E106,F106)</f>
        <v>0</v>
      </c>
      <c r="M106">
        <v>102</v>
      </c>
      <c r="N106">
        <f t="shared" si="13"/>
        <v>102</v>
      </c>
      <c r="O106" t="s">
        <v>37</v>
      </c>
      <c r="P106" t="str">
        <f>UPPER(O106)</f>
        <v>USD</v>
      </c>
      <c r="Q106">
        <f>VLOOKUP(P106,'Exchange Rate Table'!A:B,2,FALSE)</f>
        <v>1</v>
      </c>
      <c r="R106">
        <v>2145</v>
      </c>
      <c r="S106">
        <f>Q106*R106</f>
        <v>2145</v>
      </c>
      <c r="T106">
        <f>ROUND(R106, 0)</f>
        <v>2145</v>
      </c>
      <c r="U106" s="7" t="s">
        <v>164</v>
      </c>
      <c r="V106">
        <f>VALUE(U106)</f>
        <v>500</v>
      </c>
      <c r="W106" t="s">
        <v>360</v>
      </c>
      <c r="X106" t="s">
        <v>337</v>
      </c>
      <c r="Y106" t="str">
        <f>CONCATENATE(W106,", ",X106)</f>
        <v>Memphis, TN</v>
      </c>
      <c r="Z106" t="s">
        <v>41</v>
      </c>
      <c r="AA106" t="str">
        <f>TRIM(Z106)</f>
        <v>United States</v>
      </c>
      <c r="AB106" t="s">
        <v>58</v>
      </c>
      <c r="AC106">
        <f>LEN("https://www.kickstarter.com/discover/categories/games/")</f>
        <v>54</v>
      </c>
      <c r="AD106" t="str">
        <f>RIGHT(AB106,LEN(AB106)-54)</f>
        <v>tabletop%20games</v>
      </c>
      <c r="AE106" t="str">
        <f>SUBSTITUTE(AD106,"%20"," ")</f>
        <v>tabletop games</v>
      </c>
      <c r="AF106" s="8" t="b">
        <v>0</v>
      </c>
      <c r="AG106" s="8" t="str">
        <f>LOWER(AF106)</f>
        <v>false</v>
      </c>
      <c r="AH106" t="s">
        <v>43</v>
      </c>
      <c r="AJ106" s="18">
        <v>15805</v>
      </c>
      <c r="AK106" s="16"/>
      <c r="AL106" s="16"/>
      <c r="AM106" s="16"/>
      <c r="AN106" s="16"/>
      <c r="AO106" s="16"/>
    </row>
    <row r="107" spans="1:41">
      <c r="A107" s="5">
        <v>1487861879</v>
      </c>
      <c r="B107" s="5" t="str">
        <f t="shared" si="10"/>
        <v>1487861879</v>
      </c>
      <c r="C107" t="s">
        <v>361</v>
      </c>
      <c r="D107" t="str">
        <f>PROPER(C107)</f>
        <v>Monsters Of The Underworld For 5E</v>
      </c>
      <c r="E107" s="6">
        <v>43671</v>
      </c>
      <c r="F107" s="6">
        <v>43690</v>
      </c>
      <c r="G107" s="6">
        <v>43735</v>
      </c>
      <c r="H107" s="13">
        <f>G107-F107</f>
        <v>45</v>
      </c>
      <c r="I107" s="13">
        <f t="shared" si="11"/>
        <v>2</v>
      </c>
      <c r="J107" s="13" t="str">
        <f t="shared" si="12"/>
        <v>Week Day</v>
      </c>
      <c r="K107" s="13">
        <f>MONTH(F107)</f>
        <v>8</v>
      </c>
      <c r="L107" s="6" t="b">
        <f>EXACT(E107,F107)</f>
        <v>0</v>
      </c>
      <c r="M107">
        <v>26</v>
      </c>
      <c r="N107">
        <f t="shared" si="13"/>
        <v>26</v>
      </c>
      <c r="O107" t="s">
        <v>60</v>
      </c>
      <c r="P107" t="str">
        <f>UPPER(O107)</f>
        <v>CAD</v>
      </c>
      <c r="Q107">
        <f>VLOOKUP(P107,'Exchange Rate Table'!A:B,2,FALSE)</f>
        <v>0.76932900999999998</v>
      </c>
      <c r="R107">
        <v>1427.29</v>
      </c>
      <c r="S107">
        <f>Q107*R107</f>
        <v>1098.0556026828999</v>
      </c>
      <c r="T107">
        <f>ROUND(R107, 0)</f>
        <v>1427</v>
      </c>
      <c r="U107" s="7" t="s">
        <v>235</v>
      </c>
      <c r="V107">
        <f>VALUE(U107)</f>
        <v>20000</v>
      </c>
      <c r="W107" t="s">
        <v>362</v>
      </c>
      <c r="X107" t="s">
        <v>363</v>
      </c>
      <c r="Y107" t="str">
        <f>CONCATENATE(W107,", ",X107)</f>
        <v>Calgary, AB</v>
      </c>
      <c r="Z107" t="s">
        <v>64</v>
      </c>
      <c r="AA107" t="str">
        <f>TRIM(Z107)</f>
        <v>Canada</v>
      </c>
      <c r="AB107" t="s">
        <v>42</v>
      </c>
      <c r="AC107">
        <f>LEN("https://www.kickstarter.com/discover/categories/games/")</f>
        <v>54</v>
      </c>
      <c r="AD107" t="str">
        <f>RIGHT(AB107,LEN(AB107)-54)</f>
        <v>live%20games</v>
      </c>
      <c r="AE107" t="str">
        <f>SUBSTITUTE(AD107,"%20"," ")</f>
        <v>live games</v>
      </c>
      <c r="AF107" s="8" t="b">
        <v>0</v>
      </c>
      <c r="AG107" s="8" t="str">
        <f>LOWER(AF107)</f>
        <v>false</v>
      </c>
      <c r="AH107" t="s">
        <v>50</v>
      </c>
      <c r="AJ107" s="18">
        <v>16047</v>
      </c>
      <c r="AK107" s="16"/>
      <c r="AL107" s="16"/>
      <c r="AM107" s="16"/>
      <c r="AN107" s="16"/>
      <c r="AO107" s="16"/>
    </row>
    <row r="108" spans="1:41">
      <c r="A108" s="5">
        <v>1494377696</v>
      </c>
      <c r="B108" s="5" t="str">
        <f t="shared" si="10"/>
        <v>1494377696</v>
      </c>
      <c r="C108" t="s">
        <v>364</v>
      </c>
      <c r="D108" t="str">
        <f>PROPER(C108)</f>
        <v>Talespire</v>
      </c>
      <c r="E108" s="6">
        <v>43672</v>
      </c>
      <c r="F108" s="6">
        <v>43682</v>
      </c>
      <c r="G108" s="6">
        <v>43690</v>
      </c>
      <c r="H108" s="13">
        <f>G108-F108</f>
        <v>8</v>
      </c>
      <c r="I108" s="13">
        <f t="shared" si="11"/>
        <v>1</v>
      </c>
      <c r="J108" s="13" t="str">
        <f t="shared" si="12"/>
        <v>Week Day</v>
      </c>
      <c r="K108" s="13">
        <f>MONTH(F108)</f>
        <v>8</v>
      </c>
      <c r="L108" s="6" t="b">
        <f>EXACT(E108,F108)</f>
        <v>0</v>
      </c>
      <c r="M108">
        <v>17</v>
      </c>
      <c r="N108">
        <f t="shared" si="13"/>
        <v>17</v>
      </c>
      <c r="O108" t="s">
        <v>53</v>
      </c>
      <c r="P108" t="str">
        <f>UPPER(O108)</f>
        <v>GBP</v>
      </c>
      <c r="Q108">
        <f>VLOOKUP(P108,'Exchange Rate Table'!A:B,2,FALSE)</f>
        <v>1.49576325</v>
      </c>
      <c r="R108">
        <v>367</v>
      </c>
      <c r="S108">
        <f>Q108*R108</f>
        <v>548.94511275000002</v>
      </c>
      <c r="T108">
        <f>ROUND(R108, 0)</f>
        <v>367</v>
      </c>
      <c r="U108" s="7" t="s">
        <v>278</v>
      </c>
      <c r="V108">
        <f>VALUE(U108)</f>
        <v>20</v>
      </c>
      <c r="W108" t="s">
        <v>365</v>
      </c>
      <c r="X108" t="s">
        <v>56</v>
      </c>
      <c r="Z108" t="s">
        <v>57</v>
      </c>
      <c r="AA108" t="str">
        <f>TRIM(Z108)</f>
        <v>United Kingdom</v>
      </c>
      <c r="AB108" t="s">
        <v>58</v>
      </c>
      <c r="AC108">
        <f>LEN("https://www.kickstarter.com/discover/categories/games/")</f>
        <v>54</v>
      </c>
      <c r="AD108" t="str">
        <f>RIGHT(AB108,LEN(AB108)-54)</f>
        <v>tabletop%20games</v>
      </c>
      <c r="AE108" t="str">
        <f>SUBSTITUTE(AD108,"%20"," ")</f>
        <v>tabletop games</v>
      </c>
      <c r="AF108" s="8" t="b">
        <v>0</v>
      </c>
      <c r="AG108" s="8" t="str">
        <f>LOWER(AF108)</f>
        <v>false</v>
      </c>
      <c r="AH108" t="s">
        <v>43</v>
      </c>
      <c r="AJ108" s="18">
        <v>16854</v>
      </c>
      <c r="AK108" s="16"/>
      <c r="AL108" s="16"/>
      <c r="AM108" s="16"/>
      <c r="AN108" s="16"/>
      <c r="AO108" s="16"/>
    </row>
    <row r="109" spans="1:41">
      <c r="A109" s="5">
        <v>1511224826</v>
      </c>
      <c r="B109" s="5" t="str">
        <f t="shared" si="10"/>
        <v>1511224826</v>
      </c>
      <c r="C109" t="s">
        <v>366</v>
      </c>
      <c r="D109" t="str">
        <f>PROPER(C109)</f>
        <v>Space Base Ii -Futuristic / Apocalyptic Scenery Stls In 28Mm</v>
      </c>
      <c r="E109" s="6">
        <v>43675</v>
      </c>
      <c r="F109" s="6">
        <v>43709</v>
      </c>
      <c r="G109" s="6">
        <v>43739</v>
      </c>
      <c r="H109" s="13">
        <f>G109-F109</f>
        <v>30</v>
      </c>
      <c r="I109" s="13">
        <f t="shared" si="11"/>
        <v>7</v>
      </c>
      <c r="J109" s="13" t="str">
        <f t="shared" si="12"/>
        <v>Weekend</v>
      </c>
      <c r="K109" s="13">
        <f>MONTH(F109)</f>
        <v>9</v>
      </c>
      <c r="L109" s="6" t="b">
        <f>EXACT(E109,F109)</f>
        <v>0</v>
      </c>
      <c r="M109">
        <v>105</v>
      </c>
      <c r="N109">
        <f t="shared" si="13"/>
        <v>105</v>
      </c>
      <c r="O109" t="s">
        <v>37</v>
      </c>
      <c r="P109" t="str">
        <f>UPPER(O109)</f>
        <v>USD</v>
      </c>
      <c r="Q109">
        <f>VLOOKUP(P109,'Exchange Rate Table'!A:B,2,FALSE)</f>
        <v>1</v>
      </c>
      <c r="R109">
        <v>4527</v>
      </c>
      <c r="S109">
        <f>Q109*R109</f>
        <v>4527</v>
      </c>
      <c r="T109">
        <f>ROUND(R109, 0)</f>
        <v>4527</v>
      </c>
      <c r="U109" s="7" t="s">
        <v>146</v>
      </c>
      <c r="V109">
        <f>VALUE(U109)</f>
        <v>1000</v>
      </c>
      <c r="W109" t="s">
        <v>367</v>
      </c>
      <c r="X109" t="s">
        <v>182</v>
      </c>
      <c r="Y109" t="str">
        <f>CONCATENATE(W109,", ",X109)</f>
        <v>Colorado Springs, CO</v>
      </c>
      <c r="Z109" t="s">
        <v>41</v>
      </c>
      <c r="AA109" t="str">
        <f>TRIM(Z109)</f>
        <v>United States</v>
      </c>
      <c r="AB109" t="s">
        <v>58</v>
      </c>
      <c r="AC109">
        <f>LEN("https://www.kickstarter.com/discover/categories/games/")</f>
        <v>54</v>
      </c>
      <c r="AD109" t="str">
        <f>RIGHT(AB109,LEN(AB109)-54)</f>
        <v>tabletop%20games</v>
      </c>
      <c r="AE109" t="str">
        <f>SUBSTITUTE(AD109,"%20"," ")</f>
        <v>tabletop games</v>
      </c>
      <c r="AF109" s="8" t="b">
        <v>0</v>
      </c>
      <c r="AG109" s="8" t="str">
        <f>LOWER(AF109)</f>
        <v>false</v>
      </c>
      <c r="AH109" t="s">
        <v>43</v>
      </c>
      <c r="AJ109" s="18">
        <v>17396</v>
      </c>
      <c r="AK109" s="16"/>
      <c r="AL109" s="16"/>
      <c r="AM109" s="16"/>
      <c r="AN109" s="16"/>
      <c r="AO109" s="16"/>
    </row>
    <row r="110" spans="1:41">
      <c r="A110" s="5">
        <v>1513076599</v>
      </c>
      <c r="B110" s="5" t="str">
        <f t="shared" si="10"/>
        <v>1513076599</v>
      </c>
      <c r="C110" t="s">
        <v>368</v>
      </c>
      <c r="D110" t="str">
        <f>PROPER(C110)</f>
        <v>Dice Spell Tracker</v>
      </c>
      <c r="E110" s="6">
        <v>43676</v>
      </c>
      <c r="F110" s="6"/>
      <c r="G110" s="6">
        <v>43709</v>
      </c>
      <c r="H110" s="13">
        <f>G110-F110</f>
        <v>43709</v>
      </c>
      <c r="I110" s="13">
        <f t="shared" si="11"/>
        <v>6</v>
      </c>
      <c r="J110" s="13" t="str">
        <f t="shared" si="12"/>
        <v>Weekend</v>
      </c>
      <c r="K110" s="13">
        <f>MONTH(F110)</f>
        <v>1</v>
      </c>
      <c r="L110" s="6" t="b">
        <f>EXACT(E110,F110)</f>
        <v>0</v>
      </c>
      <c r="M110">
        <v>23</v>
      </c>
      <c r="N110">
        <f t="shared" si="13"/>
        <v>23</v>
      </c>
      <c r="O110" t="s">
        <v>37</v>
      </c>
      <c r="P110" t="str">
        <f>UPPER(O110)</f>
        <v>USD</v>
      </c>
      <c r="Q110">
        <f>VLOOKUP(P110,'Exchange Rate Table'!A:B,2,FALSE)</f>
        <v>1</v>
      </c>
      <c r="R110">
        <v>821</v>
      </c>
      <c r="S110">
        <f>Q110*R110</f>
        <v>821</v>
      </c>
      <c r="T110">
        <f>ROUND(R110, 0)</f>
        <v>821</v>
      </c>
      <c r="U110" s="7" t="s">
        <v>369</v>
      </c>
      <c r="V110">
        <f>VALUE(U110)</f>
        <v>750</v>
      </c>
      <c r="W110" t="s">
        <v>172</v>
      </c>
      <c r="X110" t="s">
        <v>173</v>
      </c>
      <c r="Y110" t="str">
        <f>CONCATENATE(W110,", ",X110)</f>
        <v>Chicago, IL</v>
      </c>
      <c r="Z110" t="s">
        <v>41</v>
      </c>
      <c r="AA110" t="str">
        <f>TRIM(Z110)</f>
        <v>United States</v>
      </c>
      <c r="AB110" t="s">
        <v>42</v>
      </c>
      <c r="AC110">
        <f>LEN("https://www.kickstarter.com/discover/categories/games/")</f>
        <v>54</v>
      </c>
      <c r="AD110" t="str">
        <f>RIGHT(AB110,LEN(AB110)-54)</f>
        <v>live%20games</v>
      </c>
      <c r="AE110" t="str">
        <f>SUBSTITUTE(AD110,"%20"," ")</f>
        <v>live games</v>
      </c>
      <c r="AF110" s="8" t="b">
        <v>0</v>
      </c>
      <c r="AG110" s="8" t="str">
        <f>LOWER(AF110)</f>
        <v>false</v>
      </c>
      <c r="AH110" t="s">
        <v>43</v>
      </c>
      <c r="AJ110" s="18">
        <v>18800</v>
      </c>
      <c r="AK110" s="16"/>
      <c r="AL110" s="16"/>
      <c r="AM110" s="16"/>
      <c r="AN110" s="16"/>
      <c r="AO110" s="16"/>
    </row>
    <row r="111" spans="1:41">
      <c r="A111" s="5">
        <v>1561309532</v>
      </c>
      <c r="B111" s="5" t="str">
        <f t="shared" si="10"/>
        <v>1561309532</v>
      </c>
      <c r="C111" t="s">
        <v>370</v>
      </c>
      <c r="D111" t="str">
        <f>PROPER(C111)</f>
        <v>Raccoon Tycoon: The Fat Cat Expansion</v>
      </c>
      <c r="E111" s="6">
        <v>43681</v>
      </c>
      <c r="F111" s="6">
        <v>43685</v>
      </c>
      <c r="G111" s="6">
        <v>43704</v>
      </c>
      <c r="H111" s="13">
        <f>G111-F111</f>
        <v>19</v>
      </c>
      <c r="I111" s="13">
        <f t="shared" si="11"/>
        <v>4</v>
      </c>
      <c r="J111" s="13" t="str">
        <f t="shared" si="12"/>
        <v>Week Day</v>
      </c>
      <c r="K111" s="13">
        <f>MONTH(F111)</f>
        <v>8</v>
      </c>
      <c r="L111" s="6" t="b">
        <f>EXACT(E111,F111)</f>
        <v>0</v>
      </c>
      <c r="M111">
        <v>39</v>
      </c>
      <c r="N111">
        <f t="shared" si="13"/>
        <v>39</v>
      </c>
      <c r="O111" t="s">
        <v>72</v>
      </c>
      <c r="P111" t="str">
        <f>UPPER(O111)</f>
        <v>EUR</v>
      </c>
      <c r="Q111">
        <f>VLOOKUP(P111,'Exchange Rate Table'!A:B,2,FALSE)</f>
        <v>1.16955371</v>
      </c>
      <c r="R111">
        <v>1416</v>
      </c>
      <c r="S111">
        <f>Q111*R111</f>
        <v>1656.08805336</v>
      </c>
      <c r="T111">
        <f>ROUND(R111, 0)</f>
        <v>1416</v>
      </c>
      <c r="U111" s="7" t="s">
        <v>371</v>
      </c>
      <c r="V111">
        <f>VALUE(U111)</f>
        <v>1</v>
      </c>
      <c r="W111" t="s">
        <v>372</v>
      </c>
      <c r="X111" t="s">
        <v>75</v>
      </c>
      <c r="Y111" t="str">
        <f>CONCATENATE(W111,", ",X111)</f>
        <v>Milano, Lombardy</v>
      </c>
      <c r="Z111" t="s">
        <v>76</v>
      </c>
      <c r="AA111" t="str">
        <f>TRIM(Z111)</f>
        <v>Italy</v>
      </c>
      <c r="AB111" t="s">
        <v>58</v>
      </c>
      <c r="AC111">
        <f>LEN("https://www.kickstarter.com/discover/categories/games/")</f>
        <v>54</v>
      </c>
      <c r="AD111" t="str">
        <f>RIGHT(AB111,LEN(AB111)-54)</f>
        <v>tabletop%20games</v>
      </c>
      <c r="AE111" t="str">
        <f>SUBSTITUTE(AD111,"%20"," ")</f>
        <v>tabletop games</v>
      </c>
      <c r="AF111" s="8" t="b">
        <v>0</v>
      </c>
      <c r="AG111" s="8" t="str">
        <f>LOWER(AF111)</f>
        <v>false</v>
      </c>
      <c r="AH111" t="s">
        <v>43</v>
      </c>
      <c r="AJ111" s="18">
        <v>18819</v>
      </c>
      <c r="AK111" s="16"/>
      <c r="AL111" s="16"/>
      <c r="AM111" s="16"/>
      <c r="AN111" s="16"/>
      <c r="AO111" s="16"/>
    </row>
    <row r="112" spans="1:41">
      <c r="A112" s="5">
        <v>1571195851</v>
      </c>
      <c r="B112" s="5" t="str">
        <f t="shared" si="10"/>
        <v>1571195851</v>
      </c>
      <c r="C112" t="s">
        <v>373</v>
      </c>
      <c r="D112" t="str">
        <f>PROPER(C112)</f>
        <v>Amazons!</v>
      </c>
      <c r="E112" s="6">
        <v>43682</v>
      </c>
      <c r="F112" s="6">
        <v>43776</v>
      </c>
      <c r="G112" s="6">
        <v>43791</v>
      </c>
      <c r="H112" s="13">
        <f>G112-F112</f>
        <v>15</v>
      </c>
      <c r="I112" s="13">
        <f t="shared" si="11"/>
        <v>4</v>
      </c>
      <c r="J112" s="13" t="str">
        <f t="shared" si="12"/>
        <v>Week Day</v>
      </c>
      <c r="K112" s="13">
        <f>MONTH(F112)</f>
        <v>11</v>
      </c>
      <c r="L112" s="6" t="b">
        <f>EXACT(E112,F112)</f>
        <v>0</v>
      </c>
      <c r="M112">
        <v>21</v>
      </c>
      <c r="N112">
        <f t="shared" si="13"/>
        <v>21</v>
      </c>
      <c r="P112" t="str">
        <f>UPPER(O112)</f>
        <v/>
      </c>
      <c r="Q112" t="e">
        <f>VLOOKUP(P112,'Exchange Rate Table'!A:B,2,FALSE)</f>
        <v>#N/A</v>
      </c>
      <c r="R112">
        <v>741</v>
      </c>
      <c r="S112" t="e">
        <f>Q112*R112</f>
        <v>#N/A</v>
      </c>
      <c r="T112">
        <f>ROUND(R112, 0)</f>
        <v>741</v>
      </c>
      <c r="U112" s="7" t="s">
        <v>127</v>
      </c>
      <c r="V112">
        <f>VALUE(U112)</f>
        <v>1500</v>
      </c>
      <c r="W112" t="s">
        <v>374</v>
      </c>
      <c r="X112" t="s">
        <v>56</v>
      </c>
      <c r="Y112" t="str">
        <f>CONCATENATE(W112,", ",X112)</f>
        <v>Cambridgeshire, England</v>
      </c>
      <c r="Z112" t="s">
        <v>57</v>
      </c>
      <c r="AA112" t="str">
        <f>TRIM(Z112)</f>
        <v>United Kingdom</v>
      </c>
      <c r="AB112" t="s">
        <v>58</v>
      </c>
      <c r="AC112">
        <f>LEN("https://www.kickstarter.com/discover/categories/games/")</f>
        <v>54</v>
      </c>
      <c r="AD112" t="str">
        <f>RIGHT(AB112,LEN(AB112)-54)</f>
        <v>tabletop%20games</v>
      </c>
      <c r="AE112" t="str">
        <f>SUBSTITUTE(AD112,"%20"," ")</f>
        <v>tabletop games</v>
      </c>
      <c r="AF112" s="8" t="b">
        <v>0</v>
      </c>
      <c r="AG112" s="8" t="str">
        <f>LOWER(AF112)</f>
        <v>false</v>
      </c>
      <c r="AH112" t="s">
        <v>280</v>
      </c>
      <c r="AJ112" s="18">
        <v>20861</v>
      </c>
      <c r="AK112" s="16"/>
      <c r="AL112" s="16"/>
      <c r="AM112" s="16"/>
      <c r="AN112" s="16"/>
      <c r="AO112" s="16"/>
    </row>
    <row r="113" spans="1:41">
      <c r="A113" s="5">
        <v>1588933145</v>
      </c>
      <c r="B113" s="5" t="str">
        <f t="shared" si="10"/>
        <v>1588933145</v>
      </c>
      <c r="C113" t="s">
        <v>375</v>
      </c>
      <c r="D113" t="str">
        <f>PROPER(C113)</f>
        <v>Warchess</v>
      </c>
      <c r="E113" s="6">
        <v>43686</v>
      </c>
      <c r="F113" s="6">
        <v>43692</v>
      </c>
      <c r="G113" s="6">
        <v>43722</v>
      </c>
      <c r="H113" s="13">
        <f>G113-F113</f>
        <v>30</v>
      </c>
      <c r="I113" s="13">
        <f t="shared" si="11"/>
        <v>4</v>
      </c>
      <c r="J113" s="13" t="str">
        <f t="shared" si="12"/>
        <v>Week Day</v>
      </c>
      <c r="K113" s="13">
        <f>MONTH(F113)</f>
        <v>8</v>
      </c>
      <c r="L113" s="6" t="b">
        <f>EXACT(E113,F113)</f>
        <v>0</v>
      </c>
      <c r="M113">
        <v>944</v>
      </c>
      <c r="N113">
        <f t="shared" si="13"/>
        <v>944</v>
      </c>
      <c r="O113" t="s">
        <v>37</v>
      </c>
      <c r="P113" t="str">
        <f>UPPER(O113)</f>
        <v>USD</v>
      </c>
      <c r="Q113">
        <f>VLOOKUP(P113,'Exchange Rate Table'!A:B,2,FALSE)</f>
        <v>1</v>
      </c>
      <c r="R113">
        <v>120066</v>
      </c>
      <c r="S113">
        <f>Q113*R113</f>
        <v>120066</v>
      </c>
      <c r="T113">
        <f>ROUND(R113, 0)</f>
        <v>120066</v>
      </c>
      <c r="U113" s="7" t="s">
        <v>132</v>
      </c>
      <c r="V113">
        <f>VALUE(U113)</f>
        <v>7000</v>
      </c>
      <c r="W113" t="s">
        <v>85</v>
      </c>
      <c r="X113" t="s">
        <v>69</v>
      </c>
      <c r="Y113" t="str">
        <f>CONCATENATE(W113,", ",X113)</f>
        <v>Los Angeles, CA</v>
      </c>
      <c r="Z113" t="s">
        <v>41</v>
      </c>
      <c r="AA113" t="str">
        <f>TRIM(Z113)</f>
        <v>United States</v>
      </c>
      <c r="AB113" t="s">
        <v>70</v>
      </c>
      <c r="AC113">
        <f>LEN("https://www.kickstarter.com/discover/categories/games/")</f>
        <v>54</v>
      </c>
      <c r="AD113" t="str">
        <f>RIGHT(AB113,LEN(AB113)-54)</f>
        <v>playing%20cards</v>
      </c>
      <c r="AE113" t="str">
        <f>SUBSTITUTE(AD113,"%20"," ")</f>
        <v>playing cards</v>
      </c>
      <c r="AF113" s="8" t="b">
        <v>1</v>
      </c>
      <c r="AG113" s="8" t="str">
        <f>LOWER(AF113)</f>
        <v>true</v>
      </c>
      <c r="AH113" t="s">
        <v>43</v>
      </c>
      <c r="AJ113" s="18">
        <v>21604.29</v>
      </c>
      <c r="AK113" s="16"/>
      <c r="AL113" s="16"/>
      <c r="AM113" s="16"/>
      <c r="AN113" s="16"/>
      <c r="AO113" s="16"/>
    </row>
    <row r="114" spans="1:41">
      <c r="A114" s="5">
        <v>1623104570</v>
      </c>
      <c r="B114" s="5" t="str">
        <f t="shared" si="10"/>
        <v>1623104570</v>
      </c>
      <c r="C114" t="s">
        <v>376</v>
      </c>
      <c r="D114" t="str">
        <f>PROPER(C114)</f>
        <v>Dry Erase Game Tokens</v>
      </c>
      <c r="E114" s="6">
        <v>43686</v>
      </c>
      <c r="F114" s="6">
        <v>43732</v>
      </c>
      <c r="G114" s="6">
        <v>43756</v>
      </c>
      <c r="H114" s="13">
        <f>G114-F114</f>
        <v>24</v>
      </c>
      <c r="I114" s="13">
        <f t="shared" si="11"/>
        <v>2</v>
      </c>
      <c r="J114" s="13" t="str">
        <f t="shared" si="12"/>
        <v>Week Day</v>
      </c>
      <c r="K114" s="13">
        <f>MONTH(F114)</f>
        <v>9</v>
      </c>
      <c r="L114" s="6" t="b">
        <f>EXACT(E114,F114)</f>
        <v>0</v>
      </c>
      <c r="M114">
        <v>657</v>
      </c>
      <c r="N114">
        <f t="shared" si="13"/>
        <v>657</v>
      </c>
      <c r="O114" t="s">
        <v>37</v>
      </c>
      <c r="P114" t="str">
        <f>UPPER(O114)</f>
        <v>USD</v>
      </c>
      <c r="Q114">
        <f>VLOOKUP(P114,'Exchange Rate Table'!A:B,2,FALSE)</f>
        <v>1</v>
      </c>
      <c r="R114">
        <v>18819</v>
      </c>
      <c r="S114">
        <f>Q114*R114</f>
        <v>18819</v>
      </c>
      <c r="T114">
        <f>ROUND(R114, 0)</f>
        <v>18819</v>
      </c>
      <c r="U114" s="7" t="s">
        <v>38</v>
      </c>
      <c r="V114">
        <f>VALUE(U114)</f>
        <v>15000</v>
      </c>
      <c r="W114" t="s">
        <v>377</v>
      </c>
      <c r="X114" t="s">
        <v>81</v>
      </c>
      <c r="Y114" t="str">
        <f>CONCATENATE(W114,", ",X114)</f>
        <v>Surprise, AZ</v>
      </c>
      <c r="Z114" t="s">
        <v>41</v>
      </c>
      <c r="AA114" t="str">
        <f>TRIM(Z114)</f>
        <v>United States</v>
      </c>
      <c r="AB114" t="s">
        <v>58</v>
      </c>
      <c r="AC114">
        <f>LEN("https://www.kickstarter.com/discover/categories/games/")</f>
        <v>54</v>
      </c>
      <c r="AD114" t="str">
        <f>RIGHT(AB114,LEN(AB114)-54)</f>
        <v>tabletop%20games</v>
      </c>
      <c r="AE114" t="str">
        <f>SUBSTITUTE(AD114,"%20"," ")</f>
        <v>tabletop games</v>
      </c>
      <c r="AF114" s="8" t="b">
        <v>0</v>
      </c>
      <c r="AG114" s="8" t="str">
        <f>LOWER(AF114)</f>
        <v>false</v>
      </c>
      <c r="AH114" t="s">
        <v>43</v>
      </c>
      <c r="AJ114" s="18">
        <v>23347</v>
      </c>
      <c r="AK114" s="16"/>
      <c r="AL114" s="16"/>
      <c r="AM114" s="16"/>
      <c r="AN114" s="16"/>
      <c r="AO114" s="16"/>
    </row>
    <row r="115" spans="1:41">
      <c r="A115" s="5">
        <v>1626880018</v>
      </c>
      <c r="B115" s="5" t="str">
        <f t="shared" si="10"/>
        <v>1626880018</v>
      </c>
      <c r="C115" t="s">
        <v>378</v>
      </c>
      <c r="D115" t="str">
        <f>PROPER(C115)</f>
        <v>Cochin Industrial District: 3D Printable World Building</v>
      </c>
      <c r="E115" s="6">
        <v>43687</v>
      </c>
      <c r="F115" s="6">
        <v>43692</v>
      </c>
      <c r="G115" s="6">
        <v>43713</v>
      </c>
      <c r="H115" s="13">
        <f>G115-F115</f>
        <v>21</v>
      </c>
      <c r="I115" s="13">
        <f t="shared" si="11"/>
        <v>4</v>
      </c>
      <c r="J115" s="13" t="str">
        <f t="shared" si="12"/>
        <v>Week Day</v>
      </c>
      <c r="K115" s="13">
        <f>MONTH(F115)</f>
        <v>8</v>
      </c>
      <c r="L115" s="6" t="b">
        <f>EXACT(E115,F115)</f>
        <v>0</v>
      </c>
      <c r="M115">
        <v>7838</v>
      </c>
      <c r="N115">
        <f t="shared" si="13"/>
        <v>7838</v>
      </c>
      <c r="O115" t="s">
        <v>37</v>
      </c>
      <c r="P115" t="str">
        <f>UPPER(O115)</f>
        <v>USD</v>
      </c>
      <c r="Q115">
        <f>VLOOKUP(P115,'Exchange Rate Table'!A:B,2,FALSE)</f>
        <v>1</v>
      </c>
      <c r="R115">
        <v>431368.21</v>
      </c>
      <c r="S115">
        <f>Q115*R115</f>
        <v>431368.21</v>
      </c>
      <c r="T115">
        <f>ROUND(R115, 0)</f>
        <v>431368</v>
      </c>
      <c r="U115" s="7" t="s">
        <v>379</v>
      </c>
      <c r="V115">
        <f>VALUE(U115)</f>
        <v>25000</v>
      </c>
      <c r="W115" t="s">
        <v>380</v>
      </c>
      <c r="X115" t="s">
        <v>185</v>
      </c>
      <c r="Y115" t="str">
        <f>CONCATENATE(W115,", ",X115)</f>
        <v>Centerville, UT</v>
      </c>
      <c r="Z115" t="s">
        <v>41</v>
      </c>
      <c r="AA115" t="str">
        <f>TRIM(Z115)</f>
        <v>United States</v>
      </c>
      <c r="AB115" t="s">
        <v>58</v>
      </c>
      <c r="AC115">
        <f>LEN("https://www.kickstarter.com/discover/categories/games/")</f>
        <v>54</v>
      </c>
      <c r="AD115" t="str">
        <f>RIGHT(AB115,LEN(AB115)-54)</f>
        <v>tabletop%20games</v>
      </c>
      <c r="AE115" t="str">
        <f>SUBSTITUTE(AD115,"%20"," ")</f>
        <v>tabletop games</v>
      </c>
      <c r="AF115" s="8" t="b">
        <v>1</v>
      </c>
      <c r="AG115" s="8" t="str">
        <f>LOWER(AF115)</f>
        <v>true</v>
      </c>
      <c r="AH115" t="s">
        <v>43</v>
      </c>
      <c r="AJ115" s="18">
        <v>24135</v>
      </c>
      <c r="AK115" s="16"/>
      <c r="AL115" s="16"/>
      <c r="AM115" s="16"/>
      <c r="AN115" s="16"/>
      <c r="AO115" s="16"/>
    </row>
    <row r="116" spans="1:41">
      <c r="A116" s="5">
        <v>1630292080</v>
      </c>
      <c r="B116" s="5" t="str">
        <f t="shared" si="10"/>
        <v>1630292080</v>
      </c>
      <c r="C116" t="s">
        <v>381</v>
      </c>
      <c r="D116" t="str">
        <f>PROPER(C116)</f>
        <v>Matter Playing Cards</v>
      </c>
      <c r="E116" s="6">
        <v>43688</v>
      </c>
      <c r="F116" s="6">
        <v>43753</v>
      </c>
      <c r="G116" s="6">
        <v>43784</v>
      </c>
      <c r="H116" s="13">
        <f>G116-F116</f>
        <v>31</v>
      </c>
      <c r="I116" s="13">
        <f t="shared" si="11"/>
        <v>2</v>
      </c>
      <c r="J116" s="13" t="str">
        <f t="shared" si="12"/>
        <v>Week Day</v>
      </c>
      <c r="K116" s="13">
        <f>MONTH(F116)</f>
        <v>10</v>
      </c>
      <c r="L116" s="6" t="b">
        <f>EXACT(E116,F116)</f>
        <v>0</v>
      </c>
      <c r="M116">
        <v>105</v>
      </c>
      <c r="N116">
        <f t="shared" si="13"/>
        <v>105</v>
      </c>
      <c r="O116" t="s">
        <v>37</v>
      </c>
      <c r="P116" t="str">
        <f>UPPER(O116)</f>
        <v>USD</v>
      </c>
      <c r="Q116">
        <f>VLOOKUP(P116,'Exchange Rate Table'!A:B,2,FALSE)</f>
        <v>1</v>
      </c>
      <c r="R116">
        <v>6553</v>
      </c>
      <c r="S116">
        <f>Q116*R116</f>
        <v>6553</v>
      </c>
      <c r="T116">
        <f>ROUND(R116, 0)</f>
        <v>6553</v>
      </c>
      <c r="U116" s="7" t="s">
        <v>382</v>
      </c>
      <c r="V116">
        <f>VALUE(U116)</f>
        <v>5500</v>
      </c>
      <c r="W116" t="s">
        <v>383</v>
      </c>
      <c r="X116" t="s">
        <v>125</v>
      </c>
      <c r="Y116" t="str">
        <f>CONCATENATE(W116,", ",X116)</f>
        <v>Bangor, PA</v>
      </c>
      <c r="Z116" t="s">
        <v>41</v>
      </c>
      <c r="AA116" t="str">
        <f>TRIM(Z116)</f>
        <v>United States</v>
      </c>
      <c r="AB116" t="s">
        <v>58</v>
      </c>
      <c r="AC116">
        <f>LEN("https://www.kickstarter.com/discover/categories/games/")</f>
        <v>54</v>
      </c>
      <c r="AD116" t="str">
        <f>RIGHT(AB116,LEN(AB116)-54)</f>
        <v>tabletop%20games</v>
      </c>
      <c r="AE116" t="str">
        <f>SUBSTITUTE(AD116,"%20"," ")</f>
        <v>tabletop games</v>
      </c>
      <c r="AF116" s="8" t="b">
        <v>0</v>
      </c>
      <c r="AG116" s="8" t="str">
        <f>LOWER(AF116)</f>
        <v>false</v>
      </c>
      <c r="AH116" t="s">
        <v>280</v>
      </c>
      <c r="AJ116" s="18">
        <v>24176</v>
      </c>
      <c r="AK116" s="16"/>
      <c r="AL116" s="16"/>
      <c r="AM116" s="16"/>
      <c r="AN116" s="16"/>
      <c r="AO116" s="16"/>
    </row>
    <row r="117" spans="1:41">
      <c r="A117" s="5">
        <v>1635215446</v>
      </c>
      <c r="B117" s="5" t="str">
        <f t="shared" si="10"/>
        <v>1635215446</v>
      </c>
      <c r="C117" t="s">
        <v>384</v>
      </c>
      <c r="D117" t="str">
        <f>PROPER(C117)</f>
        <v>Endeavor: Age Of Expansion</v>
      </c>
      <c r="E117" s="6">
        <v>43691</v>
      </c>
      <c r="F117" s="6">
        <v>43692</v>
      </c>
      <c r="G117" s="6">
        <v>43707</v>
      </c>
      <c r="H117" s="13">
        <f>G117-F117</f>
        <v>15</v>
      </c>
      <c r="I117" s="13">
        <f t="shared" si="11"/>
        <v>4</v>
      </c>
      <c r="J117" s="13" t="str">
        <f t="shared" si="12"/>
        <v>Week Day</v>
      </c>
      <c r="K117" s="13">
        <f>MONTH(F117)</f>
        <v>8</v>
      </c>
      <c r="L117" s="6" t="b">
        <f>EXACT(E117,F117)</f>
        <v>0</v>
      </c>
      <c r="M117">
        <v>302</v>
      </c>
      <c r="N117">
        <f t="shared" si="13"/>
        <v>302</v>
      </c>
      <c r="O117" t="s">
        <v>37</v>
      </c>
      <c r="P117" t="str">
        <f>UPPER(O117)</f>
        <v>USD</v>
      </c>
      <c r="Q117">
        <f>VLOOKUP(P117,'Exchange Rate Table'!A:B,2,FALSE)</f>
        <v>1</v>
      </c>
      <c r="R117">
        <v>14147</v>
      </c>
      <c r="S117">
        <f>Q117*R117</f>
        <v>14147</v>
      </c>
      <c r="T117">
        <f>ROUND(R117, 0)</f>
        <v>14147</v>
      </c>
      <c r="U117" s="7" t="s">
        <v>103</v>
      </c>
      <c r="V117">
        <f>VALUE(U117)</f>
        <v>250</v>
      </c>
      <c r="W117" t="s">
        <v>385</v>
      </c>
      <c r="X117" t="s">
        <v>48</v>
      </c>
      <c r="Y117" t="str">
        <f>CONCATENATE(W117,", ",X117)</f>
        <v>Richmond, VA</v>
      </c>
      <c r="Z117" t="s">
        <v>41</v>
      </c>
      <c r="AA117" t="str">
        <f>TRIM(Z117)</f>
        <v>United States</v>
      </c>
      <c r="AB117" t="s">
        <v>58</v>
      </c>
      <c r="AC117">
        <f>LEN("https://www.kickstarter.com/discover/categories/games/")</f>
        <v>54</v>
      </c>
      <c r="AD117" t="str">
        <f>RIGHT(AB117,LEN(AB117)-54)</f>
        <v>tabletop%20games</v>
      </c>
      <c r="AE117" t="str">
        <f>SUBSTITUTE(AD117,"%20"," ")</f>
        <v>tabletop games</v>
      </c>
      <c r="AF117" s="8" t="b">
        <v>0</v>
      </c>
      <c r="AG117" s="8" t="str">
        <f>LOWER(AF117)</f>
        <v>false</v>
      </c>
      <c r="AJ117" s="18">
        <v>24249</v>
      </c>
      <c r="AK117" s="16"/>
      <c r="AL117" s="16"/>
      <c r="AM117" s="16"/>
      <c r="AN117" s="16"/>
      <c r="AO117" s="16"/>
    </row>
    <row r="118" spans="1:41">
      <c r="A118" s="5">
        <v>1681980700</v>
      </c>
      <c r="B118" s="5" t="str">
        <f t="shared" si="10"/>
        <v>1681980700</v>
      </c>
      <c r="C118" t="s">
        <v>386</v>
      </c>
      <c r="D118" t="str">
        <f>PROPER(C118)</f>
        <v>The Which Way? Coding Board Game</v>
      </c>
      <c r="E118" s="6">
        <v>43692</v>
      </c>
      <c r="F118" s="6">
        <v>43706</v>
      </c>
      <c r="G118" s="6">
        <v>43739</v>
      </c>
      <c r="H118" s="13">
        <f>G118-F118</f>
        <v>33</v>
      </c>
      <c r="I118" s="13">
        <f t="shared" si="11"/>
        <v>4</v>
      </c>
      <c r="J118" s="13" t="str">
        <f t="shared" si="12"/>
        <v>Week Day</v>
      </c>
      <c r="K118" s="13">
        <f>MONTH(F118)</f>
        <v>8</v>
      </c>
      <c r="L118" s="6" t="b">
        <f>EXACT(E118,F118)</f>
        <v>0</v>
      </c>
      <c r="M118">
        <v>5</v>
      </c>
      <c r="N118">
        <f t="shared" si="13"/>
        <v>5</v>
      </c>
      <c r="O118" t="s">
        <v>37</v>
      </c>
      <c r="P118" t="str">
        <f>UPPER(O118)</f>
        <v>USD</v>
      </c>
      <c r="Q118">
        <f>VLOOKUP(P118,'Exchange Rate Table'!A:B,2,FALSE)</f>
        <v>1</v>
      </c>
      <c r="R118">
        <v>14</v>
      </c>
      <c r="S118">
        <f>Q118*R118</f>
        <v>14</v>
      </c>
      <c r="T118">
        <f>ROUND(R118, 0)</f>
        <v>14</v>
      </c>
      <c r="U118" s="7" t="s">
        <v>103</v>
      </c>
      <c r="V118">
        <f>VALUE(U118)</f>
        <v>250</v>
      </c>
      <c r="W118" t="s">
        <v>387</v>
      </c>
      <c r="X118" t="s">
        <v>40</v>
      </c>
      <c r="Y118" t="str">
        <f>CONCATENATE(W118,", ",X118)</f>
        <v>Miami, FL</v>
      </c>
      <c r="Z118" t="s">
        <v>41</v>
      </c>
      <c r="AA118" t="str">
        <f>TRIM(Z118)</f>
        <v>United States</v>
      </c>
      <c r="AB118" t="s">
        <v>49</v>
      </c>
      <c r="AC118">
        <f>LEN("https://www.kickstarter.com/discover/categories/games/")</f>
        <v>54</v>
      </c>
      <c r="AD118" t="str">
        <f>RIGHT(AB118,LEN(AB118)-54)</f>
        <v>mobile%20games</v>
      </c>
      <c r="AE118" t="str">
        <f>SUBSTITUTE(AD118,"%20"," ")</f>
        <v>mobile games</v>
      </c>
      <c r="AF118" s="8" t="b">
        <v>0</v>
      </c>
      <c r="AG118" s="8" t="str">
        <f>LOWER(AF118)</f>
        <v>false</v>
      </c>
      <c r="AH118" t="s">
        <v>50</v>
      </c>
      <c r="AJ118" s="18">
        <v>24266.32</v>
      </c>
      <c r="AK118" s="16"/>
      <c r="AL118" s="16"/>
      <c r="AM118" s="16"/>
      <c r="AN118" s="16"/>
      <c r="AO118" s="16"/>
    </row>
    <row r="119" spans="1:41">
      <c r="A119" s="5">
        <v>1683781890</v>
      </c>
      <c r="B119" s="5" t="str">
        <f t="shared" si="10"/>
        <v>1683781890</v>
      </c>
      <c r="C119" t="s">
        <v>388</v>
      </c>
      <c r="D119" t="str">
        <f>PROPER(C119)</f>
        <v>Bridgehouse Playing Cards</v>
      </c>
      <c r="E119" s="6">
        <v>43692</v>
      </c>
      <c r="F119" s="6">
        <v>43699</v>
      </c>
      <c r="G119" s="6">
        <v>43714</v>
      </c>
      <c r="H119" s="13">
        <f>G119-F119</f>
        <v>15</v>
      </c>
      <c r="I119" s="13">
        <f t="shared" si="11"/>
        <v>4</v>
      </c>
      <c r="J119" s="13" t="str">
        <f t="shared" si="12"/>
        <v>Week Day</v>
      </c>
      <c r="K119" s="13">
        <f>MONTH(F119)</f>
        <v>8</v>
      </c>
      <c r="L119" s="6" t="b">
        <f>EXACT(E119,F119)</f>
        <v>0</v>
      </c>
      <c r="M119">
        <v>118</v>
      </c>
      <c r="N119">
        <f t="shared" si="13"/>
        <v>118</v>
      </c>
      <c r="O119" t="s">
        <v>212</v>
      </c>
      <c r="P119" t="str">
        <f>UPPER(O119)</f>
        <v>HKD</v>
      </c>
      <c r="Q119">
        <f>VLOOKUP(P119,'Exchange Rate Table'!A:B,2,FALSE)</f>
        <v>0.12847297999999999</v>
      </c>
      <c r="R119">
        <v>32134</v>
      </c>
      <c r="S119">
        <f>Q119*R119</f>
        <v>4128.3507393199998</v>
      </c>
      <c r="T119">
        <f>ROUND(R119, 0)</f>
        <v>32134</v>
      </c>
      <c r="U119" s="7" t="s">
        <v>138</v>
      </c>
      <c r="V119">
        <f>VALUE(U119)</f>
        <v>30000</v>
      </c>
      <c r="W119" t="s">
        <v>213</v>
      </c>
      <c r="X119" t="s">
        <v>214</v>
      </c>
      <c r="Y119" t="str">
        <f>CONCATENATE(W119,", ",X119)</f>
        <v>Hong Kong, Hong Kong Island</v>
      </c>
      <c r="Z119" t="s">
        <v>215</v>
      </c>
      <c r="AA119" t="str">
        <f>TRIM(Z119)</f>
        <v>Hong Kong</v>
      </c>
      <c r="AB119" t="s">
        <v>70</v>
      </c>
      <c r="AC119">
        <f>LEN("https://www.kickstarter.com/discover/categories/games/")</f>
        <v>54</v>
      </c>
      <c r="AD119" t="str">
        <f>RIGHT(AB119,LEN(AB119)-54)</f>
        <v>playing%20cards</v>
      </c>
      <c r="AE119" t="str">
        <f>SUBSTITUTE(AD119,"%20"," ")</f>
        <v>playing cards</v>
      </c>
      <c r="AF119" s="8" t="b">
        <v>0</v>
      </c>
      <c r="AG119" s="8" t="str">
        <f>LOWER(AF119)</f>
        <v>false</v>
      </c>
      <c r="AH119" t="s">
        <v>43</v>
      </c>
      <c r="AJ119" s="18">
        <v>24500</v>
      </c>
      <c r="AK119" s="16"/>
      <c r="AL119" s="16"/>
      <c r="AM119" s="16"/>
      <c r="AN119" s="16"/>
      <c r="AO119" s="16"/>
    </row>
    <row r="120" spans="1:41">
      <c r="A120" s="5">
        <v>1699038054</v>
      </c>
      <c r="B120" s="5" t="str">
        <f t="shared" si="10"/>
        <v>1699038054</v>
      </c>
      <c r="C120" t="s">
        <v>389</v>
      </c>
      <c r="D120" t="str">
        <f>PROPER(C120)</f>
        <v>Maximum Mayhem Dungeons #7: Dread Swamp Of The Banshee</v>
      </c>
      <c r="E120" s="6">
        <v>43697</v>
      </c>
      <c r="F120" s="6">
        <v>43767</v>
      </c>
      <c r="G120" s="6">
        <v>43798</v>
      </c>
      <c r="H120" s="13">
        <f>G120-F120</f>
        <v>31</v>
      </c>
      <c r="I120" s="13">
        <f t="shared" si="11"/>
        <v>2</v>
      </c>
      <c r="J120" s="13" t="str">
        <f t="shared" si="12"/>
        <v>Week Day</v>
      </c>
      <c r="K120" s="13">
        <f>MONTH(F120)</f>
        <v>10</v>
      </c>
      <c r="L120" s="6" t="b">
        <f>EXACT(E120,F120)</f>
        <v>0</v>
      </c>
      <c r="M120">
        <v>57</v>
      </c>
      <c r="N120">
        <f t="shared" si="13"/>
        <v>57</v>
      </c>
      <c r="O120" t="s">
        <v>72</v>
      </c>
      <c r="P120" t="str">
        <f>UPPER(O120)</f>
        <v>EUR</v>
      </c>
      <c r="Q120">
        <f>VLOOKUP(P120,'Exchange Rate Table'!A:B,2,FALSE)</f>
        <v>1.16955371</v>
      </c>
      <c r="R120">
        <v>1597</v>
      </c>
      <c r="S120">
        <f>Q120*R120</f>
        <v>1867.7772748699999</v>
      </c>
      <c r="T120">
        <f>ROUND(R120, 0)</f>
        <v>1597</v>
      </c>
      <c r="U120" s="7" t="s">
        <v>390</v>
      </c>
      <c r="V120">
        <f>VALUE(U120)</f>
        <v>6400</v>
      </c>
      <c r="W120" t="s">
        <v>391</v>
      </c>
      <c r="X120" t="s">
        <v>392</v>
      </c>
      <c r="Y120" t="str">
        <f>CONCATENATE(W120,", ",X120)</f>
        <v>Manniku, Laane-Viru County</v>
      </c>
      <c r="Z120" t="s">
        <v>393</v>
      </c>
      <c r="AA120" t="str">
        <f>TRIM(Z120)</f>
        <v>Estonia</v>
      </c>
      <c r="AB120" t="s">
        <v>70</v>
      </c>
      <c r="AC120">
        <f>LEN("https://www.kickstarter.com/discover/categories/games/")</f>
        <v>54</v>
      </c>
      <c r="AD120" t="str">
        <f>RIGHT(AB120,LEN(AB120)-54)</f>
        <v>playing%20cards</v>
      </c>
      <c r="AE120" t="str">
        <f>SUBSTITUTE(AD120,"%20"," ")</f>
        <v>playing cards</v>
      </c>
      <c r="AF120" s="8" t="b">
        <v>0</v>
      </c>
      <c r="AG120" s="8" t="str">
        <f>LOWER(AF120)</f>
        <v>false</v>
      </c>
      <c r="AH120" t="s">
        <v>280</v>
      </c>
      <c r="AJ120" s="18">
        <v>27666</v>
      </c>
      <c r="AK120" s="16"/>
      <c r="AL120" s="16"/>
      <c r="AM120" s="16"/>
      <c r="AN120" s="16"/>
      <c r="AO120" s="16"/>
    </row>
    <row r="121" spans="1:41">
      <c r="A121" s="5">
        <v>1702433350</v>
      </c>
      <c r="B121" s="5" t="str">
        <f t="shared" si="10"/>
        <v>1702433350</v>
      </c>
      <c r="C121" t="s">
        <v>394</v>
      </c>
      <c r="D121" t="str">
        <f>PROPER(C121)</f>
        <v>Axis Playing Cards</v>
      </c>
      <c r="E121" s="6">
        <v>43697</v>
      </c>
      <c r="F121" s="6">
        <v>43746</v>
      </c>
      <c r="G121" s="6">
        <v>43777</v>
      </c>
      <c r="H121" s="13">
        <f>G121-F121</f>
        <v>31</v>
      </c>
      <c r="I121" s="13">
        <f t="shared" si="11"/>
        <v>2</v>
      </c>
      <c r="J121" s="13" t="str">
        <f t="shared" si="12"/>
        <v>Week Day</v>
      </c>
      <c r="K121" s="13">
        <f>MONTH(F121)</f>
        <v>10</v>
      </c>
      <c r="L121" s="6" t="b">
        <f>EXACT(E121,F121)</f>
        <v>0</v>
      </c>
      <c r="M121">
        <v>419</v>
      </c>
      <c r="N121">
        <f t="shared" si="13"/>
        <v>419</v>
      </c>
      <c r="O121" t="s">
        <v>395</v>
      </c>
      <c r="P121" t="str">
        <f>UPPER(O121)</f>
        <v>AUD</v>
      </c>
      <c r="Q121">
        <f>VLOOKUP(P121,'Exchange Rate Table'!A:B,2,FALSE)</f>
        <v>0.90338969999999996</v>
      </c>
      <c r="R121">
        <v>24266.32</v>
      </c>
      <c r="S121">
        <f>Q121*R121</f>
        <v>21921.943544903999</v>
      </c>
      <c r="T121">
        <f>ROUND(R121, 0)</f>
        <v>24266</v>
      </c>
      <c r="U121" s="7" t="s">
        <v>187</v>
      </c>
      <c r="V121">
        <f>VALUE(U121)</f>
        <v>10000</v>
      </c>
      <c r="W121" t="s">
        <v>396</v>
      </c>
      <c r="X121" t="s">
        <v>397</v>
      </c>
      <c r="Y121" t="str">
        <f>CONCATENATE(W121,", ",X121)</f>
        <v>Sydney, NSW</v>
      </c>
      <c r="Z121" t="s">
        <v>398</v>
      </c>
      <c r="AA121" t="str">
        <f>TRIM(Z121)</f>
        <v>Australia</v>
      </c>
      <c r="AB121" t="s">
        <v>58</v>
      </c>
      <c r="AC121">
        <f>LEN("https://www.kickstarter.com/discover/categories/games/")</f>
        <v>54</v>
      </c>
      <c r="AD121" t="str">
        <f>RIGHT(AB121,LEN(AB121)-54)</f>
        <v>tabletop%20games</v>
      </c>
      <c r="AE121" t="str">
        <f>SUBSTITUTE(AD121,"%20"," ")</f>
        <v>tabletop games</v>
      </c>
      <c r="AF121" s="8" t="b">
        <v>0</v>
      </c>
      <c r="AG121" s="8" t="str">
        <f>LOWER(AF121)</f>
        <v>false</v>
      </c>
      <c r="AH121" t="s">
        <v>43</v>
      </c>
      <c r="AJ121" s="18">
        <v>30858</v>
      </c>
      <c r="AK121" s="16"/>
      <c r="AL121" s="16"/>
      <c r="AM121" s="16"/>
      <c r="AN121" s="16"/>
      <c r="AO121" s="16"/>
    </row>
    <row r="122" spans="1:41">
      <c r="A122" s="5">
        <v>1713322204</v>
      </c>
      <c r="B122" s="5" t="str">
        <f t="shared" si="10"/>
        <v>1713322204</v>
      </c>
      <c r="C122" t="s">
        <v>399</v>
      </c>
      <c r="D122" t="str">
        <f>PROPER(C122)</f>
        <v>Terraforming Mars: Turmoil</v>
      </c>
      <c r="E122" s="6">
        <v>43698</v>
      </c>
      <c r="F122" s="6">
        <v>43700</v>
      </c>
      <c r="G122" s="6">
        <v>43758</v>
      </c>
      <c r="H122" s="13">
        <f>G122-F122</f>
        <v>58</v>
      </c>
      <c r="I122" s="13">
        <f t="shared" si="11"/>
        <v>5</v>
      </c>
      <c r="J122" s="13" t="str">
        <f t="shared" si="12"/>
        <v>Week Day</v>
      </c>
      <c r="K122" s="13">
        <f>MONTH(F122)</f>
        <v>8</v>
      </c>
      <c r="L122" s="6" t="b">
        <f>EXACT(E122,F122)</f>
        <v>0</v>
      </c>
      <c r="M122">
        <v>1</v>
      </c>
      <c r="N122">
        <f t="shared" si="13"/>
        <v>1</v>
      </c>
      <c r="O122" t="s">
        <v>60</v>
      </c>
      <c r="P122" t="str">
        <f>UPPER(O122)</f>
        <v>CAD</v>
      </c>
      <c r="Q122">
        <f>VLOOKUP(P122,'Exchange Rate Table'!A:B,2,FALSE)</f>
        <v>0.76932900999999998</v>
      </c>
      <c r="R122">
        <v>1.29</v>
      </c>
      <c r="S122">
        <f>Q122*R122</f>
        <v>0.99243442289999995</v>
      </c>
      <c r="T122">
        <f>ROUND(R122, 0)</f>
        <v>1</v>
      </c>
      <c r="U122" s="7" t="s">
        <v>400</v>
      </c>
      <c r="V122">
        <f>VALUE(U122)</f>
        <v>4000</v>
      </c>
      <c r="W122" t="s">
        <v>293</v>
      </c>
      <c r="X122" t="s">
        <v>294</v>
      </c>
      <c r="Y122" t="str">
        <f>CONCATENATE(W122,", ",X122)</f>
        <v>Toronto, ON</v>
      </c>
      <c r="Z122" t="s">
        <v>64</v>
      </c>
      <c r="AA122" t="str">
        <f>TRIM(Z122)</f>
        <v>Canada</v>
      </c>
      <c r="AB122" t="s">
        <v>49</v>
      </c>
      <c r="AC122">
        <f>LEN("https://www.kickstarter.com/discover/categories/games/")</f>
        <v>54</v>
      </c>
      <c r="AD122" t="str">
        <f>RIGHT(AB122,LEN(AB122)-54)</f>
        <v>mobile%20games</v>
      </c>
      <c r="AE122" t="str">
        <f>SUBSTITUTE(AD122,"%20"," ")</f>
        <v>mobile games</v>
      </c>
      <c r="AF122" s="8" t="b">
        <v>0</v>
      </c>
      <c r="AG122" s="8" t="str">
        <f>LOWER(AF122)</f>
        <v>false</v>
      </c>
      <c r="AH122" t="s">
        <v>50</v>
      </c>
      <c r="AJ122" s="18">
        <v>32134</v>
      </c>
      <c r="AK122" s="16"/>
      <c r="AL122" s="16"/>
      <c r="AM122" s="16"/>
      <c r="AN122" s="16"/>
      <c r="AO122" s="16"/>
    </row>
    <row r="123" spans="1:41">
      <c r="A123" s="5">
        <v>1713457614</v>
      </c>
      <c r="B123" s="5" t="str">
        <f t="shared" si="10"/>
        <v>1713457614</v>
      </c>
      <c r="C123" t="s">
        <v>401</v>
      </c>
      <c r="D123" t="str">
        <f>PROPER(C123)</f>
        <v>Dungeon Crawl Classics: Soul For The Ocean Dark</v>
      </c>
      <c r="E123" s="6">
        <v>43698</v>
      </c>
      <c r="F123" s="6">
        <v>43738</v>
      </c>
      <c r="G123" s="6">
        <v>43750</v>
      </c>
      <c r="H123" s="13">
        <f>G123-F123</f>
        <v>12</v>
      </c>
      <c r="I123" s="13">
        <f t="shared" si="11"/>
        <v>1</v>
      </c>
      <c r="J123" s="13" t="str">
        <f t="shared" si="12"/>
        <v>Week Day</v>
      </c>
      <c r="K123" s="13">
        <f>MONTH(F123)</f>
        <v>9</v>
      </c>
      <c r="L123" s="6" t="b">
        <f>EXACT(E123,F123)</f>
        <v>0</v>
      </c>
      <c r="M123">
        <v>81</v>
      </c>
      <c r="N123">
        <f t="shared" si="13"/>
        <v>81</v>
      </c>
      <c r="O123" t="s">
        <v>72</v>
      </c>
      <c r="P123" t="str">
        <f>UPPER(O123)</f>
        <v>EUR</v>
      </c>
      <c r="Q123">
        <f>VLOOKUP(P123,'Exchange Rate Table'!A:B,2,FALSE)</f>
        <v>1.16955371</v>
      </c>
      <c r="R123">
        <v>5407</v>
      </c>
      <c r="S123">
        <f>Q123*R123</f>
        <v>6323.7769099699999</v>
      </c>
      <c r="T123">
        <f>ROUND(R123, 0)</f>
        <v>5407</v>
      </c>
      <c r="U123" s="7" t="s">
        <v>402</v>
      </c>
      <c r="V123">
        <f>VALUE(U123)</f>
        <v>40</v>
      </c>
      <c r="W123" t="s">
        <v>403</v>
      </c>
      <c r="X123" t="s">
        <v>134</v>
      </c>
      <c r="Y123" t="str">
        <f>CONCATENATE(W123,", ",X123)</f>
        <v>Montesson, Ile-de-France</v>
      </c>
      <c r="Z123" t="s">
        <v>135</v>
      </c>
      <c r="AA123" t="str">
        <f>TRIM(Z123)</f>
        <v>France</v>
      </c>
      <c r="AB123" t="s">
        <v>58</v>
      </c>
      <c r="AC123">
        <f>LEN("https://www.kickstarter.com/discover/categories/games/")</f>
        <v>54</v>
      </c>
      <c r="AD123" t="str">
        <f>RIGHT(AB123,LEN(AB123)-54)</f>
        <v>tabletop%20games</v>
      </c>
      <c r="AE123" t="str">
        <f>SUBSTITUTE(AD123,"%20"," ")</f>
        <v>tabletop games</v>
      </c>
      <c r="AF123" s="8" t="b">
        <v>0</v>
      </c>
      <c r="AG123" s="8" t="str">
        <f>LOWER(AF123)</f>
        <v>false</v>
      </c>
      <c r="AH123" t="s">
        <v>43</v>
      </c>
      <c r="AJ123" s="18">
        <v>34332.5</v>
      </c>
      <c r="AK123" s="16"/>
      <c r="AL123" s="16"/>
      <c r="AM123" s="16"/>
      <c r="AN123" s="16"/>
      <c r="AO123" s="16"/>
    </row>
    <row r="124" spans="1:41">
      <c r="A124" s="5">
        <v>1719736684</v>
      </c>
      <c r="B124" s="5" t="str">
        <f t="shared" si="10"/>
        <v>1719736684</v>
      </c>
      <c r="C124" t="s">
        <v>404</v>
      </c>
      <c r="D124" t="str">
        <f>PROPER(C124)</f>
        <v>Vampire Cards: Specialized Playing Cards!</v>
      </c>
      <c r="E124" s="6">
        <v>43700</v>
      </c>
      <c r="F124" s="6">
        <v>43703</v>
      </c>
      <c r="G124" s="6">
        <v>43733</v>
      </c>
      <c r="H124" s="13">
        <f>G124-F124</f>
        <v>30</v>
      </c>
      <c r="I124" s="13">
        <f t="shared" si="11"/>
        <v>1</v>
      </c>
      <c r="J124" s="13" t="str">
        <f t="shared" si="12"/>
        <v>Week Day</v>
      </c>
      <c r="K124" s="13">
        <f>MONTH(F124)</f>
        <v>8</v>
      </c>
      <c r="L124" s="6" t="b">
        <f>EXACT(E124,F124)</f>
        <v>0</v>
      </c>
      <c r="M124">
        <v>7</v>
      </c>
      <c r="N124">
        <f t="shared" si="13"/>
        <v>7</v>
      </c>
      <c r="O124" t="s">
        <v>53</v>
      </c>
      <c r="P124" t="str">
        <f>UPPER(O124)</f>
        <v>GBP</v>
      </c>
      <c r="Q124">
        <f>VLOOKUP(P124,'Exchange Rate Table'!A:B,2,FALSE)</f>
        <v>1.49576325</v>
      </c>
      <c r="R124">
        <v>82</v>
      </c>
      <c r="S124">
        <f>Q124*R124</f>
        <v>122.6525865</v>
      </c>
      <c r="T124">
        <f>ROUND(R124, 0)</f>
        <v>82</v>
      </c>
      <c r="U124" s="7" t="s">
        <v>67</v>
      </c>
      <c r="V124">
        <f>VALUE(U124)</f>
        <v>2500</v>
      </c>
      <c r="W124" t="s">
        <v>324</v>
      </c>
      <c r="X124" t="s">
        <v>325</v>
      </c>
      <c r="Y124" t="str">
        <f>CONCATENATE(W124,", ",X124)</f>
        <v>Edinburgh, Scotland</v>
      </c>
      <c r="Z124" t="s">
        <v>57</v>
      </c>
      <c r="AA124" t="str">
        <f>TRIM(Z124)</f>
        <v>United Kingdom</v>
      </c>
      <c r="AB124" t="s">
        <v>70</v>
      </c>
      <c r="AC124">
        <f>LEN("https://www.kickstarter.com/discover/categories/games/")</f>
        <v>54</v>
      </c>
      <c r="AD124" t="str">
        <f>RIGHT(AB124,LEN(AB124)-54)</f>
        <v>playing%20cards</v>
      </c>
      <c r="AE124" t="str">
        <f>SUBSTITUTE(AD124,"%20"," ")</f>
        <v>playing cards</v>
      </c>
      <c r="AF124" s="8" t="b">
        <v>0</v>
      </c>
      <c r="AG124" s="8" t="str">
        <f>LOWER(AF124)</f>
        <v>false</v>
      </c>
      <c r="AH124" t="s">
        <v>50</v>
      </c>
      <c r="AJ124" s="18">
        <v>36602</v>
      </c>
      <c r="AK124" s="16"/>
      <c r="AL124" s="16"/>
      <c r="AM124" s="16"/>
      <c r="AN124" s="16"/>
      <c r="AO124" s="16"/>
    </row>
    <row r="125" spans="1:41">
      <c r="A125" s="5">
        <v>1738093236</v>
      </c>
      <c r="B125" s="5" t="str">
        <f t="shared" si="10"/>
        <v>1738093236</v>
      </c>
      <c r="C125" t="s">
        <v>405</v>
      </c>
      <c r="D125" t="str">
        <f>PROPER(C125)</f>
        <v>6Th Sense Connection Oracle Cards</v>
      </c>
      <c r="E125" s="6">
        <v>43701</v>
      </c>
      <c r="F125" s="6">
        <v>43741</v>
      </c>
      <c r="G125" s="6">
        <v>43771</v>
      </c>
      <c r="H125" s="13">
        <f>G125-F125</f>
        <v>30</v>
      </c>
      <c r="I125" s="13">
        <f t="shared" si="11"/>
        <v>4</v>
      </c>
      <c r="J125" s="13" t="str">
        <f t="shared" si="12"/>
        <v>Week Day</v>
      </c>
      <c r="K125" s="13">
        <f>MONTH(F125)</f>
        <v>10</v>
      </c>
      <c r="L125" s="6" t="b">
        <f>EXACT(E125,F125)</f>
        <v>0</v>
      </c>
      <c r="M125">
        <v>30</v>
      </c>
      <c r="N125">
        <f t="shared" si="13"/>
        <v>30</v>
      </c>
      <c r="O125" t="s">
        <v>37</v>
      </c>
      <c r="P125" t="str">
        <f>UPPER(O125)</f>
        <v>USD</v>
      </c>
      <c r="Q125">
        <f>VLOOKUP(P125,'Exchange Rate Table'!A:B,2,FALSE)</f>
        <v>1</v>
      </c>
      <c r="R125">
        <v>5214</v>
      </c>
      <c r="S125">
        <f>Q125*R125</f>
        <v>5214</v>
      </c>
      <c r="T125">
        <f>ROUND(R125, 0)</f>
        <v>5214</v>
      </c>
      <c r="U125" s="7" t="s">
        <v>79</v>
      </c>
      <c r="V125">
        <f>VALUE(U125)</f>
        <v>5000</v>
      </c>
      <c r="W125" t="s">
        <v>406</v>
      </c>
      <c r="X125" t="s">
        <v>194</v>
      </c>
      <c r="Y125" t="str">
        <f>CONCATENATE(W125,", ",X125)</f>
        <v>Fort Worth, TX</v>
      </c>
      <c r="Z125" t="s">
        <v>41</v>
      </c>
      <c r="AA125" t="str">
        <f>TRIM(Z125)</f>
        <v>United States</v>
      </c>
      <c r="AB125" t="s">
        <v>58</v>
      </c>
      <c r="AC125">
        <f>LEN("https://www.kickstarter.com/discover/categories/games/")</f>
        <v>54</v>
      </c>
      <c r="AD125" t="str">
        <f>RIGHT(AB125,LEN(AB125)-54)</f>
        <v>tabletop%20games</v>
      </c>
      <c r="AE125" t="str">
        <f>SUBSTITUTE(AD125,"%20"," ")</f>
        <v>tabletop games</v>
      </c>
      <c r="AF125" s="8" t="b">
        <v>0</v>
      </c>
      <c r="AG125" s="8" t="str">
        <f>LOWER(AF125)</f>
        <v>false</v>
      </c>
      <c r="AH125" t="s">
        <v>43</v>
      </c>
      <c r="AJ125" s="18">
        <v>37048</v>
      </c>
      <c r="AK125" s="16"/>
      <c r="AL125" s="16"/>
      <c r="AM125" s="16"/>
      <c r="AN125" s="16"/>
      <c r="AO125" s="16"/>
    </row>
    <row r="126" spans="1:41">
      <c r="A126" s="5">
        <v>1748213057</v>
      </c>
      <c r="B126" s="5" t="str">
        <f t="shared" si="10"/>
        <v>1748213057</v>
      </c>
      <c r="C126" t="s">
        <v>407</v>
      </c>
      <c r="D126" t="str">
        <f>PROPER(C126)</f>
        <v>Bolabots (Steam Game)</v>
      </c>
      <c r="E126" s="6">
        <v>43703</v>
      </c>
      <c r="F126" s="6">
        <v>43715</v>
      </c>
      <c r="G126" s="6">
        <v>43745</v>
      </c>
      <c r="H126" s="13">
        <f>G126-F126</f>
        <v>30</v>
      </c>
      <c r="I126" s="13">
        <f t="shared" si="11"/>
        <v>6</v>
      </c>
      <c r="J126" s="13" t="str">
        <f t="shared" si="12"/>
        <v>Weekend</v>
      </c>
      <c r="K126" s="13">
        <f>MONTH(F126)</f>
        <v>9</v>
      </c>
      <c r="L126" s="6" t="b">
        <f>EXACT(E126,F126)</f>
        <v>0</v>
      </c>
      <c r="M126">
        <v>153</v>
      </c>
      <c r="N126">
        <f t="shared" si="13"/>
        <v>153</v>
      </c>
      <c r="O126" t="s">
        <v>37</v>
      </c>
      <c r="P126" t="str">
        <f>UPPER(O126)</f>
        <v>USD</v>
      </c>
      <c r="Q126">
        <f>VLOOKUP(P126,'Exchange Rate Table'!A:B,2,FALSE)</f>
        <v>1</v>
      </c>
      <c r="R126">
        <v>3070</v>
      </c>
      <c r="S126">
        <f>Q126*R126</f>
        <v>3070</v>
      </c>
      <c r="T126">
        <f>ROUND(R126, 0)</f>
        <v>3070</v>
      </c>
      <c r="U126" s="7" t="s">
        <v>408</v>
      </c>
      <c r="V126">
        <f>VALUE(U126)</f>
        <v>600</v>
      </c>
      <c r="W126" t="s">
        <v>409</v>
      </c>
      <c r="X126" t="s">
        <v>358</v>
      </c>
      <c r="Y126" t="str">
        <f>CONCATENATE(W126,", ",X126)</f>
        <v>Boston, MA</v>
      </c>
      <c r="Z126" t="s">
        <v>41</v>
      </c>
      <c r="AA126" t="str">
        <f>TRIM(Z126)</f>
        <v>United States</v>
      </c>
      <c r="AB126" t="s">
        <v>58</v>
      </c>
      <c r="AC126">
        <f>LEN("https://www.kickstarter.com/discover/categories/games/")</f>
        <v>54</v>
      </c>
      <c r="AD126" t="str">
        <f>RIGHT(AB126,LEN(AB126)-54)</f>
        <v>tabletop%20games</v>
      </c>
      <c r="AE126" t="str">
        <f>SUBSTITUTE(AD126,"%20"," ")</f>
        <v>tabletop games</v>
      </c>
      <c r="AF126" s="8" t="b">
        <v>0</v>
      </c>
      <c r="AG126" s="8" t="str">
        <f>LOWER(AF126)</f>
        <v>false</v>
      </c>
      <c r="AH126" t="s">
        <v>43</v>
      </c>
      <c r="AJ126" s="18">
        <v>40642</v>
      </c>
      <c r="AK126" s="16"/>
      <c r="AL126" s="16"/>
      <c r="AM126" s="16"/>
      <c r="AN126" s="16"/>
      <c r="AO126" s="16"/>
    </row>
    <row r="127" spans="1:41">
      <c r="A127" s="5">
        <v>1788831436</v>
      </c>
      <c r="B127" s="5" t="str">
        <f t="shared" si="10"/>
        <v>1788831436</v>
      </c>
      <c r="C127" t="s">
        <v>410</v>
      </c>
      <c r="D127" t="str">
        <f>PROPER(C127)</f>
        <v>Metal Gods Of Ur-Hadad Zine Returns!</v>
      </c>
      <c r="E127" s="6">
        <v>43704</v>
      </c>
      <c r="F127" s="6">
        <v>43732</v>
      </c>
      <c r="G127" s="6">
        <v>43760</v>
      </c>
      <c r="H127" s="13">
        <f>G127-F127</f>
        <v>28</v>
      </c>
      <c r="I127" s="13">
        <f t="shared" si="11"/>
        <v>2</v>
      </c>
      <c r="J127" s="13" t="str">
        <f t="shared" si="12"/>
        <v>Week Day</v>
      </c>
      <c r="K127" s="13">
        <f>MONTH(F127)</f>
        <v>9</v>
      </c>
      <c r="L127" s="6" t="b">
        <f>EXACT(E127,F127)</f>
        <v>0</v>
      </c>
      <c r="M127">
        <v>1334</v>
      </c>
      <c r="N127">
        <f t="shared" si="13"/>
        <v>1334</v>
      </c>
      <c r="O127" t="s">
        <v>37</v>
      </c>
      <c r="P127" t="str">
        <f>UPPER(O127)</f>
        <v>USD</v>
      </c>
      <c r="Q127">
        <f>VLOOKUP(P127,'Exchange Rate Table'!A:B,2,FALSE)</f>
        <v>1</v>
      </c>
      <c r="R127">
        <v>54200</v>
      </c>
      <c r="S127">
        <f>Q127*R127</f>
        <v>54200</v>
      </c>
      <c r="T127">
        <f>ROUND(R127, 0)</f>
        <v>54200</v>
      </c>
      <c r="U127" s="7" t="s">
        <v>289</v>
      </c>
      <c r="V127">
        <f>VALUE(U127)</f>
        <v>12000</v>
      </c>
      <c r="W127" t="s">
        <v>411</v>
      </c>
      <c r="X127" t="s">
        <v>162</v>
      </c>
      <c r="Y127" t="str">
        <f>CONCATENATE(W127,", ",X127)</f>
        <v>Saginaw, MI</v>
      </c>
      <c r="Z127" t="s">
        <v>41</v>
      </c>
      <c r="AA127" t="str">
        <f>TRIM(Z127)</f>
        <v>United States</v>
      </c>
      <c r="AB127" t="s">
        <v>58</v>
      </c>
      <c r="AC127">
        <f>LEN("https://www.kickstarter.com/discover/categories/games/")</f>
        <v>54</v>
      </c>
      <c r="AD127" t="str">
        <f>RIGHT(AB127,LEN(AB127)-54)</f>
        <v>tabletop%20games</v>
      </c>
      <c r="AE127" t="str">
        <f>SUBSTITUTE(AD127,"%20"," ")</f>
        <v>tabletop games</v>
      </c>
      <c r="AF127" s="8" t="b">
        <v>0</v>
      </c>
      <c r="AG127" s="8" t="str">
        <f>LOWER(AF127)</f>
        <v>false</v>
      </c>
      <c r="AH127" t="s">
        <v>43</v>
      </c>
      <c r="AJ127" s="18">
        <v>44556</v>
      </c>
      <c r="AK127" s="16"/>
      <c r="AL127" s="16"/>
      <c r="AM127" s="16"/>
      <c r="AN127" s="16"/>
      <c r="AO127" s="16"/>
    </row>
    <row r="128" spans="1:41">
      <c r="A128" s="5">
        <v>1793298287</v>
      </c>
      <c r="B128" s="5" t="str">
        <f t="shared" si="10"/>
        <v>1793298287</v>
      </c>
      <c r="C128" t="s">
        <v>412</v>
      </c>
      <c r="D128" t="str">
        <f>PROPER(C128)</f>
        <v>Flight Club: Performance Artwork And Live Street Game</v>
      </c>
      <c r="E128" s="6">
        <v>43707</v>
      </c>
      <c r="F128" s="6">
        <v>43739</v>
      </c>
      <c r="G128" s="6">
        <v>43769</v>
      </c>
      <c r="H128" s="13">
        <f>G128-F128</f>
        <v>30</v>
      </c>
      <c r="I128" s="13">
        <f t="shared" si="11"/>
        <v>2</v>
      </c>
      <c r="J128" s="13" t="str">
        <f t="shared" si="12"/>
        <v>Week Day</v>
      </c>
      <c r="K128" s="13">
        <f>MONTH(F128)</f>
        <v>10</v>
      </c>
      <c r="L128" s="6" t="b">
        <f>EXACT(E128,F128)</f>
        <v>0</v>
      </c>
      <c r="M128">
        <v>2942</v>
      </c>
      <c r="N128">
        <f t="shared" si="13"/>
        <v>2942</v>
      </c>
      <c r="O128" t="s">
        <v>72</v>
      </c>
      <c r="P128" t="str">
        <f>UPPER(O128)</f>
        <v>EUR</v>
      </c>
      <c r="Q128">
        <f>VLOOKUP(P128,'Exchange Rate Table'!A:B,2,FALSE)</f>
        <v>1.16955371</v>
      </c>
      <c r="R128">
        <v>139131</v>
      </c>
      <c r="S128">
        <f>Q128*R128</f>
        <v>162721.17722600998</v>
      </c>
      <c r="T128">
        <f>ROUND(R128, 0)</f>
        <v>139131</v>
      </c>
      <c r="U128" s="7" t="s">
        <v>79</v>
      </c>
      <c r="V128">
        <f>VALUE(U128)</f>
        <v>5000</v>
      </c>
      <c r="W128" t="s">
        <v>413</v>
      </c>
      <c r="X128" t="s">
        <v>414</v>
      </c>
      <c r="Y128" t="str">
        <f>CONCATENATE(W128,", ",X128)</f>
        <v>Santa Cruz de Tenerife, Canary Islands</v>
      </c>
      <c r="Z128" t="s">
        <v>130</v>
      </c>
      <c r="AA128" t="str">
        <f>TRIM(Z128)</f>
        <v>Spain</v>
      </c>
      <c r="AB128" t="s">
        <v>58</v>
      </c>
      <c r="AC128">
        <f>LEN("https://www.kickstarter.com/discover/categories/games/")</f>
        <v>54</v>
      </c>
      <c r="AD128" t="str">
        <f>RIGHT(AB128,LEN(AB128)-54)</f>
        <v>tabletop%20games</v>
      </c>
      <c r="AE128" t="str">
        <f>SUBSTITUTE(AD128,"%20"," ")</f>
        <v>tabletop games</v>
      </c>
      <c r="AF128" s="8" t="b">
        <v>0</v>
      </c>
      <c r="AG128" s="8" t="str">
        <f>LOWER(AF128)</f>
        <v>false</v>
      </c>
      <c r="AH128" t="s">
        <v>43</v>
      </c>
      <c r="AJ128" s="18">
        <v>45701.01</v>
      </c>
      <c r="AK128" s="16"/>
      <c r="AL128" s="16"/>
      <c r="AM128" s="16"/>
      <c r="AN128" s="16"/>
      <c r="AO128" s="16"/>
    </row>
    <row r="129" spans="1:41">
      <c r="A129" s="5">
        <v>1801538018</v>
      </c>
      <c r="B129" s="5" t="str">
        <f t="shared" si="10"/>
        <v>1801538018</v>
      </c>
      <c r="C129" t="s">
        <v>415</v>
      </c>
      <c r="D129" t="str">
        <f>PROPER(C129)</f>
        <v>Night Life Tabletop Game</v>
      </c>
      <c r="E129" s="6">
        <v>43709</v>
      </c>
      <c r="F129" s="6">
        <v>43714</v>
      </c>
      <c r="G129" s="6">
        <v>43739</v>
      </c>
      <c r="H129" s="13">
        <f>G129-F129</f>
        <v>25</v>
      </c>
      <c r="I129" s="13">
        <f t="shared" si="11"/>
        <v>5</v>
      </c>
      <c r="J129" s="13" t="str">
        <f t="shared" si="12"/>
        <v>Week Day</v>
      </c>
      <c r="K129" s="13">
        <f>MONTH(F129)</f>
        <v>9</v>
      </c>
      <c r="L129" s="6" t="b">
        <f>EXACT(E129,F129)</f>
        <v>0</v>
      </c>
      <c r="M129">
        <v>50</v>
      </c>
      <c r="N129">
        <f t="shared" si="13"/>
        <v>50</v>
      </c>
      <c r="O129" t="s">
        <v>395</v>
      </c>
      <c r="P129" t="str">
        <f>UPPER(O129)</f>
        <v>AUD</v>
      </c>
      <c r="Q129">
        <f>VLOOKUP(P129,'Exchange Rate Table'!A:B,2,FALSE)</f>
        <v>0.90338969999999996</v>
      </c>
      <c r="R129">
        <v>3659.32</v>
      </c>
      <c r="S129">
        <f>Q129*R129</f>
        <v>3305.7919970040002</v>
      </c>
      <c r="T129">
        <f>ROUND(R129, 0)</f>
        <v>3659</v>
      </c>
      <c r="U129" s="7" t="s">
        <v>142</v>
      </c>
      <c r="V129">
        <f>VALUE(U129)</f>
        <v>3000</v>
      </c>
      <c r="W129" t="s">
        <v>416</v>
      </c>
      <c r="X129" t="s">
        <v>417</v>
      </c>
      <c r="Y129" t="str">
        <f>CONCATENATE(W129,", ",X129)</f>
        <v>Launceston, TAS</v>
      </c>
      <c r="Z129" t="s">
        <v>398</v>
      </c>
      <c r="AA129" t="str">
        <f>TRIM(Z129)</f>
        <v>Australia</v>
      </c>
      <c r="AB129" t="s">
        <v>58</v>
      </c>
      <c r="AC129">
        <f>LEN("https://www.kickstarter.com/discover/categories/games/")</f>
        <v>54</v>
      </c>
      <c r="AD129" t="str">
        <f>RIGHT(AB129,LEN(AB129)-54)</f>
        <v>tabletop%20games</v>
      </c>
      <c r="AE129" t="str">
        <f>SUBSTITUTE(AD129,"%20"," ")</f>
        <v>tabletop games</v>
      </c>
      <c r="AF129" s="8" t="b">
        <v>0</v>
      </c>
      <c r="AG129" s="8" t="str">
        <f>LOWER(AF129)</f>
        <v>false</v>
      </c>
      <c r="AH129" t="s">
        <v>43</v>
      </c>
      <c r="AJ129" s="18">
        <v>46303.29</v>
      </c>
      <c r="AK129" s="16"/>
      <c r="AL129" s="16"/>
      <c r="AM129" s="16"/>
      <c r="AN129" s="16"/>
      <c r="AO129" s="16"/>
    </row>
    <row r="130" spans="1:41">
      <c r="A130" s="5">
        <v>1812075920</v>
      </c>
      <c r="B130" s="5" t="str">
        <f t="shared" si="10"/>
        <v>1812075920</v>
      </c>
      <c r="C130" t="s">
        <v>418</v>
      </c>
      <c r="D130" t="str">
        <f>PROPER(C130)</f>
        <v>The Mescalaro Prophecy: Dungeons And Dragons Adventure (5E)</v>
      </c>
      <c r="E130" s="6">
        <v>43711</v>
      </c>
      <c r="F130" s="6">
        <v>43725</v>
      </c>
      <c r="G130" s="6">
        <v>43735</v>
      </c>
      <c r="H130" s="13">
        <f>G130-F130</f>
        <v>10</v>
      </c>
      <c r="I130" s="13">
        <f t="shared" ref="I130:I153" si="14">WEEKDAY(F130, 2)</f>
        <v>2</v>
      </c>
      <c r="J130" s="13" t="str">
        <f t="shared" ref="J130:J161" si="15">IF(I130&gt;5, "Weekend", "Week Day")</f>
        <v>Week Day</v>
      </c>
      <c r="K130" s="13">
        <f>MONTH(F130)</f>
        <v>9</v>
      </c>
      <c r="L130" s="6" t="b">
        <f>EXACT(E130,F130)</f>
        <v>0</v>
      </c>
      <c r="M130">
        <v>125</v>
      </c>
      <c r="N130">
        <f t="shared" ref="N130:N161" si="16">IF(OR(K130=1,K130=9), IF(AND(W130="Vancouver",AA130="Canada"), M130+5, M130), M130)</f>
        <v>125</v>
      </c>
      <c r="O130" t="s">
        <v>37</v>
      </c>
      <c r="P130" t="str">
        <f>UPPER(O130)</f>
        <v>USD</v>
      </c>
      <c r="Q130">
        <f>VLOOKUP(P130,'Exchange Rate Table'!A:B,2,FALSE)</f>
        <v>1</v>
      </c>
      <c r="R130">
        <v>6469</v>
      </c>
      <c r="S130">
        <f>Q130*R130</f>
        <v>6469</v>
      </c>
      <c r="T130">
        <f>ROUND(R130, 0)</f>
        <v>6469</v>
      </c>
      <c r="U130" s="7" t="s">
        <v>108</v>
      </c>
      <c r="V130">
        <f>VALUE(U130)</f>
        <v>3500</v>
      </c>
      <c r="W130" t="s">
        <v>274</v>
      </c>
      <c r="X130" t="s">
        <v>275</v>
      </c>
      <c r="Y130" t="str">
        <f>CONCATENATE(W130,", ",X130)</f>
        <v>Minneapolis, MN</v>
      </c>
      <c r="Z130" t="s">
        <v>41</v>
      </c>
      <c r="AA130" t="str">
        <f>TRIM(Z130)</f>
        <v>United States</v>
      </c>
      <c r="AB130" t="s">
        <v>58</v>
      </c>
      <c r="AC130">
        <f>LEN("https://www.kickstarter.com/discover/categories/games/")</f>
        <v>54</v>
      </c>
      <c r="AD130" t="str">
        <f>RIGHT(AB130,LEN(AB130)-54)</f>
        <v>tabletop%20games</v>
      </c>
      <c r="AE130" t="str">
        <f>SUBSTITUTE(AD130,"%20"," ")</f>
        <v>tabletop games</v>
      </c>
      <c r="AF130" s="8" t="b">
        <v>0</v>
      </c>
      <c r="AG130" s="8" t="str">
        <f>LOWER(AF130)</f>
        <v>false</v>
      </c>
      <c r="AH130" t="s">
        <v>43</v>
      </c>
      <c r="AJ130" s="18">
        <v>50384</v>
      </c>
      <c r="AK130" s="16"/>
      <c r="AL130" s="16"/>
      <c r="AM130" s="16"/>
      <c r="AN130" s="16"/>
      <c r="AO130" s="16"/>
    </row>
    <row r="131" spans="1:41">
      <c r="A131" s="5">
        <v>1821926377</v>
      </c>
      <c r="B131" s="5" t="str">
        <f t="shared" ref="B131:B153" si="17">TEXT(A131,"00000000")</f>
        <v>1821926377</v>
      </c>
      <c r="C131" t="s">
        <v>419</v>
      </c>
      <c r="D131" t="str">
        <f>PROPER(C131)</f>
        <v>The Hedgehog Hop</v>
      </c>
      <c r="E131" s="6">
        <v>43716</v>
      </c>
      <c r="F131" s="6">
        <v>43748</v>
      </c>
      <c r="G131" s="6">
        <v>43778</v>
      </c>
      <c r="H131" s="13">
        <f>G131-F131</f>
        <v>30</v>
      </c>
      <c r="I131" s="13">
        <f t="shared" si="14"/>
        <v>4</v>
      </c>
      <c r="J131" s="13" t="str">
        <f t="shared" si="15"/>
        <v>Week Day</v>
      </c>
      <c r="K131" s="13">
        <f>MONTH(F131)</f>
        <v>10</v>
      </c>
      <c r="L131" s="6" t="b">
        <f>EXACT(E131,F131)</f>
        <v>0</v>
      </c>
      <c r="M131">
        <v>275</v>
      </c>
      <c r="N131">
        <f t="shared" si="16"/>
        <v>275</v>
      </c>
      <c r="O131" t="s">
        <v>37</v>
      </c>
      <c r="P131" t="str">
        <f>UPPER(O131)</f>
        <v>USD</v>
      </c>
      <c r="Q131">
        <f>VLOOKUP(P131,'Exchange Rate Table'!A:B,2,FALSE)</f>
        <v>1</v>
      </c>
      <c r="R131">
        <v>10986</v>
      </c>
      <c r="S131">
        <f>Q131*R131</f>
        <v>10986</v>
      </c>
      <c r="T131">
        <f>ROUND(R131, 0)</f>
        <v>10986</v>
      </c>
      <c r="U131" s="7" t="s">
        <v>79</v>
      </c>
      <c r="V131">
        <f>VALUE(U131)</f>
        <v>5000</v>
      </c>
      <c r="W131" t="s">
        <v>420</v>
      </c>
      <c r="X131" t="s">
        <v>421</v>
      </c>
      <c r="Y131" t="str">
        <f>CONCATENATE(W131,", ",X131)</f>
        <v>Cincinnati, OH</v>
      </c>
      <c r="Z131" t="s">
        <v>41</v>
      </c>
      <c r="AA131" t="str">
        <f>TRIM(Z131)</f>
        <v>United States</v>
      </c>
      <c r="AB131" t="s">
        <v>70</v>
      </c>
      <c r="AC131">
        <f>LEN("https://www.kickstarter.com/discover/categories/games/")</f>
        <v>54</v>
      </c>
      <c r="AD131" t="str">
        <f>RIGHT(AB131,LEN(AB131)-54)</f>
        <v>playing%20cards</v>
      </c>
      <c r="AE131" t="str">
        <f>SUBSTITUTE(AD131,"%20"," ")</f>
        <v>playing cards</v>
      </c>
      <c r="AF131" s="8" t="b">
        <v>0</v>
      </c>
      <c r="AG131" s="8" t="str">
        <f>LOWER(AF131)</f>
        <v>false</v>
      </c>
      <c r="AH131" t="s">
        <v>43</v>
      </c>
      <c r="AJ131" s="18">
        <v>52469</v>
      </c>
      <c r="AK131" s="16"/>
      <c r="AL131" s="16"/>
      <c r="AM131" s="16"/>
      <c r="AN131" s="16"/>
      <c r="AO131" s="16"/>
    </row>
    <row r="132" spans="1:41">
      <c r="A132" s="5">
        <v>1835829695</v>
      </c>
      <c r="B132" s="5" t="str">
        <f t="shared" si="17"/>
        <v>1835829695</v>
      </c>
      <c r="C132" t="s">
        <v>422</v>
      </c>
      <c r="D132" t="str">
        <f>PROPER(C132)</f>
        <v>Storosso, New Beach, Backyard, Tailgate Game (Canceled)</v>
      </c>
      <c r="E132" s="6">
        <v>43718</v>
      </c>
      <c r="F132" s="6">
        <v>43740</v>
      </c>
      <c r="G132" s="6">
        <v>43770</v>
      </c>
      <c r="H132" s="13">
        <f>G132-F132</f>
        <v>30</v>
      </c>
      <c r="I132" s="13">
        <f t="shared" si="14"/>
        <v>3</v>
      </c>
      <c r="J132" s="13" t="str">
        <f t="shared" si="15"/>
        <v>Week Day</v>
      </c>
      <c r="K132" s="13">
        <f>MONTH(F132)</f>
        <v>10</v>
      </c>
      <c r="L132" s="6" t="b">
        <f>EXACT(E132,F132)</f>
        <v>0</v>
      </c>
      <c r="M132">
        <v>30</v>
      </c>
      <c r="N132">
        <f t="shared" si="16"/>
        <v>30</v>
      </c>
      <c r="O132" t="s">
        <v>53</v>
      </c>
      <c r="P132" t="str">
        <f>UPPER(O132)</f>
        <v>GBP</v>
      </c>
      <c r="Q132">
        <f>VLOOKUP(P132,'Exchange Rate Table'!A:B,2,FALSE)</f>
        <v>1.49576325</v>
      </c>
      <c r="R132">
        <v>2047</v>
      </c>
      <c r="S132">
        <f>Q132*R132</f>
        <v>3061.82737275</v>
      </c>
      <c r="T132">
        <f>ROUND(R132, 0)</f>
        <v>2047</v>
      </c>
      <c r="U132" s="7" t="s">
        <v>423</v>
      </c>
      <c r="V132">
        <f>VALUE(U132)</f>
        <v>6000</v>
      </c>
      <c r="W132" t="s">
        <v>55</v>
      </c>
      <c r="X132" t="s">
        <v>56</v>
      </c>
      <c r="Y132" t="str">
        <f>CONCATENATE(W132,", ",X132)</f>
        <v>Nottingham, England</v>
      </c>
      <c r="Z132" t="s">
        <v>57</v>
      </c>
      <c r="AA132" t="str">
        <f>TRIM(Z132)</f>
        <v>United Kingdom</v>
      </c>
      <c r="AB132" t="s">
        <v>70</v>
      </c>
      <c r="AC132">
        <f>LEN("https://www.kickstarter.com/discover/categories/games/")</f>
        <v>54</v>
      </c>
      <c r="AD132" t="str">
        <f>RIGHT(AB132,LEN(AB132)-54)</f>
        <v>playing%20cards</v>
      </c>
      <c r="AE132" t="str">
        <f>SUBSTITUTE(AD132,"%20"," ")</f>
        <v>playing cards</v>
      </c>
      <c r="AF132" s="8" t="b">
        <v>0</v>
      </c>
      <c r="AG132" s="8" t="str">
        <f>LOWER(AF132)</f>
        <v>false</v>
      </c>
      <c r="AH132" t="s">
        <v>50</v>
      </c>
      <c r="AJ132" s="18">
        <v>53416</v>
      </c>
      <c r="AK132" s="16"/>
      <c r="AL132" s="16"/>
      <c r="AM132" s="16"/>
      <c r="AN132" s="16"/>
      <c r="AO132" s="16"/>
    </row>
    <row r="133" spans="1:41">
      <c r="A133" s="5">
        <v>1851778839</v>
      </c>
      <c r="B133" s="5" t="str">
        <f t="shared" si="17"/>
        <v>1851778839</v>
      </c>
      <c r="C133" t="s">
        <v>424</v>
      </c>
      <c r="D133" t="str">
        <f>PROPER(C133)</f>
        <v>Bullship! - Never Trust A Pirate!</v>
      </c>
      <c r="E133" s="6">
        <v>43718</v>
      </c>
      <c r="F133" s="6">
        <v>43776</v>
      </c>
      <c r="G133" s="6">
        <v>43811</v>
      </c>
      <c r="H133" s="13">
        <f>G133-F133</f>
        <v>35</v>
      </c>
      <c r="I133" s="13">
        <f t="shared" si="14"/>
        <v>4</v>
      </c>
      <c r="J133" s="13" t="str">
        <f t="shared" si="15"/>
        <v>Week Day</v>
      </c>
      <c r="K133" s="13">
        <f>MONTH(F133)</f>
        <v>11</v>
      </c>
      <c r="L133" s="6" t="b">
        <f>EXACT(E133,F133)</f>
        <v>0</v>
      </c>
      <c r="M133">
        <v>213</v>
      </c>
      <c r="N133">
        <f t="shared" si="16"/>
        <v>213</v>
      </c>
      <c r="O133" t="s">
        <v>72</v>
      </c>
      <c r="P133" t="str">
        <f>UPPER(O133)</f>
        <v>EUR</v>
      </c>
      <c r="Q133">
        <f>VLOOKUP(P133,'Exchange Rate Table'!A:B,2,FALSE)</f>
        <v>1.16955371</v>
      </c>
      <c r="R133">
        <v>4643</v>
      </c>
      <c r="S133">
        <f>Q133*R133</f>
        <v>5430.2378755299997</v>
      </c>
      <c r="T133">
        <f>ROUND(R133, 0)</f>
        <v>4643</v>
      </c>
      <c r="U133" s="7" t="s">
        <v>425</v>
      </c>
      <c r="V133">
        <f>VALUE(U133)</f>
        <v>8400</v>
      </c>
      <c r="W133" t="s">
        <v>426</v>
      </c>
      <c r="X133" t="s">
        <v>427</v>
      </c>
      <c r="Y133" t="str">
        <f>CONCATENATE(W133,", ",X133)</f>
        <v>Bordeaux, Aquitaine</v>
      </c>
      <c r="Z133" t="s">
        <v>135</v>
      </c>
      <c r="AA133" t="str">
        <f>TRIM(Z133)</f>
        <v>France</v>
      </c>
      <c r="AB133" t="s">
        <v>58</v>
      </c>
      <c r="AC133">
        <f>LEN("https://www.kickstarter.com/discover/categories/games/")</f>
        <v>54</v>
      </c>
      <c r="AD133" t="str">
        <f>RIGHT(AB133,LEN(AB133)-54)</f>
        <v>tabletop%20games</v>
      </c>
      <c r="AE133" t="str">
        <f>SUBSTITUTE(AD133,"%20"," ")</f>
        <v>tabletop games</v>
      </c>
      <c r="AF133" s="8" t="b">
        <v>0</v>
      </c>
      <c r="AG133" s="8" t="str">
        <f>LOWER(AF133)</f>
        <v>false</v>
      </c>
      <c r="AH133" t="s">
        <v>280</v>
      </c>
      <c r="AJ133" s="18">
        <v>54200</v>
      </c>
      <c r="AK133" s="16"/>
      <c r="AL133" s="16"/>
      <c r="AM133" s="16"/>
      <c r="AN133" s="16"/>
      <c r="AO133" s="16"/>
    </row>
    <row r="134" spans="1:41">
      <c r="A134" s="5">
        <v>1859070850</v>
      </c>
      <c r="B134" s="5" t="str">
        <f t="shared" si="17"/>
        <v>1859070850</v>
      </c>
      <c r="C134" t="s">
        <v>428</v>
      </c>
      <c r="D134" t="str">
        <f>PROPER(C134)</f>
        <v>Savage Realms - Escape From Darkmoor Keep</v>
      </c>
      <c r="E134" s="6">
        <v>43718</v>
      </c>
      <c r="F134" s="6">
        <v>43720</v>
      </c>
      <c r="G134" s="6">
        <v>43751</v>
      </c>
      <c r="H134" s="13">
        <f>G134-F134</f>
        <v>31</v>
      </c>
      <c r="I134" s="13">
        <f t="shared" si="14"/>
        <v>4</v>
      </c>
      <c r="J134" s="13" t="str">
        <f t="shared" si="15"/>
        <v>Week Day</v>
      </c>
      <c r="K134" s="13">
        <f>MONTH(F134)</f>
        <v>9</v>
      </c>
      <c r="L134" s="6" t="b">
        <f>EXACT(E134,F134)</f>
        <v>0</v>
      </c>
      <c r="M134">
        <v>547</v>
      </c>
      <c r="N134">
        <f t="shared" si="16"/>
        <v>547</v>
      </c>
      <c r="O134" t="s">
        <v>60</v>
      </c>
      <c r="P134" t="str">
        <f>UPPER(O134)</f>
        <v>CAD</v>
      </c>
      <c r="Q134">
        <f>VLOOKUP(P134,'Exchange Rate Table'!A:B,2,FALSE)</f>
        <v>0.76932900999999998</v>
      </c>
      <c r="R134">
        <v>21604.29</v>
      </c>
      <c r="S134">
        <f>Q134*R134</f>
        <v>16620.807037452902</v>
      </c>
      <c r="T134">
        <f>ROUND(R134, 0)</f>
        <v>21604</v>
      </c>
      <c r="U134" s="7" t="s">
        <v>187</v>
      </c>
      <c r="V134">
        <f>VALUE(U134)</f>
        <v>10000</v>
      </c>
      <c r="W134" t="s">
        <v>362</v>
      </c>
      <c r="X134" t="s">
        <v>363</v>
      </c>
      <c r="Y134" t="str">
        <f>CONCATENATE(W134,", ",X134)</f>
        <v>Calgary, AB</v>
      </c>
      <c r="Z134" t="s">
        <v>64</v>
      </c>
      <c r="AA134" t="str">
        <f>TRIM(Z134)</f>
        <v>Canada</v>
      </c>
      <c r="AB134" t="s">
        <v>58</v>
      </c>
      <c r="AC134">
        <f>LEN("https://www.kickstarter.com/discover/categories/games/")</f>
        <v>54</v>
      </c>
      <c r="AD134" t="str">
        <f>RIGHT(AB134,LEN(AB134)-54)</f>
        <v>tabletop%20games</v>
      </c>
      <c r="AE134" t="str">
        <f>SUBSTITUTE(AD134,"%20"," ")</f>
        <v>tabletop games</v>
      </c>
      <c r="AF134" s="8" t="b">
        <v>0</v>
      </c>
      <c r="AG134" s="8" t="str">
        <f>LOWER(AF134)</f>
        <v>false</v>
      </c>
      <c r="AH134" t="s">
        <v>43</v>
      </c>
      <c r="AJ134" s="18">
        <v>58293</v>
      </c>
      <c r="AK134" s="16"/>
      <c r="AL134" s="16"/>
      <c r="AM134" s="16"/>
      <c r="AN134" s="16"/>
      <c r="AO134" s="16"/>
    </row>
    <row r="135" spans="1:41">
      <c r="A135" s="5">
        <v>1884324378</v>
      </c>
      <c r="B135" s="5" t="str">
        <f t="shared" si="17"/>
        <v>1884324378</v>
      </c>
      <c r="C135" t="s">
        <v>429</v>
      </c>
      <c r="D135" t="str">
        <f>PROPER(C135)</f>
        <v>Handsome - An Elegant Wordgame By Tc Petty Iii</v>
      </c>
      <c r="E135" s="6">
        <v>43720</v>
      </c>
      <c r="F135" s="6">
        <v>43743</v>
      </c>
      <c r="G135" s="6">
        <v>43773</v>
      </c>
      <c r="H135" s="13">
        <f>G135-F135</f>
        <v>30</v>
      </c>
      <c r="I135" s="13">
        <f t="shared" si="14"/>
        <v>6</v>
      </c>
      <c r="J135" s="13" t="str">
        <f t="shared" si="15"/>
        <v>Weekend</v>
      </c>
      <c r="K135" s="13">
        <f>MONTH(F135)</f>
        <v>10</v>
      </c>
      <c r="L135" s="6" t="b">
        <f>EXACT(E135,F135)</f>
        <v>0</v>
      </c>
      <c r="M135">
        <v>125</v>
      </c>
      <c r="N135">
        <f t="shared" si="16"/>
        <v>125</v>
      </c>
      <c r="O135" t="s">
        <v>53</v>
      </c>
      <c r="P135" t="str">
        <f>UPPER(O135)</f>
        <v>GBP</v>
      </c>
      <c r="Q135">
        <f>VLOOKUP(P135,'Exchange Rate Table'!A:B,2,FALSE)</f>
        <v>1.49576325</v>
      </c>
      <c r="R135">
        <v>3886</v>
      </c>
      <c r="S135">
        <f>Q135*R135</f>
        <v>5812.5359895000001</v>
      </c>
      <c r="T135">
        <f>ROUND(R135, 0)</f>
        <v>3886</v>
      </c>
      <c r="U135" s="7" t="s">
        <v>54</v>
      </c>
      <c r="V135">
        <f>VALUE(U135)</f>
        <v>2000</v>
      </c>
      <c r="W135" t="s">
        <v>430</v>
      </c>
      <c r="X135" t="s">
        <v>56</v>
      </c>
      <c r="Y135" t="str">
        <f>CONCATENATE(W135,", ",X135)</f>
        <v>Winchester, England</v>
      </c>
      <c r="Z135" t="s">
        <v>57</v>
      </c>
      <c r="AA135" t="str">
        <f>TRIM(Z135)</f>
        <v>United Kingdom</v>
      </c>
      <c r="AB135" t="s">
        <v>70</v>
      </c>
      <c r="AC135">
        <f>LEN("https://www.kickstarter.com/discover/categories/games/")</f>
        <v>54</v>
      </c>
      <c r="AD135" t="str">
        <f>RIGHT(AB135,LEN(AB135)-54)</f>
        <v>playing%20cards</v>
      </c>
      <c r="AE135" t="str">
        <f>SUBSTITUTE(AD135,"%20"," ")</f>
        <v>playing cards</v>
      </c>
      <c r="AF135" s="8" t="b">
        <v>0</v>
      </c>
      <c r="AG135" s="8" t="str">
        <f>LOWER(AF135)</f>
        <v>false</v>
      </c>
      <c r="AH135" t="s">
        <v>43</v>
      </c>
      <c r="AJ135" s="18">
        <v>78175.5</v>
      </c>
      <c r="AK135" s="16"/>
      <c r="AL135" s="16"/>
      <c r="AM135" s="16"/>
      <c r="AN135" s="16"/>
      <c r="AO135" s="16"/>
    </row>
    <row r="136" spans="1:41">
      <c r="A136" s="5">
        <v>1884678356</v>
      </c>
      <c r="B136" s="5" t="str">
        <f t="shared" si="17"/>
        <v>1884678356</v>
      </c>
      <c r="C136" t="s">
        <v>431</v>
      </c>
      <c r="D136" t="str">
        <f>PROPER(C136)</f>
        <v>King H√Πng Era</v>
      </c>
      <c r="E136" s="6">
        <v>43721</v>
      </c>
      <c r="F136" s="6">
        <v>43732</v>
      </c>
      <c r="G136" s="6">
        <v>43753</v>
      </c>
      <c r="H136" s="13">
        <f>G136-F136</f>
        <v>21</v>
      </c>
      <c r="I136" s="13">
        <f t="shared" si="14"/>
        <v>2</v>
      </c>
      <c r="J136" s="13" t="str">
        <f t="shared" si="15"/>
        <v>Week Day</v>
      </c>
      <c r="K136" s="13">
        <f>MONTH(F136)</f>
        <v>9</v>
      </c>
      <c r="L136" s="6" t="b">
        <f>EXACT(E136,F136)</f>
        <v>0</v>
      </c>
      <c r="M136">
        <v>676</v>
      </c>
      <c r="N136">
        <f t="shared" si="16"/>
        <v>676</v>
      </c>
      <c r="O136" t="s">
        <v>72</v>
      </c>
      <c r="P136" t="str">
        <f>UPPER(O136)</f>
        <v>EUR</v>
      </c>
      <c r="Q136">
        <f>VLOOKUP(P136,'Exchange Rate Table'!A:B,2,FALSE)</f>
        <v>1.16955371</v>
      </c>
      <c r="R136">
        <v>9244.75</v>
      </c>
      <c r="S136">
        <f>Q136*R136</f>
        <v>10812.231660522501</v>
      </c>
      <c r="T136">
        <f>ROUND(R136, 0)</f>
        <v>9245</v>
      </c>
      <c r="U136" s="7" t="s">
        <v>79</v>
      </c>
      <c r="V136">
        <f>VALUE(U136)</f>
        <v>5000</v>
      </c>
      <c r="W136" t="s">
        <v>432</v>
      </c>
      <c r="X136" t="s">
        <v>433</v>
      </c>
      <c r="Y136" t="str">
        <f>CONCATENATE(W136,", ",X136)</f>
        <v>Rome, Lazio</v>
      </c>
      <c r="Z136" t="s">
        <v>76</v>
      </c>
      <c r="AA136" t="str">
        <f>TRIM(Z136)</f>
        <v>Italy</v>
      </c>
      <c r="AB136" t="s">
        <v>58</v>
      </c>
      <c r="AC136">
        <f>LEN("https://www.kickstarter.com/discover/categories/games/")</f>
        <v>54</v>
      </c>
      <c r="AD136" t="str">
        <f>RIGHT(AB136,LEN(AB136)-54)</f>
        <v>tabletop%20games</v>
      </c>
      <c r="AE136" t="str">
        <f>SUBSTITUTE(AD136,"%20"," ")</f>
        <v>tabletop games</v>
      </c>
      <c r="AF136" s="8" t="b">
        <v>0</v>
      </c>
      <c r="AG136" s="8" t="str">
        <f>LOWER(AF136)</f>
        <v>false</v>
      </c>
      <c r="AH136" t="s">
        <v>43</v>
      </c>
      <c r="AJ136" s="18">
        <v>87445</v>
      </c>
      <c r="AK136" s="16"/>
      <c r="AL136" s="16"/>
      <c r="AM136" s="16"/>
      <c r="AN136" s="16"/>
      <c r="AO136" s="16"/>
    </row>
    <row r="137" spans="1:41">
      <c r="A137" s="5">
        <v>1905254051</v>
      </c>
      <c r="B137" s="5" t="str">
        <f t="shared" si="17"/>
        <v>1905254051</v>
      </c>
      <c r="C137" t="s">
        <v>434</v>
      </c>
      <c r="D137" t="str">
        <f>PROPER(C137)</f>
        <v>Matryoshka: A Set-Collection And Trading Game For 3-5P</v>
      </c>
      <c r="E137" s="6">
        <v>43722</v>
      </c>
      <c r="F137" s="6">
        <v>43746</v>
      </c>
      <c r="G137" s="6">
        <v>43786</v>
      </c>
      <c r="H137" s="13">
        <f>G137-F137</f>
        <v>40</v>
      </c>
      <c r="I137" s="13">
        <f t="shared" si="14"/>
        <v>2</v>
      </c>
      <c r="J137" s="13" t="str">
        <f t="shared" si="15"/>
        <v>Week Day</v>
      </c>
      <c r="K137" s="13">
        <f>MONTH(F137)</f>
        <v>10</v>
      </c>
      <c r="L137" s="6" t="b">
        <f>EXACT(E137,F137)</f>
        <v>0</v>
      </c>
      <c r="M137">
        <v>1</v>
      </c>
      <c r="N137">
        <f t="shared" si="16"/>
        <v>1</v>
      </c>
      <c r="O137" t="s">
        <v>37</v>
      </c>
      <c r="P137" t="str">
        <f>UPPER(O137)</f>
        <v>USD</v>
      </c>
      <c r="Q137">
        <f>VLOOKUP(P137,'Exchange Rate Table'!A:B,2,FALSE)</f>
        <v>1</v>
      </c>
      <c r="R137">
        <v>1</v>
      </c>
      <c r="S137">
        <f>Q137*R137</f>
        <v>1</v>
      </c>
      <c r="T137">
        <f>ROUND(R137, 0)</f>
        <v>1</v>
      </c>
      <c r="U137" s="7" t="s">
        <v>164</v>
      </c>
      <c r="V137">
        <f>VALUE(U137)</f>
        <v>500</v>
      </c>
      <c r="W137" t="s">
        <v>435</v>
      </c>
      <c r="X137" t="s">
        <v>185</v>
      </c>
      <c r="Y137" t="str">
        <f>CONCATENATE(W137,", ",X137)</f>
        <v>Orem, UT</v>
      </c>
      <c r="Z137" t="s">
        <v>41</v>
      </c>
      <c r="AA137" t="str">
        <f>TRIM(Z137)</f>
        <v>United States</v>
      </c>
      <c r="AB137" t="s">
        <v>49</v>
      </c>
      <c r="AC137">
        <f>LEN("https://www.kickstarter.com/discover/categories/games/")</f>
        <v>54</v>
      </c>
      <c r="AD137" t="str">
        <f>RIGHT(AB137,LEN(AB137)-54)</f>
        <v>mobile%20games</v>
      </c>
      <c r="AE137" t="str">
        <f>SUBSTITUTE(AD137,"%20"," ")</f>
        <v>mobile games</v>
      </c>
      <c r="AF137" s="8" t="b">
        <v>0</v>
      </c>
      <c r="AG137" s="8" t="str">
        <f>LOWER(AF137)</f>
        <v>false</v>
      </c>
      <c r="AH137" t="s">
        <v>280</v>
      </c>
      <c r="AJ137" s="18">
        <v>109565.5</v>
      </c>
      <c r="AK137" s="16"/>
      <c r="AL137" s="16"/>
      <c r="AM137" s="16"/>
      <c r="AN137" s="16"/>
      <c r="AO137" s="16"/>
    </row>
    <row r="138" spans="1:41">
      <c r="A138" s="5">
        <v>1925222935</v>
      </c>
      <c r="B138" s="5" t="str">
        <f t="shared" si="17"/>
        <v>1925222935</v>
      </c>
      <c r="C138" t="s">
        <v>436</v>
      </c>
      <c r="D138" t="str">
        <f>PROPER(C138)</f>
        <v>Catch The Letch</v>
      </c>
      <c r="E138" s="6">
        <v>43722</v>
      </c>
      <c r="F138" s="6">
        <v>43722</v>
      </c>
      <c r="G138" s="6">
        <v>43737</v>
      </c>
      <c r="H138" s="13">
        <f>G138-F138</f>
        <v>15</v>
      </c>
      <c r="I138" s="13">
        <f t="shared" si="14"/>
        <v>6</v>
      </c>
      <c r="J138" s="13" t="str">
        <f t="shared" si="15"/>
        <v>Weekend</v>
      </c>
      <c r="K138" s="13">
        <f>MONTH(F138)</f>
        <v>9</v>
      </c>
      <c r="L138" s="6" t="b">
        <f>EXACT(E138,F138)</f>
        <v>1</v>
      </c>
      <c r="M138">
        <v>67</v>
      </c>
      <c r="N138">
        <f t="shared" si="16"/>
        <v>67</v>
      </c>
      <c r="O138" t="s">
        <v>37</v>
      </c>
      <c r="P138" t="str">
        <f>UPPER(O138)</f>
        <v>USD</v>
      </c>
      <c r="Q138">
        <f>VLOOKUP(P138,'Exchange Rate Table'!A:B,2,FALSE)</f>
        <v>1</v>
      </c>
      <c r="R138">
        <v>1489</v>
      </c>
      <c r="S138">
        <f>Q138*R138</f>
        <v>1489</v>
      </c>
      <c r="T138">
        <f>ROUND(R138, 0)</f>
        <v>1489</v>
      </c>
      <c r="U138" s="7" t="s">
        <v>164</v>
      </c>
      <c r="V138">
        <f>VALUE(U138)</f>
        <v>500</v>
      </c>
      <c r="W138" t="s">
        <v>437</v>
      </c>
      <c r="X138" t="s">
        <v>122</v>
      </c>
      <c r="Y138" t="str">
        <f>CONCATENATE(W138,", ",X138)</f>
        <v>Stevens Point, WI</v>
      </c>
      <c r="Z138" t="s">
        <v>41</v>
      </c>
      <c r="AA138" t="str">
        <f>TRIM(Z138)</f>
        <v>United States</v>
      </c>
      <c r="AB138" t="s">
        <v>58</v>
      </c>
      <c r="AC138">
        <f>LEN("https://www.kickstarter.com/discover/categories/games/")</f>
        <v>54</v>
      </c>
      <c r="AD138" t="str">
        <f>RIGHT(AB138,LEN(AB138)-54)</f>
        <v>tabletop%20games</v>
      </c>
      <c r="AE138" t="str">
        <f>SUBSTITUTE(AD138,"%20"," ")</f>
        <v>tabletop games</v>
      </c>
      <c r="AF138" s="8" t="b">
        <v>0</v>
      </c>
      <c r="AG138" s="8" t="str">
        <f>LOWER(AF138)</f>
        <v>false</v>
      </c>
      <c r="AH138" t="s">
        <v>43</v>
      </c>
      <c r="AJ138" s="18">
        <v>120066</v>
      </c>
      <c r="AK138" s="16"/>
      <c r="AL138" s="16"/>
      <c r="AM138" s="16"/>
      <c r="AN138" s="16"/>
      <c r="AO138" s="16"/>
    </row>
    <row r="139" spans="1:41">
      <c r="A139" s="5">
        <v>1926175052</v>
      </c>
      <c r="B139" s="5" t="str">
        <f t="shared" si="17"/>
        <v>1926175052</v>
      </c>
      <c r="C139" t="s">
        <v>438</v>
      </c>
      <c r="D139" t="str">
        <f>PROPER(C139)</f>
        <v>Troll'S Teeth: A Tabletop Rpg Game Of Chance‚Ñ¢</v>
      </c>
      <c r="E139" s="6">
        <v>43723</v>
      </c>
      <c r="F139" s="6">
        <v>43782</v>
      </c>
      <c r="G139" s="6">
        <v>43810</v>
      </c>
      <c r="H139" s="13">
        <f>G139-F139</f>
        <v>28</v>
      </c>
      <c r="I139" s="13">
        <f t="shared" si="14"/>
        <v>3</v>
      </c>
      <c r="J139" s="13" t="str">
        <f t="shared" si="15"/>
        <v>Week Day</v>
      </c>
      <c r="K139" s="13">
        <f>MONTH(F139)</f>
        <v>11</v>
      </c>
      <c r="L139" s="6" t="b">
        <f>EXACT(E139,F139)</f>
        <v>0</v>
      </c>
      <c r="M139">
        <v>33</v>
      </c>
      <c r="N139">
        <f t="shared" si="16"/>
        <v>33</v>
      </c>
      <c r="O139" t="s">
        <v>395</v>
      </c>
      <c r="P139" t="str">
        <f>UPPER(O139)</f>
        <v>AUD</v>
      </c>
      <c r="Q139">
        <f>VLOOKUP(P139,'Exchange Rate Table'!A:B,2,FALSE)</f>
        <v>0.90338969999999996</v>
      </c>
      <c r="R139">
        <v>1592.32</v>
      </c>
      <c r="S139">
        <f>Q139*R139</f>
        <v>1438.485487104</v>
      </c>
      <c r="T139">
        <f>ROUND(R139, 0)</f>
        <v>1592</v>
      </c>
      <c r="U139" s="7" t="s">
        <v>312</v>
      </c>
      <c r="V139">
        <f>VALUE(U139)</f>
        <v>8000</v>
      </c>
      <c r="W139" t="s">
        <v>396</v>
      </c>
      <c r="X139" t="s">
        <v>397</v>
      </c>
      <c r="Y139" t="str">
        <f>CONCATENATE(W139,", ",X139)</f>
        <v>Sydney, NSW</v>
      </c>
      <c r="Z139" t="s">
        <v>398</v>
      </c>
      <c r="AA139" t="str">
        <f>TRIM(Z139)</f>
        <v>Australia</v>
      </c>
      <c r="AB139" t="s">
        <v>58</v>
      </c>
      <c r="AC139">
        <f>LEN("https://www.kickstarter.com/discover/categories/games/")</f>
        <v>54</v>
      </c>
      <c r="AD139" t="str">
        <f>RIGHT(AB139,LEN(AB139)-54)</f>
        <v>tabletop%20games</v>
      </c>
      <c r="AE139" t="str">
        <f>SUBSTITUTE(AD139,"%20"," ")</f>
        <v>tabletop games</v>
      </c>
      <c r="AF139" s="8" t="b">
        <v>0</v>
      </c>
      <c r="AG139" s="8" t="str">
        <f>LOWER(AF139)</f>
        <v>false</v>
      </c>
      <c r="AH139" t="s">
        <v>280</v>
      </c>
      <c r="AJ139" s="18">
        <v>123665</v>
      </c>
      <c r="AK139" s="16"/>
      <c r="AL139" s="16"/>
      <c r="AM139" s="16"/>
      <c r="AN139" s="16"/>
      <c r="AO139" s="16"/>
    </row>
    <row r="140" spans="1:41">
      <c r="A140" s="5">
        <v>1929508597</v>
      </c>
      <c r="B140" s="5" t="str">
        <f t="shared" si="17"/>
        <v>1929508597</v>
      </c>
      <c r="C140" t="s">
        <v>439</v>
      </c>
      <c r="D140" t="str">
        <f>PROPER(C140)</f>
        <v>Fearsome Critters</v>
      </c>
      <c r="E140" s="6">
        <v>43728</v>
      </c>
      <c r="F140" s="6">
        <v>43730</v>
      </c>
      <c r="G140" s="6">
        <v>43751</v>
      </c>
      <c r="H140" s="13">
        <f>G140-F140</f>
        <v>21</v>
      </c>
      <c r="I140" s="13">
        <f t="shared" si="14"/>
        <v>7</v>
      </c>
      <c r="J140" s="13" t="str">
        <f t="shared" si="15"/>
        <v>Weekend</v>
      </c>
      <c r="K140" s="13">
        <f>MONTH(F140)</f>
        <v>9</v>
      </c>
      <c r="L140" s="6" t="b">
        <f>EXACT(E140,F140)</f>
        <v>0</v>
      </c>
      <c r="M140">
        <v>1756</v>
      </c>
      <c r="N140">
        <f t="shared" si="16"/>
        <v>1756</v>
      </c>
      <c r="O140" t="s">
        <v>72</v>
      </c>
      <c r="P140" t="str">
        <f>UPPER(O140)</f>
        <v>EUR</v>
      </c>
      <c r="Q140">
        <f>VLOOKUP(P140,'Exchange Rate Table'!A:B,2,FALSE)</f>
        <v>1.16955371</v>
      </c>
      <c r="R140">
        <v>123665</v>
      </c>
      <c r="S140">
        <f>Q140*R140</f>
        <v>144632.85954715</v>
      </c>
      <c r="T140">
        <f>ROUND(R140, 0)</f>
        <v>123665</v>
      </c>
      <c r="U140" s="7" t="s">
        <v>187</v>
      </c>
      <c r="V140">
        <f>VALUE(U140)</f>
        <v>10000</v>
      </c>
      <c r="W140" t="s">
        <v>440</v>
      </c>
      <c r="X140" t="s">
        <v>440</v>
      </c>
      <c r="Y140" t="str">
        <f>CONCATENATE(W140,", ",X140)</f>
        <v>Hamburg, Hamburg</v>
      </c>
      <c r="Z140" t="s">
        <v>207</v>
      </c>
      <c r="AA140" t="str">
        <f>TRIM(Z140)</f>
        <v>Germany</v>
      </c>
      <c r="AB140" t="s">
        <v>58</v>
      </c>
      <c r="AC140">
        <f>LEN("https://www.kickstarter.com/discover/categories/games/")</f>
        <v>54</v>
      </c>
      <c r="AD140" t="str">
        <f>RIGHT(AB140,LEN(AB140)-54)</f>
        <v>tabletop%20games</v>
      </c>
      <c r="AE140" t="str">
        <f>SUBSTITUTE(AD140,"%20"," ")</f>
        <v>tabletop games</v>
      </c>
      <c r="AF140" s="8" t="b">
        <v>0</v>
      </c>
      <c r="AG140" s="8" t="str">
        <f>LOWER(AF140)</f>
        <v>false</v>
      </c>
      <c r="AH140" t="s">
        <v>43</v>
      </c>
      <c r="AJ140" s="18">
        <v>135083.28</v>
      </c>
      <c r="AK140" s="16"/>
      <c r="AL140" s="16"/>
      <c r="AM140" s="16"/>
      <c r="AN140" s="16"/>
      <c r="AO140" s="16"/>
    </row>
    <row r="141" spans="1:41">
      <c r="A141" s="5">
        <v>1950581568</v>
      </c>
      <c r="B141" s="5" t="str">
        <f t="shared" si="17"/>
        <v>1950581568</v>
      </c>
      <c r="C141" t="s">
        <v>441</v>
      </c>
      <c r="D141" t="str">
        <f>PROPER(C141)</f>
        <v>53 Films</v>
      </c>
      <c r="E141" s="6">
        <v>43731</v>
      </c>
      <c r="F141" s="6">
        <v>43746</v>
      </c>
      <c r="G141" s="6">
        <v>43776</v>
      </c>
      <c r="H141" s="13">
        <f>G141-F141</f>
        <v>30</v>
      </c>
      <c r="I141" s="13">
        <f t="shared" si="14"/>
        <v>2</v>
      </c>
      <c r="J141" s="13" t="str">
        <f t="shared" si="15"/>
        <v>Week Day</v>
      </c>
      <c r="K141" s="13">
        <f>MONTH(F141)</f>
        <v>10</v>
      </c>
      <c r="L141" s="6" t="b">
        <f>EXACT(E141,F141)</f>
        <v>0</v>
      </c>
      <c r="M141">
        <v>112</v>
      </c>
      <c r="N141">
        <f t="shared" si="16"/>
        <v>112</v>
      </c>
      <c r="O141" t="s">
        <v>37</v>
      </c>
      <c r="P141" t="str">
        <f>UPPER(O141)</f>
        <v>USD</v>
      </c>
      <c r="Q141">
        <f>VLOOKUP(P141,'Exchange Rate Table'!A:B,2,FALSE)</f>
        <v>1</v>
      </c>
      <c r="R141">
        <v>6029</v>
      </c>
      <c r="S141">
        <f>Q141*R141</f>
        <v>6029</v>
      </c>
      <c r="T141">
        <f>ROUND(R141, 0)</f>
        <v>6029</v>
      </c>
      <c r="U141" s="7" t="s">
        <v>442</v>
      </c>
      <c r="V141">
        <f>VALUE(U141)</f>
        <v>5600</v>
      </c>
      <c r="W141" t="s">
        <v>409</v>
      </c>
      <c r="X141" t="s">
        <v>358</v>
      </c>
      <c r="Y141" t="str">
        <f>CONCATENATE(W141,", ",X141)</f>
        <v>Boston, MA</v>
      </c>
      <c r="Z141" t="s">
        <v>41</v>
      </c>
      <c r="AA141" t="str">
        <f>TRIM(Z141)</f>
        <v>United States</v>
      </c>
      <c r="AB141" t="s">
        <v>70</v>
      </c>
      <c r="AC141">
        <f>LEN("https://www.kickstarter.com/discover/categories/games/")</f>
        <v>54</v>
      </c>
      <c r="AD141" t="str">
        <f>RIGHT(AB141,LEN(AB141)-54)</f>
        <v>playing%20cards</v>
      </c>
      <c r="AE141" t="str">
        <f>SUBSTITUTE(AD141,"%20"," ")</f>
        <v>playing cards</v>
      </c>
      <c r="AF141" s="8" t="b">
        <v>0</v>
      </c>
      <c r="AG141" s="8" t="str">
        <f>LOWER(AF141)</f>
        <v>false</v>
      </c>
      <c r="AH141" t="s">
        <v>43</v>
      </c>
      <c r="AJ141" s="18">
        <v>136578</v>
      </c>
      <c r="AK141" s="16"/>
      <c r="AL141" s="16"/>
      <c r="AM141" s="16"/>
      <c r="AN141" s="16"/>
      <c r="AO141" s="16"/>
    </row>
    <row r="142" spans="1:41">
      <c r="A142" s="5">
        <v>1951658552</v>
      </c>
      <c r="B142" s="5" t="str">
        <f t="shared" si="17"/>
        <v>1951658552</v>
      </c>
      <c r="C142" t="s">
        <v>443</v>
      </c>
      <c r="D142" t="str">
        <f>PROPER(C142)</f>
        <v>Twist Gaming - Year 4</v>
      </c>
      <c r="E142" s="6">
        <v>43732</v>
      </c>
      <c r="F142" s="6">
        <v>43735</v>
      </c>
      <c r="G142" s="6">
        <v>43765</v>
      </c>
      <c r="H142" s="13">
        <f>G142-F142</f>
        <v>30</v>
      </c>
      <c r="I142" s="13">
        <f t="shared" si="14"/>
        <v>5</v>
      </c>
      <c r="J142" s="13" t="str">
        <f t="shared" si="15"/>
        <v>Week Day</v>
      </c>
      <c r="K142" s="13">
        <f>MONTH(F142)</f>
        <v>9</v>
      </c>
      <c r="L142" s="6" t="b">
        <f>EXACT(E142,F142)</f>
        <v>0</v>
      </c>
      <c r="M142">
        <v>14</v>
      </c>
      <c r="N142">
        <f t="shared" si="16"/>
        <v>14</v>
      </c>
      <c r="O142" t="s">
        <v>37</v>
      </c>
      <c r="P142" t="str">
        <f>UPPER(O142)</f>
        <v>USD</v>
      </c>
      <c r="Q142">
        <f>VLOOKUP(P142,'Exchange Rate Table'!A:B,2,FALSE)</f>
        <v>1</v>
      </c>
      <c r="R142">
        <v>479</v>
      </c>
      <c r="S142">
        <f>Q142*R142</f>
        <v>479</v>
      </c>
      <c r="T142">
        <f>ROUND(R142, 0)</f>
        <v>479</v>
      </c>
      <c r="U142" s="7" t="s">
        <v>444</v>
      </c>
      <c r="V142">
        <f>VALUE(U142)</f>
        <v>1600</v>
      </c>
      <c r="W142" t="s">
        <v>445</v>
      </c>
      <c r="X142" t="s">
        <v>446</v>
      </c>
      <c r="Y142" t="str">
        <f>CONCATENATE(W142,", ",X142)</f>
        <v>Idaho Falls, ID</v>
      </c>
      <c r="Z142" t="s">
        <v>41</v>
      </c>
      <c r="AA142" t="str">
        <f>TRIM(Z142)</f>
        <v>United States</v>
      </c>
      <c r="AB142" t="s">
        <v>70</v>
      </c>
      <c r="AC142">
        <f>LEN("https://www.kickstarter.com/discover/categories/games/")</f>
        <v>54</v>
      </c>
      <c r="AD142" t="str">
        <f>RIGHT(AB142,LEN(AB142)-54)</f>
        <v>playing%20cards</v>
      </c>
      <c r="AE142" t="str">
        <f>SUBSTITUTE(AD142,"%20"," ")</f>
        <v>playing cards</v>
      </c>
      <c r="AF142" s="8" t="b">
        <v>0</v>
      </c>
      <c r="AG142" s="8" t="str">
        <f>LOWER(AF142)</f>
        <v>false</v>
      </c>
      <c r="AH142" t="s">
        <v>50</v>
      </c>
      <c r="AJ142" s="18">
        <v>136726</v>
      </c>
      <c r="AK142" s="16"/>
      <c r="AL142" s="16"/>
      <c r="AM142" s="16"/>
      <c r="AN142" s="16"/>
      <c r="AO142" s="16"/>
    </row>
    <row r="143" spans="1:41">
      <c r="A143" s="5">
        <v>1975006817</v>
      </c>
      <c r="B143" s="5" t="str">
        <f t="shared" si="17"/>
        <v>1975006817</v>
      </c>
      <c r="C143" t="s">
        <v>447</v>
      </c>
      <c r="D143" t="str">
        <f>PROPER(C143)</f>
        <v>Burgle Bros 2: The Casino Capers</v>
      </c>
      <c r="E143" s="6">
        <v>43734</v>
      </c>
      <c r="F143" s="6">
        <v>43754</v>
      </c>
      <c r="G143" s="6">
        <v>43775</v>
      </c>
      <c r="H143" s="13">
        <f>G143-F143</f>
        <v>21</v>
      </c>
      <c r="I143" s="13">
        <f t="shared" si="14"/>
        <v>3</v>
      </c>
      <c r="J143" s="13" t="str">
        <f t="shared" si="15"/>
        <v>Week Day</v>
      </c>
      <c r="K143" s="13">
        <f>MONTH(F143)</f>
        <v>10</v>
      </c>
      <c r="L143" s="6" t="b">
        <f>EXACT(E143,F143)</f>
        <v>0</v>
      </c>
      <c r="M143">
        <v>21735</v>
      </c>
      <c r="N143">
        <f t="shared" si="16"/>
        <v>21735</v>
      </c>
      <c r="O143" t="s">
        <v>37</v>
      </c>
      <c r="P143" t="str">
        <f>UPPER(O143)</f>
        <v>USD</v>
      </c>
      <c r="Q143">
        <f>VLOOKUP(P143,'Exchange Rate Table'!A:B,2,FALSE)</f>
        <v>1</v>
      </c>
      <c r="R143">
        <v>3410084.24</v>
      </c>
      <c r="S143">
        <f>Q143*R143</f>
        <v>3410084.24</v>
      </c>
      <c r="T143">
        <f>ROUND(R143, 0)</f>
        <v>3410084</v>
      </c>
      <c r="U143" s="7" t="s">
        <v>448</v>
      </c>
      <c r="V143">
        <f>VALUE(U143)</f>
        <v>250000</v>
      </c>
      <c r="W143" t="s">
        <v>449</v>
      </c>
      <c r="X143" t="s">
        <v>252</v>
      </c>
      <c r="Y143" t="str">
        <f>CONCATENATE(W143,", ",X143)</f>
        <v>Atlanta, GA</v>
      </c>
      <c r="Z143" t="s">
        <v>41</v>
      </c>
      <c r="AA143" t="str">
        <f>TRIM(Z143)</f>
        <v>United States</v>
      </c>
      <c r="AB143" t="s">
        <v>58</v>
      </c>
      <c r="AC143">
        <f>LEN("https://www.kickstarter.com/discover/categories/games/")</f>
        <v>54</v>
      </c>
      <c r="AD143" t="str">
        <f>RIGHT(AB143,LEN(AB143)-54)</f>
        <v>tabletop%20games</v>
      </c>
      <c r="AE143" t="str">
        <f>SUBSTITUTE(AD143,"%20"," ")</f>
        <v>tabletop games</v>
      </c>
      <c r="AF143" s="8" t="b">
        <v>1</v>
      </c>
      <c r="AG143" s="8" t="str">
        <f>LOWER(AF143)</f>
        <v>true</v>
      </c>
      <c r="AH143" t="s">
        <v>43</v>
      </c>
      <c r="AJ143" s="18">
        <v>139131</v>
      </c>
      <c r="AK143" s="16"/>
      <c r="AL143" s="16"/>
      <c r="AM143" s="16"/>
      <c r="AN143" s="16"/>
      <c r="AO143" s="16"/>
    </row>
    <row r="144" spans="1:41">
      <c r="A144" s="5">
        <v>1977071313</v>
      </c>
      <c r="B144" s="5" t="str">
        <f t="shared" si="17"/>
        <v>1977071313</v>
      </c>
      <c r="C144" t="s">
        <v>450</v>
      </c>
      <c r="D144" t="str">
        <f>PROPER(C144)</f>
        <v>Cigar Box Battle - Double Sided Battle Mats! New Designs!</v>
      </c>
      <c r="E144" s="6">
        <v>43734</v>
      </c>
      <c r="F144" s="6">
        <v>43734</v>
      </c>
      <c r="G144" s="6">
        <v>43764</v>
      </c>
      <c r="H144" s="13">
        <f>G144-F144</f>
        <v>30</v>
      </c>
      <c r="I144" s="13">
        <f t="shared" si="14"/>
        <v>4</v>
      </c>
      <c r="J144" s="13" t="str">
        <f t="shared" si="15"/>
        <v>Week Day</v>
      </c>
      <c r="K144" s="13">
        <f>MONTH(F144)</f>
        <v>9</v>
      </c>
      <c r="L144" s="6" t="b">
        <f>EXACT(E144,F144)</f>
        <v>1</v>
      </c>
      <c r="M144">
        <v>90</v>
      </c>
      <c r="N144">
        <f t="shared" si="16"/>
        <v>90</v>
      </c>
      <c r="O144" t="s">
        <v>212</v>
      </c>
      <c r="P144" t="str">
        <f>UPPER(O144)</f>
        <v>HKD</v>
      </c>
      <c r="Q144">
        <f>VLOOKUP(P144,'Exchange Rate Table'!A:B,2,FALSE)</f>
        <v>0.12847297999999999</v>
      </c>
      <c r="R144">
        <v>53416</v>
      </c>
      <c r="S144">
        <f>Q144*R144</f>
        <v>6862.5126996799991</v>
      </c>
      <c r="T144">
        <f>ROUND(R144, 0)</f>
        <v>53416</v>
      </c>
      <c r="U144" s="7" t="s">
        <v>451</v>
      </c>
      <c r="V144">
        <f>VALUE(U144)</f>
        <v>48000</v>
      </c>
      <c r="W144" t="s">
        <v>452</v>
      </c>
      <c r="X144" t="s">
        <v>453</v>
      </c>
      <c r="Y144" t="str">
        <f>CONCATENATE(W144,", ",X144)</f>
        <v>Cheung Chau, Outlying Islands</v>
      </c>
      <c r="Z144" t="s">
        <v>215</v>
      </c>
      <c r="AA144" t="str">
        <f>TRIM(Z144)</f>
        <v>Hong Kong</v>
      </c>
      <c r="AB144" t="s">
        <v>58</v>
      </c>
      <c r="AC144">
        <f>LEN("https://www.kickstarter.com/discover/categories/games/")</f>
        <v>54</v>
      </c>
      <c r="AD144" t="str">
        <f>RIGHT(AB144,LEN(AB144)-54)</f>
        <v>tabletop%20games</v>
      </c>
      <c r="AE144" t="str">
        <f>SUBSTITUTE(AD144,"%20"," ")</f>
        <v>tabletop games</v>
      </c>
      <c r="AF144" s="8" t="b">
        <v>0</v>
      </c>
      <c r="AG144" s="8" t="str">
        <f>LOWER(AF144)</f>
        <v>false</v>
      </c>
      <c r="AH144" t="s">
        <v>43</v>
      </c>
      <c r="AJ144" s="18">
        <v>157049</v>
      </c>
      <c r="AK144" s="16"/>
      <c r="AL144" s="16"/>
      <c r="AM144" s="16"/>
      <c r="AN144" s="16"/>
      <c r="AO144" s="16"/>
    </row>
    <row r="145" spans="1:41">
      <c r="A145" s="5">
        <v>1997832529</v>
      </c>
      <c r="B145" s="5" t="str">
        <f t="shared" si="17"/>
        <v>1997832529</v>
      </c>
      <c r="C145" t="s">
        <v>454</v>
      </c>
      <c r="D145" t="str">
        <f>PROPER(C145)</f>
        <v>Wooden Exquisite Collection Playing Cards Display</v>
      </c>
      <c r="E145" s="6">
        <v>43739</v>
      </c>
      <c r="F145" s="6">
        <v>43766</v>
      </c>
      <c r="G145" s="6">
        <v>43772</v>
      </c>
      <c r="H145" s="13">
        <f>G145-F145</f>
        <v>6</v>
      </c>
      <c r="I145" s="13">
        <f t="shared" si="14"/>
        <v>1</v>
      </c>
      <c r="J145" s="13" t="str">
        <f t="shared" si="15"/>
        <v>Week Day</v>
      </c>
      <c r="K145" s="13">
        <f>MONTH(F145)</f>
        <v>10</v>
      </c>
      <c r="L145" s="6" t="b">
        <f>EXACT(E145,F145)</f>
        <v>0</v>
      </c>
      <c r="M145">
        <v>559</v>
      </c>
      <c r="N145">
        <f t="shared" si="16"/>
        <v>559</v>
      </c>
      <c r="O145" t="s">
        <v>53</v>
      </c>
      <c r="P145" t="str">
        <f>UPPER(O145)</f>
        <v>GBP</v>
      </c>
      <c r="Q145">
        <f>VLOOKUP(P145,'Exchange Rate Table'!A:B,2,FALSE)</f>
        <v>1.49576325</v>
      </c>
      <c r="R145">
        <v>36602</v>
      </c>
      <c r="S145">
        <f>Q145*R145</f>
        <v>54747.926476499997</v>
      </c>
      <c r="T145">
        <f>ROUND(R145, 0)</f>
        <v>36602</v>
      </c>
      <c r="U145" s="7" t="s">
        <v>400</v>
      </c>
      <c r="V145">
        <f>VALUE(U145)</f>
        <v>4000</v>
      </c>
      <c r="W145" t="s">
        <v>455</v>
      </c>
      <c r="X145" t="s">
        <v>56</v>
      </c>
      <c r="Y145" t="str">
        <f>CONCATENATE(W145,", ",X145)</f>
        <v>County Durham, England</v>
      </c>
      <c r="Z145" t="s">
        <v>57</v>
      </c>
      <c r="AA145" t="str">
        <f>TRIM(Z145)</f>
        <v>United Kingdom</v>
      </c>
      <c r="AB145" t="s">
        <v>58</v>
      </c>
      <c r="AC145">
        <f>LEN("https://www.kickstarter.com/discover/categories/games/")</f>
        <v>54</v>
      </c>
      <c r="AD145" t="str">
        <f>RIGHT(AB145,LEN(AB145)-54)</f>
        <v>tabletop%20games</v>
      </c>
      <c r="AE145" t="str">
        <f>SUBSTITUTE(AD145,"%20"," ")</f>
        <v>tabletop games</v>
      </c>
      <c r="AF145" s="8" t="b">
        <v>0</v>
      </c>
      <c r="AG145" s="8" t="str">
        <f>LOWER(AF145)</f>
        <v>false</v>
      </c>
      <c r="AH145" t="s">
        <v>43</v>
      </c>
      <c r="AJ145" s="18">
        <v>166304</v>
      </c>
      <c r="AK145" s="16"/>
      <c r="AL145" s="16"/>
      <c r="AM145" s="16"/>
      <c r="AN145" s="16"/>
      <c r="AO145" s="16"/>
    </row>
    <row r="146" spans="1:41">
      <c r="A146" s="5">
        <v>2001270294</v>
      </c>
      <c r="B146" s="5" t="str">
        <f t="shared" si="17"/>
        <v>2001270294</v>
      </c>
      <c r="C146" t="s">
        <v>456</v>
      </c>
      <c r="D146" t="str">
        <f>PROPER(C146)</f>
        <v>Double Cards - Cards That Give You Choices</v>
      </c>
      <c r="E146" s="6">
        <v>43741</v>
      </c>
      <c r="F146" s="6">
        <v>43767</v>
      </c>
      <c r="G146" s="6">
        <v>43785</v>
      </c>
      <c r="H146" s="13">
        <f>G146-F146</f>
        <v>18</v>
      </c>
      <c r="I146" s="13">
        <f t="shared" si="14"/>
        <v>2</v>
      </c>
      <c r="J146" s="13" t="str">
        <f t="shared" si="15"/>
        <v>Week Day</v>
      </c>
      <c r="K146" s="13">
        <f>MONTH(F146)</f>
        <v>10</v>
      </c>
      <c r="L146" s="6" t="b">
        <f>EXACT(E146,F146)</f>
        <v>0</v>
      </c>
      <c r="M146">
        <v>428</v>
      </c>
      <c r="N146">
        <f t="shared" si="16"/>
        <v>428</v>
      </c>
      <c r="O146" t="s">
        <v>37</v>
      </c>
      <c r="P146" t="str">
        <f>UPPER(O146)</f>
        <v>USD</v>
      </c>
      <c r="Q146">
        <f>VLOOKUP(P146,'Exchange Rate Table'!A:B,2,FALSE)</f>
        <v>1</v>
      </c>
      <c r="R146">
        <v>23347</v>
      </c>
      <c r="S146">
        <f>Q146*R146</f>
        <v>23347</v>
      </c>
      <c r="T146">
        <f>ROUND(R146, 0)</f>
        <v>23347</v>
      </c>
      <c r="U146" s="7" t="s">
        <v>457</v>
      </c>
      <c r="V146">
        <f>VALUE(U146)</f>
        <v>26000</v>
      </c>
      <c r="W146" t="s">
        <v>458</v>
      </c>
      <c r="X146" t="s">
        <v>194</v>
      </c>
      <c r="Y146" t="str">
        <f>CONCATENATE(W146,", ",X146)</f>
        <v>Longview, TX</v>
      </c>
      <c r="Z146" t="s">
        <v>41</v>
      </c>
      <c r="AA146" t="str">
        <f>TRIM(Z146)</f>
        <v>United States</v>
      </c>
      <c r="AB146" t="s">
        <v>58</v>
      </c>
      <c r="AC146">
        <f>LEN("https://www.kickstarter.com/discover/categories/games/")</f>
        <v>54</v>
      </c>
      <c r="AD146" t="str">
        <f>RIGHT(AB146,LEN(AB146)-54)</f>
        <v>tabletop%20games</v>
      </c>
      <c r="AE146" t="str">
        <f>SUBSTITUTE(AD146,"%20"," ")</f>
        <v>tabletop games</v>
      </c>
      <c r="AF146" s="8" t="b">
        <v>0</v>
      </c>
      <c r="AG146" s="8" t="str">
        <f>LOWER(AF146)</f>
        <v>false</v>
      </c>
      <c r="AH146" t="s">
        <v>280</v>
      </c>
      <c r="AJ146" s="18">
        <v>265211.90999999997</v>
      </c>
      <c r="AK146" s="16"/>
      <c r="AL146" s="16"/>
      <c r="AM146" s="16"/>
      <c r="AN146" s="16"/>
      <c r="AO146" s="16"/>
    </row>
    <row r="147" spans="1:41">
      <c r="A147" s="5">
        <v>2001427184</v>
      </c>
      <c r="B147" s="5" t="str">
        <f t="shared" si="17"/>
        <v>2001427184</v>
      </c>
      <c r="C147" t="s">
        <v>459</v>
      </c>
      <c r="D147" t="str">
        <f>PROPER(C147)</f>
        <v>The 1 Dollar Campaign: Break Kickstarter</v>
      </c>
      <c r="E147" s="6">
        <v>43741</v>
      </c>
      <c r="F147" s="6">
        <v>43749</v>
      </c>
      <c r="G147" s="6">
        <v>43779</v>
      </c>
      <c r="H147" s="13">
        <f>G147-F147</f>
        <v>30</v>
      </c>
      <c r="I147" s="13">
        <f t="shared" si="14"/>
        <v>5</v>
      </c>
      <c r="J147" s="13" t="str">
        <f t="shared" si="15"/>
        <v>Week Day</v>
      </c>
      <c r="K147" s="13">
        <f>MONTH(F147)</f>
        <v>10</v>
      </c>
      <c r="L147" s="6" t="b">
        <f>EXACT(E147,F147)</f>
        <v>0</v>
      </c>
      <c r="M147">
        <v>90</v>
      </c>
      <c r="N147">
        <f t="shared" si="16"/>
        <v>90</v>
      </c>
      <c r="O147" t="s">
        <v>72</v>
      </c>
      <c r="P147" t="str">
        <f>UPPER(O147)</f>
        <v>EUR</v>
      </c>
      <c r="Q147">
        <f>VLOOKUP(P147,'Exchange Rate Table'!A:B,2,FALSE)</f>
        <v>1.16955371</v>
      </c>
      <c r="R147">
        <v>4212</v>
      </c>
      <c r="S147">
        <f>Q147*R147</f>
        <v>4926.1602265199999</v>
      </c>
      <c r="T147">
        <f>ROUND(R147, 0)</f>
        <v>4212</v>
      </c>
      <c r="U147" s="7" t="s">
        <v>142</v>
      </c>
      <c r="V147">
        <f>VALUE(U147)</f>
        <v>3000</v>
      </c>
      <c r="W147" t="s">
        <v>460</v>
      </c>
      <c r="X147" t="s">
        <v>75</v>
      </c>
      <c r="Y147" t="str">
        <f>CONCATENATE(W147,", ",X147)</f>
        <v>Porto Mantovano, Lombardy</v>
      </c>
      <c r="Z147" t="s">
        <v>76</v>
      </c>
      <c r="AA147" t="str">
        <f>TRIM(Z147)</f>
        <v>Italy</v>
      </c>
      <c r="AB147" t="s">
        <v>58</v>
      </c>
      <c r="AC147">
        <f>LEN("https://www.kickstarter.com/discover/categories/games/")</f>
        <v>54</v>
      </c>
      <c r="AD147" t="str">
        <f>RIGHT(AB147,LEN(AB147)-54)</f>
        <v>tabletop%20games</v>
      </c>
      <c r="AE147" t="str">
        <f>SUBSTITUTE(AD147,"%20"," ")</f>
        <v>tabletop games</v>
      </c>
      <c r="AF147" s="8" t="b">
        <v>0</v>
      </c>
      <c r="AG147" s="8" t="str">
        <f>LOWER(AF147)</f>
        <v>false</v>
      </c>
      <c r="AH147" t="s">
        <v>43</v>
      </c>
      <c r="AJ147" s="18">
        <v>358133</v>
      </c>
      <c r="AK147" s="16"/>
      <c r="AL147" s="16"/>
      <c r="AM147" s="16"/>
      <c r="AN147" s="16"/>
      <c r="AO147" s="16"/>
    </row>
    <row r="148" spans="1:41">
      <c r="A148" s="5">
        <v>2017245526</v>
      </c>
      <c r="B148" s="5" t="str">
        <f t="shared" si="17"/>
        <v>2017245526</v>
      </c>
      <c r="C148" t="s">
        <v>461</v>
      </c>
      <c r="D148" t="str">
        <f>PROPER(C148)</f>
        <v>Emberlord</v>
      </c>
      <c r="E148" s="6">
        <v>43742</v>
      </c>
      <c r="F148" s="6">
        <v>43745</v>
      </c>
      <c r="G148" s="6">
        <v>43775</v>
      </c>
      <c r="H148" s="13">
        <f>G148-F148</f>
        <v>30</v>
      </c>
      <c r="I148" s="13">
        <f t="shared" si="14"/>
        <v>1</v>
      </c>
      <c r="J148" s="13" t="str">
        <f t="shared" si="15"/>
        <v>Week Day</v>
      </c>
      <c r="K148" s="13">
        <f>MONTH(F148)</f>
        <v>10</v>
      </c>
      <c r="L148" s="6" t="b">
        <f>EXACT(E148,F148)</f>
        <v>0</v>
      </c>
      <c r="M148">
        <v>133</v>
      </c>
      <c r="N148">
        <f t="shared" si="16"/>
        <v>133</v>
      </c>
      <c r="O148" t="s">
        <v>37</v>
      </c>
      <c r="P148" t="str">
        <f>UPPER(O148)</f>
        <v>USD</v>
      </c>
      <c r="Q148">
        <f>VLOOKUP(P148,'Exchange Rate Table'!A:B,2,FALSE)</f>
        <v>1</v>
      </c>
      <c r="R148">
        <v>3850</v>
      </c>
      <c r="S148">
        <f>Q148*R148</f>
        <v>3850</v>
      </c>
      <c r="T148">
        <f>ROUND(R148, 0)</f>
        <v>3850</v>
      </c>
      <c r="U148" s="7" t="s">
        <v>142</v>
      </c>
      <c r="V148">
        <f>VALUE(U148)</f>
        <v>3000</v>
      </c>
      <c r="W148" t="s">
        <v>109</v>
      </c>
      <c r="X148" t="s">
        <v>110</v>
      </c>
      <c r="Y148" t="str">
        <f>CONCATENATE(W148,", ",X148)</f>
        <v>Seattle, WA</v>
      </c>
      <c r="Z148" t="s">
        <v>41</v>
      </c>
      <c r="AA148" t="str">
        <f>TRIM(Z148)</f>
        <v>United States</v>
      </c>
      <c r="AB148" t="s">
        <v>58</v>
      </c>
      <c r="AC148">
        <f>LEN("https://www.kickstarter.com/discover/categories/games/")</f>
        <v>54</v>
      </c>
      <c r="AD148" t="str">
        <f>RIGHT(AB148,LEN(AB148)-54)</f>
        <v>tabletop%20games</v>
      </c>
      <c r="AE148" t="str">
        <f>SUBSTITUTE(AD148,"%20"," ")</f>
        <v>tabletop games</v>
      </c>
      <c r="AF148" s="8" t="b">
        <v>0</v>
      </c>
      <c r="AG148" s="8" t="str">
        <f>LOWER(AF148)</f>
        <v>false</v>
      </c>
      <c r="AH148" t="s">
        <v>43</v>
      </c>
      <c r="AJ148" s="18">
        <v>389552</v>
      </c>
      <c r="AK148" s="16"/>
      <c r="AL148" s="16"/>
      <c r="AM148" s="16"/>
      <c r="AN148" s="16"/>
      <c r="AO148" s="16"/>
    </row>
    <row r="149" spans="1:41">
      <c r="A149" s="5">
        <v>2033432418</v>
      </c>
      <c r="B149" s="5" t="str">
        <f t="shared" si="17"/>
        <v>2033432418</v>
      </c>
      <c r="C149" t="s">
        <v>462</v>
      </c>
      <c r="D149" t="str">
        <f>PROPER(C149)</f>
        <v>Prowlers &amp; Paragons Ultimate Edition</v>
      </c>
      <c r="E149" s="6"/>
      <c r="F149" s="6">
        <v>43776</v>
      </c>
      <c r="G149" s="6">
        <v>43803</v>
      </c>
      <c r="H149" s="13">
        <f>G149-F149</f>
        <v>27</v>
      </c>
      <c r="I149" s="13">
        <f t="shared" si="14"/>
        <v>4</v>
      </c>
      <c r="J149" s="13" t="str">
        <f t="shared" si="15"/>
        <v>Week Day</v>
      </c>
      <c r="K149" s="13">
        <f>MONTH(F149)</f>
        <v>11</v>
      </c>
      <c r="L149" s="6" t="b">
        <f>EXACT(E149,F149)</f>
        <v>0</v>
      </c>
      <c r="M149">
        <v>135</v>
      </c>
      <c r="N149">
        <f t="shared" si="16"/>
        <v>135</v>
      </c>
      <c r="O149" t="s">
        <v>37</v>
      </c>
      <c r="P149" t="str">
        <f>UPPER(O149)</f>
        <v>USD</v>
      </c>
      <c r="Q149">
        <f>VLOOKUP(P149,'Exchange Rate Table'!A:B,2,FALSE)</f>
        <v>1</v>
      </c>
      <c r="R149">
        <v>4951</v>
      </c>
      <c r="S149">
        <f>Q149*R149</f>
        <v>4951</v>
      </c>
      <c r="T149">
        <f>ROUND(R149, 0)</f>
        <v>4951</v>
      </c>
      <c r="U149" s="7" t="s">
        <v>164</v>
      </c>
      <c r="V149">
        <f>VALUE(U149)</f>
        <v>500</v>
      </c>
      <c r="W149" t="s">
        <v>463</v>
      </c>
      <c r="X149" t="s">
        <v>69</v>
      </c>
      <c r="Y149" t="str">
        <f>CONCATENATE(W149,", ",X149)</f>
        <v>Burbank, CA</v>
      </c>
      <c r="Z149" t="s">
        <v>41</v>
      </c>
      <c r="AA149" t="str">
        <f>TRIM(Z149)</f>
        <v>United States</v>
      </c>
      <c r="AB149" t="s">
        <v>58</v>
      </c>
      <c r="AC149">
        <f>LEN("https://www.kickstarter.com/discover/categories/games/")</f>
        <v>54</v>
      </c>
      <c r="AD149" t="str">
        <f>RIGHT(AB149,LEN(AB149)-54)</f>
        <v>tabletop%20games</v>
      </c>
      <c r="AE149" t="str">
        <f>SUBSTITUTE(AD149,"%20"," ")</f>
        <v>tabletop games</v>
      </c>
      <c r="AF149" s="8" t="b">
        <v>0</v>
      </c>
      <c r="AG149" s="8" t="str">
        <f>LOWER(AF149)</f>
        <v>false</v>
      </c>
      <c r="AH149" t="s">
        <v>280</v>
      </c>
      <c r="AJ149" s="18">
        <v>431368.21</v>
      </c>
      <c r="AK149" s="16"/>
      <c r="AL149" s="16"/>
      <c r="AM149" s="16"/>
      <c r="AN149" s="16"/>
      <c r="AO149" s="16"/>
    </row>
    <row r="150" spans="1:41">
      <c r="A150" s="5">
        <v>2034458156</v>
      </c>
      <c r="B150" s="5" t="str">
        <f t="shared" si="17"/>
        <v>2034458156</v>
      </c>
      <c r="C150" t="s">
        <v>464</v>
      </c>
      <c r="D150" t="str">
        <f>PROPER(C150)</f>
        <v>Magic Trick Science Tutoring Package, Fool Your Fellow!</v>
      </c>
      <c r="E150" s="6">
        <v>43753</v>
      </c>
      <c r="F150" s="6">
        <v>43769</v>
      </c>
      <c r="G150" s="6">
        <v>43784</v>
      </c>
      <c r="H150" s="13">
        <f>G150-F150</f>
        <v>15</v>
      </c>
      <c r="I150" s="13">
        <f t="shared" si="14"/>
        <v>4</v>
      </c>
      <c r="J150" s="13" t="str">
        <f t="shared" si="15"/>
        <v>Week Day</v>
      </c>
      <c r="K150" s="13">
        <f>MONTH(F150)</f>
        <v>10</v>
      </c>
      <c r="L150" s="6" t="b">
        <f>EXACT(E150,F150)</f>
        <v>0</v>
      </c>
      <c r="M150">
        <v>832</v>
      </c>
      <c r="N150">
        <f t="shared" si="16"/>
        <v>832</v>
      </c>
      <c r="O150" t="s">
        <v>37</v>
      </c>
      <c r="P150" t="str">
        <f>UPPER(O150)</f>
        <v>USD</v>
      </c>
      <c r="Q150">
        <f>VLOOKUP(P150,'Exchange Rate Table'!A:B,2,FALSE)</f>
        <v>1</v>
      </c>
      <c r="R150">
        <v>52469</v>
      </c>
      <c r="S150">
        <f>Q150*R150</f>
        <v>52469</v>
      </c>
      <c r="T150">
        <f>ROUND(R150, 0)</f>
        <v>52469</v>
      </c>
      <c r="U150" s="7" t="s">
        <v>379</v>
      </c>
      <c r="V150">
        <f>VALUE(U150)</f>
        <v>25000</v>
      </c>
      <c r="W150" t="s">
        <v>465</v>
      </c>
      <c r="X150" t="s">
        <v>358</v>
      </c>
      <c r="Y150" t="str">
        <f>CONCATENATE(W150,", ",X150)</f>
        <v>Marlborough, MA</v>
      </c>
      <c r="Z150" t="s">
        <v>41</v>
      </c>
      <c r="AA150" t="str">
        <f>TRIM(Z150)</f>
        <v>United States</v>
      </c>
      <c r="AB150" t="s">
        <v>58</v>
      </c>
      <c r="AC150">
        <f>LEN("https://www.kickstarter.com/discover/categories/games/")</f>
        <v>54</v>
      </c>
      <c r="AD150" t="str">
        <f>RIGHT(AB150,LEN(AB150)-54)</f>
        <v>tabletop%20games</v>
      </c>
      <c r="AE150" t="str">
        <f>SUBSTITUTE(AD150,"%20"," ")</f>
        <v>tabletop games</v>
      </c>
      <c r="AF150" s="8" t="b">
        <v>1</v>
      </c>
      <c r="AG150" s="8" t="str">
        <f>LOWER(AF150)</f>
        <v>true</v>
      </c>
      <c r="AH150" t="s">
        <v>280</v>
      </c>
      <c r="AJ150" s="18">
        <v>528786</v>
      </c>
      <c r="AK150" s="16"/>
      <c r="AL150" s="16"/>
      <c r="AM150" s="16"/>
      <c r="AN150" s="16"/>
      <c r="AO150" s="16"/>
    </row>
    <row r="151" spans="1:41">
      <c r="A151" s="5">
        <v>2061303985</v>
      </c>
      <c r="B151" s="5" t="str">
        <f t="shared" si="17"/>
        <v>2061303985</v>
      </c>
      <c r="C151" t="s">
        <v>466</v>
      </c>
      <c r="D151" t="str">
        <f>PROPER(C151)</f>
        <v>Drunko Card - Game Nights Now Officially Forgettable</v>
      </c>
      <c r="E151" s="6">
        <v>43754</v>
      </c>
      <c r="F151" s="6">
        <v>43783</v>
      </c>
      <c r="G151" s="6">
        <v>43813</v>
      </c>
      <c r="H151" s="13">
        <f>G151-F151</f>
        <v>30</v>
      </c>
      <c r="I151" s="13">
        <f t="shared" si="14"/>
        <v>4</v>
      </c>
      <c r="J151" s="13" t="str">
        <f t="shared" si="15"/>
        <v>Week Day</v>
      </c>
      <c r="K151" s="13">
        <f>MONTH(F151)</f>
        <v>11</v>
      </c>
      <c r="L151" s="6" t="b">
        <f>EXACT(E151,F151)</f>
        <v>0</v>
      </c>
      <c r="M151">
        <v>3</v>
      </c>
      <c r="N151">
        <f t="shared" si="16"/>
        <v>3</v>
      </c>
      <c r="O151" t="s">
        <v>37</v>
      </c>
      <c r="P151" t="str">
        <f>UPPER(O151)</f>
        <v>USD</v>
      </c>
      <c r="Q151">
        <f>VLOOKUP(P151,'Exchange Rate Table'!A:B,2,FALSE)</f>
        <v>1</v>
      </c>
      <c r="R151">
        <v>46</v>
      </c>
      <c r="S151">
        <f>Q151*R151</f>
        <v>46</v>
      </c>
      <c r="T151">
        <f>ROUND(R151, 0)</f>
        <v>46</v>
      </c>
      <c r="U151" s="7" t="s">
        <v>187</v>
      </c>
      <c r="V151">
        <f>VALUE(U151)</f>
        <v>10000</v>
      </c>
      <c r="W151" t="s">
        <v>124</v>
      </c>
      <c r="X151" t="s">
        <v>125</v>
      </c>
      <c r="Y151" t="str">
        <f>CONCATENATE(W151,", ",X151)</f>
        <v>Philadelphia, PA</v>
      </c>
      <c r="Z151" t="s">
        <v>41</v>
      </c>
      <c r="AA151" t="str">
        <f>TRIM(Z151)</f>
        <v>United States</v>
      </c>
      <c r="AB151" t="s">
        <v>70</v>
      </c>
      <c r="AC151">
        <f>LEN("https://www.kickstarter.com/discover/categories/games/")</f>
        <v>54</v>
      </c>
      <c r="AD151" t="str">
        <f>RIGHT(AB151,LEN(AB151)-54)</f>
        <v>playing%20cards</v>
      </c>
      <c r="AE151" t="str">
        <f>SUBSTITUTE(AD151,"%20"," ")</f>
        <v>playing cards</v>
      </c>
      <c r="AF151" s="8" t="b">
        <v>0</v>
      </c>
      <c r="AG151" s="8" t="str">
        <f>LOWER(AF151)</f>
        <v>false</v>
      </c>
      <c r="AH151" t="s">
        <v>280</v>
      </c>
      <c r="AJ151" s="18">
        <v>1367901.33</v>
      </c>
      <c r="AK151" s="16"/>
      <c r="AL151" s="16"/>
      <c r="AM151" s="16"/>
      <c r="AN151" s="16"/>
      <c r="AO151" s="16"/>
    </row>
    <row r="152" spans="1:41">
      <c r="A152" s="5">
        <v>2063533927</v>
      </c>
      <c r="B152" s="5" t="str">
        <f t="shared" si="17"/>
        <v>2063533927</v>
      </c>
      <c r="C152" t="s">
        <v>467</v>
      </c>
      <c r="D152" t="str">
        <f>PROPER(C152)</f>
        <v>Highlords Firstborn Playing Cards - Volume 1 Fantasy Series</v>
      </c>
      <c r="E152" s="6">
        <v>43760</v>
      </c>
      <c r="F152" s="6">
        <v>43782</v>
      </c>
      <c r="G152" s="6">
        <v>43815</v>
      </c>
      <c r="H152" s="13">
        <f>G152-F152</f>
        <v>33</v>
      </c>
      <c r="I152" s="13">
        <f t="shared" si="14"/>
        <v>3</v>
      </c>
      <c r="J152" s="13" t="str">
        <f t="shared" si="15"/>
        <v>Week Day</v>
      </c>
      <c r="K152" s="13">
        <f>MONTH(F152)</f>
        <v>11</v>
      </c>
      <c r="L152" s="6" t="b">
        <f>EXACT(E152,F152)</f>
        <v>0</v>
      </c>
      <c r="M152">
        <v>2</v>
      </c>
      <c r="N152">
        <f t="shared" si="16"/>
        <v>2</v>
      </c>
      <c r="O152" t="s">
        <v>37</v>
      </c>
      <c r="P152" t="str">
        <f>UPPER(O152)</f>
        <v>USD</v>
      </c>
      <c r="Q152">
        <f>VLOOKUP(P152,'Exchange Rate Table'!A:B,2,FALSE)</f>
        <v>1</v>
      </c>
      <c r="R152">
        <v>155</v>
      </c>
      <c r="S152">
        <f>Q152*R152</f>
        <v>155</v>
      </c>
      <c r="T152">
        <f>ROUND(R152, 0)</f>
        <v>155</v>
      </c>
      <c r="U152" s="7" t="s">
        <v>468</v>
      </c>
      <c r="V152">
        <f>VALUE(U152)</f>
        <v>7200</v>
      </c>
      <c r="W152" t="s">
        <v>469</v>
      </c>
      <c r="X152" t="s">
        <v>470</v>
      </c>
      <c r="Y152" t="str">
        <f>CONCATENATE(W152,", ",X152)</f>
        <v>Karvin√°, Moravian-Silesian Region</v>
      </c>
      <c r="Z152" t="s">
        <v>471</v>
      </c>
      <c r="AA152" t="str">
        <f>TRIM(Z152)</f>
        <v>Czech Republic</v>
      </c>
      <c r="AB152" t="s">
        <v>58</v>
      </c>
      <c r="AC152">
        <f>LEN("https://www.kickstarter.com/discover/categories/games/")</f>
        <v>54</v>
      </c>
      <c r="AD152" t="str">
        <f>RIGHT(AB152,LEN(AB152)-54)</f>
        <v>tabletop%20games</v>
      </c>
      <c r="AE152" t="str">
        <f>SUBSTITUTE(AD152,"%20"," ")</f>
        <v>tabletop games</v>
      </c>
      <c r="AF152" s="8" t="b">
        <v>0</v>
      </c>
      <c r="AG152" s="8" t="str">
        <f>LOWER(AF152)</f>
        <v>false</v>
      </c>
      <c r="AH152" t="s">
        <v>280</v>
      </c>
      <c r="AJ152" s="18">
        <v>3410084.24</v>
      </c>
      <c r="AK152" s="16"/>
      <c r="AL152" s="16"/>
      <c r="AM152" s="16"/>
      <c r="AN152" s="16"/>
      <c r="AO152" s="16"/>
    </row>
    <row r="153" spans="1:41">
      <c r="A153" s="5">
        <v>2131317332</v>
      </c>
      <c r="B153" s="5" t="str">
        <f t="shared" si="17"/>
        <v>2131317332</v>
      </c>
      <c r="C153" t="s">
        <v>472</v>
      </c>
      <c r="D153" t="str">
        <f>PROPER(C153)</f>
        <v>Open Cards, Open Hearts</v>
      </c>
      <c r="E153" s="6">
        <v>43778</v>
      </c>
      <c r="F153" s="6">
        <v>43782</v>
      </c>
      <c r="G153" s="6">
        <v>43796</v>
      </c>
      <c r="H153" s="13">
        <f>G153-F153</f>
        <v>14</v>
      </c>
      <c r="I153" s="13">
        <f t="shared" si="14"/>
        <v>3</v>
      </c>
      <c r="J153" s="13" t="str">
        <f t="shared" si="15"/>
        <v>Week Day</v>
      </c>
      <c r="K153" s="13">
        <f>MONTH(F153)</f>
        <v>11</v>
      </c>
      <c r="L153" s="6" t="b">
        <f>EXACT(E153,F153)</f>
        <v>0</v>
      </c>
      <c r="M153">
        <v>3</v>
      </c>
      <c r="N153">
        <f t="shared" si="16"/>
        <v>3</v>
      </c>
      <c r="O153" t="s">
        <v>53</v>
      </c>
      <c r="P153" t="str">
        <f>UPPER(O153)</f>
        <v>GBP</v>
      </c>
      <c r="Q153">
        <f>VLOOKUP(P153,'Exchange Rate Table'!A:B,2,FALSE)</f>
        <v>1.49576325</v>
      </c>
      <c r="R153">
        <v>21</v>
      </c>
      <c r="S153">
        <f>Q153*R153</f>
        <v>31.411028250000001</v>
      </c>
      <c r="T153">
        <f>ROUND(R153, 0)</f>
        <v>21</v>
      </c>
      <c r="U153" s="7" t="s">
        <v>473</v>
      </c>
      <c r="V153">
        <f>VALUE(U153)</f>
        <v>200</v>
      </c>
      <c r="W153" t="s">
        <v>365</v>
      </c>
      <c r="X153" t="s">
        <v>56</v>
      </c>
      <c r="Y153" t="str">
        <f>CONCATENATE(W153,", ",X153)</f>
        <v>Northampton, England</v>
      </c>
      <c r="Z153" t="s">
        <v>57</v>
      </c>
      <c r="AA153" t="str">
        <f>TRIM(Z153)</f>
        <v>United Kingdom</v>
      </c>
      <c r="AB153" t="s">
        <v>58</v>
      </c>
      <c r="AC153">
        <f>LEN("https://www.kickstarter.com/discover/categories/games/")</f>
        <v>54</v>
      </c>
      <c r="AD153" t="str">
        <f>RIGHT(AB153,LEN(AB153)-54)</f>
        <v>tabletop%20games</v>
      </c>
      <c r="AE153" t="str">
        <f>SUBSTITUTE(AD153,"%20"," ")</f>
        <v>tabletop games</v>
      </c>
      <c r="AF153" s="8" t="b">
        <v>0</v>
      </c>
      <c r="AG153" s="8" t="str">
        <f>LOWER(AF153)</f>
        <v>false</v>
      </c>
      <c r="AH153" t="s">
        <v>280</v>
      </c>
      <c r="AJ153" s="18">
        <v>3542035.74</v>
      </c>
      <c r="AK153" s="16"/>
      <c r="AL153" s="16"/>
      <c r="AM153" s="16"/>
      <c r="AN153" s="16"/>
      <c r="AO153" s="16"/>
    </row>
    <row r="154" spans="1:41">
      <c r="A154" s="9"/>
      <c r="B154" s="9"/>
      <c r="C154" s="10"/>
      <c r="D154" s="10"/>
      <c r="E154" s="10"/>
      <c r="F154" s="10"/>
      <c r="G154" s="10"/>
      <c r="H154" s="14"/>
      <c r="I154" s="14"/>
      <c r="J154" s="14"/>
      <c r="K154" s="14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J154" s="16"/>
      <c r="AK154" s="16"/>
      <c r="AL154" s="16"/>
      <c r="AM154" s="16"/>
      <c r="AN154" s="16"/>
      <c r="AO154" s="16"/>
    </row>
    <row r="155" spans="1:41">
      <c r="A155" s="9"/>
      <c r="B155" s="9"/>
      <c r="C155" s="10"/>
      <c r="D155" s="10"/>
      <c r="E155" s="10"/>
      <c r="F155" s="10"/>
      <c r="G155" s="10"/>
      <c r="H155" s="14"/>
      <c r="I155" s="14"/>
      <c r="J155" s="14"/>
      <c r="K155" s="14"/>
      <c r="L155" s="10"/>
      <c r="M155" s="10"/>
      <c r="N155" s="10"/>
      <c r="O155" s="11"/>
      <c r="P155" s="11"/>
      <c r="Q155" s="11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J155" s="16"/>
      <c r="AK155" s="16"/>
      <c r="AL155" s="16"/>
      <c r="AM155" s="16"/>
      <c r="AN155" s="16"/>
      <c r="AO155" s="16"/>
    </row>
    <row r="156" spans="1:41">
      <c r="A156" s="9"/>
      <c r="B156" s="9"/>
      <c r="C156" s="10"/>
      <c r="D156" s="10"/>
      <c r="E156" s="10"/>
      <c r="F156" s="10"/>
      <c r="G156" s="10"/>
      <c r="H156" s="14"/>
      <c r="I156" s="14"/>
      <c r="J156" s="14"/>
      <c r="K156" s="14"/>
      <c r="L156" s="10"/>
      <c r="M156" s="10"/>
      <c r="N156" s="10"/>
      <c r="O156" s="11"/>
      <c r="P156" s="11"/>
      <c r="Q156" s="11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6"/>
      <c r="AK156" s="16"/>
      <c r="AL156" s="16"/>
      <c r="AM156" s="16"/>
      <c r="AN156" s="16"/>
      <c r="AO156" s="16"/>
    </row>
    <row r="157" spans="1:41">
      <c r="A157" s="9"/>
      <c r="B157" s="9"/>
      <c r="C157" s="10"/>
      <c r="D157" s="10"/>
      <c r="E157" s="10"/>
      <c r="F157" s="10"/>
      <c r="G157" s="10"/>
      <c r="H157" s="14"/>
      <c r="I157" s="14"/>
      <c r="J157" s="14"/>
      <c r="K157" s="14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J157" s="16"/>
      <c r="AK157" s="16"/>
      <c r="AL157" s="16"/>
      <c r="AM157" s="16"/>
      <c r="AN157" s="16"/>
      <c r="AO157" s="16"/>
    </row>
    <row r="158" spans="1:41">
      <c r="AJ158" s="16"/>
      <c r="AK158" s="16"/>
      <c r="AL158" s="16"/>
      <c r="AM158" s="16"/>
      <c r="AN158" s="16"/>
      <c r="AO158" s="16"/>
    </row>
    <row r="159" spans="1:41">
      <c r="AJ159" s="16"/>
      <c r="AK159" s="16"/>
      <c r="AL159" s="16"/>
      <c r="AM159" s="16"/>
      <c r="AN159" s="16"/>
      <c r="AO159" s="16"/>
    </row>
    <row r="160" spans="1:41">
      <c r="AJ160" s="16"/>
      <c r="AK160" s="16"/>
      <c r="AL160" s="16"/>
      <c r="AM160" s="16"/>
      <c r="AN160" s="16"/>
      <c r="AO160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8883-DFF5-414E-9B26-21BB2DCA9653}">
  <dimension ref="A1:B15"/>
  <sheetViews>
    <sheetView workbookViewId="0">
      <selection activeCell="E7" sqref="E7"/>
    </sheetView>
  </sheetViews>
  <sheetFormatPr defaultRowHeight="15"/>
  <cols>
    <col min="1" max="1" width="11" bestFit="1" customWidth="1"/>
    <col min="2" max="2" width="16.5703125" bestFit="1" customWidth="1"/>
  </cols>
  <sheetData>
    <row r="1" spans="1:2">
      <c r="A1" t="s">
        <v>15</v>
      </c>
      <c r="B1" t="s">
        <v>16</v>
      </c>
    </row>
    <row r="2" spans="1:2">
      <c r="A2" t="s">
        <v>474</v>
      </c>
      <c r="B2">
        <v>0.90338969999999996</v>
      </c>
    </row>
    <row r="3" spans="1:2">
      <c r="A3" t="s">
        <v>475</v>
      </c>
      <c r="B3">
        <v>0.76932900999999998</v>
      </c>
    </row>
    <row r="4" spans="1:2">
      <c r="A4" t="s">
        <v>476</v>
      </c>
      <c r="B4">
        <v>1.0274831200000001</v>
      </c>
    </row>
    <row r="5" spans="1:2">
      <c r="A5" t="s">
        <v>477</v>
      </c>
      <c r="B5">
        <v>0.15285737999999999</v>
      </c>
    </row>
    <row r="6" spans="1:2">
      <c r="A6" t="s">
        <v>478</v>
      </c>
      <c r="B6">
        <v>1.16955371</v>
      </c>
    </row>
    <row r="7" spans="1:2">
      <c r="A7" t="s">
        <v>479</v>
      </c>
      <c r="B7">
        <v>1.49576325</v>
      </c>
    </row>
    <row r="8" spans="1:2">
      <c r="A8" t="s">
        <v>480</v>
      </c>
      <c r="B8">
        <v>0.12847297999999999</v>
      </c>
    </row>
    <row r="9" spans="1:2">
      <c r="A9" t="s">
        <v>481</v>
      </c>
      <c r="B9">
        <v>8.9630700000000001E-3</v>
      </c>
    </row>
    <row r="10" spans="1:2">
      <c r="A10" t="s">
        <v>482</v>
      </c>
      <c r="B10">
        <v>5.1411470000000001E-2</v>
      </c>
    </row>
    <row r="11" spans="1:2">
      <c r="A11" t="s">
        <v>483</v>
      </c>
      <c r="B11">
        <v>0.11943536</v>
      </c>
    </row>
    <row r="12" spans="1:2">
      <c r="A12" t="s">
        <v>484</v>
      </c>
      <c r="B12">
        <v>0.70127260000000002</v>
      </c>
    </row>
    <row r="13" spans="1:2">
      <c r="A13" t="s">
        <v>485</v>
      </c>
      <c r="B13">
        <v>0.12128203999999999</v>
      </c>
    </row>
    <row r="14" spans="1:2">
      <c r="A14" t="s">
        <v>486</v>
      </c>
      <c r="B14">
        <v>0.70150824000000001</v>
      </c>
    </row>
    <row r="15" spans="1:2">
      <c r="A15" t="s">
        <v>487</v>
      </c>
      <c r="B1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14BAD6234E64FAED29FFBCF1C6574" ma:contentTypeVersion="3" ma:contentTypeDescription="Create a new document." ma:contentTypeScope="" ma:versionID="efd51c92f4193f87766aa4161316e7d3">
  <xsd:schema xmlns:xsd="http://www.w3.org/2001/XMLSchema" xmlns:xs="http://www.w3.org/2001/XMLSchema" xmlns:p="http://schemas.microsoft.com/office/2006/metadata/properties" xmlns:ns2="0c09b93d-8d98-450f-95fc-035f14d01842" targetNamespace="http://schemas.microsoft.com/office/2006/metadata/properties" ma:root="true" ma:fieldsID="04b4a75ac7ab13f30128db266c2cd00e" ns2:_="">
    <xsd:import namespace="0c09b93d-8d98-450f-95fc-035f14d01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9b93d-8d98-450f-95fc-035f14d01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2BEDB-197D-490B-ACE9-210A49306D4C}"/>
</file>

<file path=customXml/itemProps2.xml><?xml version="1.0" encoding="utf-8"?>
<ds:datastoreItem xmlns:ds="http://schemas.openxmlformats.org/officeDocument/2006/customXml" ds:itemID="{3CDE85E6-8333-4CF4-88D2-109822100F9B}"/>
</file>

<file path=customXml/itemProps3.xml><?xml version="1.0" encoding="utf-8"?>
<ds:datastoreItem xmlns:ds="http://schemas.openxmlformats.org/officeDocument/2006/customXml" ds:itemID="{7F10F365-3244-423C-8AF4-8A97FA5C4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online Service Account</cp:lastModifiedBy>
  <cp:revision/>
  <dcterms:created xsi:type="dcterms:W3CDTF">2020-03-26T10:34:29Z</dcterms:created>
  <dcterms:modified xsi:type="dcterms:W3CDTF">2020-04-09T09:02:44Z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0x01010034C14BAD6234E64FAED29FFBCF1C6574</vt:lpwstr>
  </property>
</Properties>
</file>