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5390" windowHeight="7500"/>
  </bookViews>
  <sheets>
    <sheet name="YTD Net" sheetId="1" r:id="rId1"/>
    <sheet name="Budget" sheetId="2" r:id="rId2"/>
    <sheet name="Tithe" sheetId="11" r:id="rId3"/>
    <sheet name="Utilities" sheetId="4" r:id="rId4"/>
    <sheet name="Jan" sheetId="6" r:id="rId5"/>
    <sheet name="Feb" sheetId="5" r:id="rId6"/>
    <sheet name="Mar" sheetId="10" r:id="rId7"/>
    <sheet name="Apr" sheetId="9" r:id="rId8"/>
    <sheet name="May" sheetId="8" r:id="rId9"/>
    <sheet name="Jun" sheetId="15" r:id="rId10"/>
    <sheet name="July" sheetId="18" r:id="rId11"/>
    <sheet name="Aug" sheetId="14" r:id="rId12"/>
    <sheet name="Sep" sheetId="13" r:id="rId13"/>
    <sheet name="Oct" sheetId="12" r:id="rId14"/>
    <sheet name="Nov" sheetId="17" r:id="rId15"/>
    <sheet name="Dec" sheetId="16" r:id="rId16"/>
    <sheet name="4" sheetId="3" r:id="rId17"/>
  </sheets>
  <calcPr calcId="125725"/>
</workbook>
</file>

<file path=xl/calcChain.xml><?xml version="1.0" encoding="utf-8"?>
<calcChain xmlns="http://schemas.openxmlformats.org/spreadsheetml/2006/main">
  <c r="E33" i="1"/>
  <c r="D33"/>
  <c r="E27"/>
  <c r="E29"/>
  <c r="E30"/>
  <c r="E31"/>
  <c r="E32"/>
  <c r="G134" i="11"/>
  <c r="P32" i="4"/>
  <c r="L35"/>
  <c r="B38" i="16"/>
  <c r="L126" i="11"/>
  <c r="E49" i="16"/>
  <c r="E50"/>
  <c r="E63"/>
  <c r="D56"/>
  <c r="E30"/>
  <c r="E27" i="17"/>
  <c r="E32"/>
  <c r="E51" i="16"/>
  <c r="E53"/>
  <c r="D55"/>
  <c r="D53"/>
  <c r="D58"/>
  <c r="D65"/>
  <c r="D59"/>
  <c r="D47"/>
  <c r="P31" i="4"/>
  <c r="B114" i="11"/>
  <c r="D53" i="17"/>
  <c r="D62"/>
  <c r="D55"/>
  <c r="D56"/>
  <c r="D58"/>
  <c r="D50" i="1" s="1"/>
  <c r="F50" s="1"/>
  <c r="H50" s="1"/>
  <c r="D49" i="16"/>
  <c r="D57"/>
  <c r="E57"/>
  <c r="E50" i="17"/>
  <c r="E42" i="1" s="1"/>
  <c r="E51" i="17"/>
  <c r="E49"/>
  <c r="N53" i="4"/>
  <c r="L56"/>
  <c r="D57" i="17"/>
  <c r="E52"/>
  <c r="D63"/>
  <c r="E50" i="12"/>
  <c r="D55"/>
  <c r="D53"/>
  <c r="E56"/>
  <c r="E49"/>
  <c r="D56"/>
  <c r="D49"/>
  <c r="E30"/>
  <c r="P29" i="4"/>
  <c r="E21" i="13"/>
  <c r="B14" s="1"/>
  <c r="H12" i="1" s="1"/>
  <c r="G13" i="13"/>
  <c r="D57" i="12"/>
  <c r="E46"/>
  <c r="E30" i="13"/>
  <c r="E20"/>
  <c r="E29" i="14"/>
  <c r="C5" i="13"/>
  <c r="D58" i="12"/>
  <c r="E41" i="1"/>
  <c r="D51" i="12"/>
  <c r="D62"/>
  <c r="D47" s="1"/>
  <c r="P23" i="11"/>
  <c r="P11"/>
  <c r="P13"/>
  <c r="P16"/>
  <c r="B94"/>
  <c r="E52" i="12"/>
  <c r="D49" i="13"/>
  <c r="D53"/>
  <c r="D55"/>
  <c r="D64"/>
  <c r="D47" i="1"/>
  <c r="D56" i="13"/>
  <c r="I64" i="16"/>
  <c r="I61"/>
  <c r="I60"/>
  <c r="I54"/>
  <c r="I52"/>
  <c r="H47"/>
  <c r="I64" i="17"/>
  <c r="I61"/>
  <c r="I59"/>
  <c r="I54"/>
  <c r="H47"/>
  <c r="I64" i="12"/>
  <c r="I63"/>
  <c r="I61"/>
  <c r="I60"/>
  <c r="H47"/>
  <c r="E49" i="13"/>
  <c r="E50"/>
  <c r="E51"/>
  <c r="E54"/>
  <c r="D57"/>
  <c r="L90" i="11"/>
  <c r="E57" i="13"/>
  <c r="E52"/>
  <c r="E64"/>
  <c r="E56"/>
  <c r="G55" i="1"/>
  <c r="G47"/>
  <c r="G52"/>
  <c r="G51"/>
  <c r="G48"/>
  <c r="G50"/>
  <c r="G49"/>
  <c r="G43"/>
  <c r="G44"/>
  <c r="G45"/>
  <c r="G46"/>
  <c r="G57"/>
  <c r="I39"/>
  <c r="G42"/>
  <c r="G41"/>
  <c r="G39" s="1"/>
  <c r="N50" i="4"/>
  <c r="E43" i="1"/>
  <c r="E44"/>
  <c r="E45"/>
  <c r="E46"/>
  <c r="E47"/>
  <c r="E48"/>
  <c r="E49"/>
  <c r="E50"/>
  <c r="E51"/>
  <c r="F51" s="1"/>
  <c r="H51" s="1"/>
  <c r="E52"/>
  <c r="E53"/>
  <c r="E54"/>
  <c r="E55"/>
  <c r="E56"/>
  <c r="E57"/>
  <c r="D42"/>
  <c r="D43"/>
  <c r="D44"/>
  <c r="F44" s="1"/>
  <c r="H44" s="1"/>
  <c r="D45"/>
  <c r="F45" s="1"/>
  <c r="H45" s="1"/>
  <c r="D46"/>
  <c r="F46" s="1"/>
  <c r="H46" s="1"/>
  <c r="D49"/>
  <c r="F49" s="1"/>
  <c r="H49" s="1"/>
  <c r="D51"/>
  <c r="D52"/>
  <c r="F52" s="1"/>
  <c r="D53"/>
  <c r="F53" s="1"/>
  <c r="H53" s="1"/>
  <c r="D54"/>
  <c r="D55"/>
  <c r="D56"/>
  <c r="D57"/>
  <c r="D41"/>
  <c r="E38"/>
  <c r="D38"/>
  <c r="I59" i="13"/>
  <c r="I60"/>
  <c r="I61"/>
  <c r="I63"/>
  <c r="H47"/>
  <c r="D58" i="14"/>
  <c r="E25" i="18"/>
  <c r="E54" i="14"/>
  <c r="E53"/>
  <c r="E56"/>
  <c r="E49"/>
  <c r="D55"/>
  <c r="D53"/>
  <c r="D62"/>
  <c r="G62" s="1"/>
  <c r="D51"/>
  <c r="G51" s="1"/>
  <c r="D49"/>
  <c r="E50"/>
  <c r="E63"/>
  <c r="E52"/>
  <c r="B39" i="18"/>
  <c r="E20"/>
  <c r="L11" i="11"/>
  <c r="E49" i="18"/>
  <c r="E51"/>
  <c r="D57"/>
  <c r="D55"/>
  <c r="D56"/>
  <c r="B8" i="11"/>
  <c r="E53" i="18"/>
  <c r="E49" i="15"/>
  <c r="D62" i="18"/>
  <c r="D49"/>
  <c r="E52"/>
  <c r="D63"/>
  <c r="D53"/>
  <c r="G53" s="1"/>
  <c r="D51"/>
  <c r="G49"/>
  <c r="I5" i="9"/>
  <c r="I4" s="1"/>
  <c r="I6"/>
  <c r="I7"/>
  <c r="I8"/>
  <c r="I9"/>
  <c r="B14"/>
  <c r="D46"/>
  <c r="G46" s="1"/>
  <c r="E46"/>
  <c r="F46"/>
  <c r="F47"/>
  <c r="D49"/>
  <c r="D47" s="1"/>
  <c r="E49"/>
  <c r="E47" s="1"/>
  <c r="G49"/>
  <c r="D50"/>
  <c r="G50"/>
  <c r="D51"/>
  <c r="E51"/>
  <c r="G51" s="1"/>
  <c r="G52"/>
  <c r="D53"/>
  <c r="E53"/>
  <c r="G53" s="1"/>
  <c r="E54"/>
  <c r="G54" s="1"/>
  <c r="D55"/>
  <c r="E55"/>
  <c r="G55"/>
  <c r="D56"/>
  <c r="G56"/>
  <c r="D57"/>
  <c r="G57"/>
  <c r="G58"/>
  <c r="G59"/>
  <c r="D60"/>
  <c r="G60"/>
  <c r="G61"/>
  <c r="D62"/>
  <c r="G62" s="1"/>
  <c r="D63"/>
  <c r="G63" s="1"/>
  <c r="G64"/>
  <c r="G65"/>
  <c r="I5" i="14"/>
  <c r="I6"/>
  <c r="I7"/>
  <c r="I8"/>
  <c r="I9"/>
  <c r="B14"/>
  <c r="H11" i="1" s="1"/>
  <c r="D46" i="14"/>
  <c r="E46"/>
  <c r="F46"/>
  <c r="D47"/>
  <c r="E47"/>
  <c r="F47"/>
  <c r="G49"/>
  <c r="G50"/>
  <c r="G52"/>
  <c r="G53"/>
  <c r="G54"/>
  <c r="G55"/>
  <c r="G56"/>
  <c r="G57"/>
  <c r="G58"/>
  <c r="G59"/>
  <c r="G60"/>
  <c r="G61"/>
  <c r="G63"/>
  <c r="G64"/>
  <c r="G65"/>
  <c r="E2" i="2"/>
  <c r="F2"/>
  <c r="C19"/>
  <c r="C21" s="1"/>
  <c r="F15" s="1"/>
  <c r="F23" s="1"/>
  <c r="F28" s="1"/>
  <c r="F30" s="1"/>
  <c r="E27"/>
  <c r="F27"/>
  <c r="E33"/>
  <c r="F33"/>
  <c r="I5" i="16"/>
  <c r="I6"/>
  <c r="I7"/>
  <c r="I8"/>
  <c r="I9"/>
  <c r="B14"/>
  <c r="H15" i="1" s="1"/>
  <c r="D46" i="16"/>
  <c r="E46"/>
  <c r="F46"/>
  <c r="E47"/>
  <c r="F47"/>
  <c r="G49"/>
  <c r="I49" s="1"/>
  <c r="G50"/>
  <c r="I50" s="1"/>
  <c r="G51"/>
  <c r="I51" s="1"/>
  <c r="G52"/>
  <c r="G53"/>
  <c r="I53" s="1"/>
  <c r="G54"/>
  <c r="G55"/>
  <c r="I55" s="1"/>
  <c r="G56"/>
  <c r="I56" s="1"/>
  <c r="G57"/>
  <c r="G58"/>
  <c r="I58" s="1"/>
  <c r="G59"/>
  <c r="I59" s="1"/>
  <c r="G60"/>
  <c r="G61"/>
  <c r="G62"/>
  <c r="I62" s="1"/>
  <c r="G63"/>
  <c r="I63" s="1"/>
  <c r="G64"/>
  <c r="G65"/>
  <c r="I65" s="1"/>
  <c r="I5" i="5"/>
  <c r="B4" s="1"/>
  <c r="I6"/>
  <c r="I4" s="1"/>
  <c r="I7"/>
  <c r="I8"/>
  <c r="I9"/>
  <c r="E20"/>
  <c r="B14" s="1"/>
  <c r="H5" i="1" s="1"/>
  <c r="E26" i="5"/>
  <c r="D46"/>
  <c r="G46" s="1"/>
  <c r="E46"/>
  <c r="F46"/>
  <c r="F47"/>
  <c r="D49"/>
  <c r="D47" s="1"/>
  <c r="G47" s="1"/>
  <c r="E49"/>
  <c r="E47" s="1"/>
  <c r="G49"/>
  <c r="D50"/>
  <c r="E50"/>
  <c r="G50" s="1"/>
  <c r="G66" s="1"/>
  <c r="G51"/>
  <c r="G52"/>
  <c r="D53"/>
  <c r="E53"/>
  <c r="G53"/>
  <c r="G54"/>
  <c r="D55"/>
  <c r="E55"/>
  <c r="G55"/>
  <c r="D56"/>
  <c r="G56"/>
  <c r="D57"/>
  <c r="G57"/>
  <c r="E58"/>
  <c r="G58"/>
  <c r="E59"/>
  <c r="G59"/>
  <c r="G60"/>
  <c r="G61"/>
  <c r="D62"/>
  <c r="G62"/>
  <c r="G63"/>
  <c r="G64"/>
  <c r="G65"/>
  <c r="I5" i="6"/>
  <c r="B4" s="1"/>
  <c r="I6"/>
  <c r="I7"/>
  <c r="I8"/>
  <c r="I9"/>
  <c r="E20"/>
  <c r="B14" s="1"/>
  <c r="H4" i="1" s="1"/>
  <c r="D46" i="6"/>
  <c r="E46"/>
  <c r="F46"/>
  <c r="G46"/>
  <c r="D47"/>
  <c r="E47"/>
  <c r="F47"/>
  <c r="G47"/>
  <c r="E49"/>
  <c r="G49"/>
  <c r="E50"/>
  <c r="G50"/>
  <c r="G51"/>
  <c r="G52"/>
  <c r="G53"/>
  <c r="G54"/>
  <c r="G55"/>
  <c r="G56"/>
  <c r="G57"/>
  <c r="G58"/>
  <c r="G59"/>
  <c r="G60"/>
  <c r="G61"/>
  <c r="G62"/>
  <c r="G63"/>
  <c r="G64"/>
  <c r="G65"/>
  <c r="G66"/>
  <c r="I5" i="18"/>
  <c r="I6"/>
  <c r="I7"/>
  <c r="I8"/>
  <c r="I9"/>
  <c r="B14"/>
  <c r="D46"/>
  <c r="E46"/>
  <c r="F46"/>
  <c r="D47"/>
  <c r="F47"/>
  <c r="G50"/>
  <c r="G51"/>
  <c r="G52"/>
  <c r="G54"/>
  <c r="G55"/>
  <c r="G56"/>
  <c r="G57"/>
  <c r="G58"/>
  <c r="G59"/>
  <c r="G60"/>
  <c r="G61"/>
  <c r="G62"/>
  <c r="G63"/>
  <c r="G64"/>
  <c r="G65"/>
  <c r="I5" i="15"/>
  <c r="I6"/>
  <c r="I7"/>
  <c r="I8"/>
  <c r="I9"/>
  <c r="B14"/>
  <c r="H9" i="1" s="1"/>
  <c r="B39" i="15"/>
  <c r="D46"/>
  <c r="G46" s="1"/>
  <c r="E46"/>
  <c r="F46"/>
  <c r="F47"/>
  <c r="D49"/>
  <c r="D47" s="1"/>
  <c r="E47"/>
  <c r="G49"/>
  <c r="D50"/>
  <c r="E50"/>
  <c r="G50" s="1"/>
  <c r="G51"/>
  <c r="G52"/>
  <c r="D53"/>
  <c r="G53" s="1"/>
  <c r="G54"/>
  <c r="D55"/>
  <c r="E55"/>
  <c r="G55" s="1"/>
  <c r="D56"/>
  <c r="G56" s="1"/>
  <c r="D57"/>
  <c r="G57" s="1"/>
  <c r="G58"/>
  <c r="G59"/>
  <c r="G60"/>
  <c r="G61"/>
  <c r="D62"/>
  <c r="G62" s="1"/>
  <c r="G63"/>
  <c r="G64"/>
  <c r="D65"/>
  <c r="G65" s="1"/>
  <c r="I5" i="10"/>
  <c r="B4" s="1"/>
  <c r="I6"/>
  <c r="I4" s="1"/>
  <c r="I7"/>
  <c r="I8"/>
  <c r="I9"/>
  <c r="B14"/>
  <c r="D46"/>
  <c r="G46" s="1"/>
  <c r="E46"/>
  <c r="F46"/>
  <c r="F47"/>
  <c r="E49"/>
  <c r="E47" s="1"/>
  <c r="E50"/>
  <c r="G50" s="1"/>
  <c r="G51"/>
  <c r="G52"/>
  <c r="G53"/>
  <c r="G54"/>
  <c r="D55"/>
  <c r="G55" s="1"/>
  <c r="D56"/>
  <c r="G56" s="1"/>
  <c r="D57"/>
  <c r="G57" s="1"/>
  <c r="E58"/>
  <c r="G58" s="1"/>
  <c r="G59"/>
  <c r="G60"/>
  <c r="G61"/>
  <c r="G62"/>
  <c r="G63"/>
  <c r="G64"/>
  <c r="D65"/>
  <c r="G65" s="1"/>
  <c r="I5" i="8"/>
  <c r="B4" s="1"/>
  <c r="I6"/>
  <c r="I4" s="1"/>
  <c r="I7"/>
  <c r="I8"/>
  <c r="I9"/>
  <c r="E28"/>
  <c r="B14" s="1"/>
  <c r="H8" i="1" s="1"/>
  <c r="D46" i="8"/>
  <c r="E46"/>
  <c r="F46"/>
  <c r="G46"/>
  <c r="F47"/>
  <c r="D49"/>
  <c r="D47" s="1"/>
  <c r="E49"/>
  <c r="G49" s="1"/>
  <c r="E50"/>
  <c r="G50" s="1"/>
  <c r="E51"/>
  <c r="G51" s="1"/>
  <c r="E52"/>
  <c r="G52" s="1"/>
  <c r="D53"/>
  <c r="G53" s="1"/>
  <c r="G54"/>
  <c r="D55"/>
  <c r="E55"/>
  <c r="G55" s="1"/>
  <c r="D56"/>
  <c r="G56" s="1"/>
  <c r="D57"/>
  <c r="G57" s="1"/>
  <c r="D58"/>
  <c r="G58" s="1"/>
  <c r="G59"/>
  <c r="G60"/>
  <c r="G61"/>
  <c r="D62"/>
  <c r="E62"/>
  <c r="G62" s="1"/>
  <c r="D63"/>
  <c r="E63"/>
  <c r="G63"/>
  <c r="G64"/>
  <c r="G65"/>
  <c r="I5" i="17"/>
  <c r="I6"/>
  <c r="I7"/>
  <c r="I8"/>
  <c r="I9"/>
  <c r="B14"/>
  <c r="H14" i="1" s="1"/>
  <c r="D46" i="17"/>
  <c r="E46"/>
  <c r="F46"/>
  <c r="G46" s="1"/>
  <c r="I46" s="1"/>
  <c r="D47"/>
  <c r="E47"/>
  <c r="F47"/>
  <c r="G49"/>
  <c r="I49" s="1"/>
  <c r="G50"/>
  <c r="I50" s="1"/>
  <c r="G51"/>
  <c r="I51" s="1"/>
  <c r="G52"/>
  <c r="I52" s="1"/>
  <c r="G53"/>
  <c r="I53" s="1"/>
  <c r="G54"/>
  <c r="G55"/>
  <c r="I55" s="1"/>
  <c r="G56"/>
  <c r="I56" s="1"/>
  <c r="G57"/>
  <c r="I57" s="1"/>
  <c r="G58"/>
  <c r="I58" s="1"/>
  <c r="G59"/>
  <c r="G60"/>
  <c r="I60" s="1"/>
  <c r="G61"/>
  <c r="G62"/>
  <c r="I62" s="1"/>
  <c r="G63"/>
  <c r="I63" s="1"/>
  <c r="G64"/>
  <c r="G65"/>
  <c r="I65" s="1"/>
  <c r="I5" i="12"/>
  <c r="I6"/>
  <c r="I7"/>
  <c r="I8"/>
  <c r="I9"/>
  <c r="B14"/>
  <c r="D46"/>
  <c r="F46"/>
  <c r="F47"/>
  <c r="G50"/>
  <c r="I50" s="1"/>
  <c r="G51"/>
  <c r="I51" s="1"/>
  <c r="G52"/>
  <c r="I52" s="1"/>
  <c r="G53"/>
  <c r="I53" s="1"/>
  <c r="G54"/>
  <c r="I54" s="1"/>
  <c r="G55"/>
  <c r="I55" s="1"/>
  <c r="G56"/>
  <c r="I56" s="1"/>
  <c r="G57"/>
  <c r="I57" s="1"/>
  <c r="G58"/>
  <c r="I58" s="1"/>
  <c r="G59"/>
  <c r="I59" s="1"/>
  <c r="G60"/>
  <c r="G61"/>
  <c r="G63"/>
  <c r="G64"/>
  <c r="G65"/>
  <c r="I65" s="1"/>
  <c r="I5" i="13"/>
  <c r="I6"/>
  <c r="I7"/>
  <c r="I8"/>
  <c r="I9"/>
  <c r="D46"/>
  <c r="E46"/>
  <c r="F46"/>
  <c r="G46" s="1"/>
  <c r="I46" s="1"/>
  <c r="E47"/>
  <c r="F47"/>
  <c r="G49"/>
  <c r="I49" s="1"/>
  <c r="G50"/>
  <c r="I50" s="1"/>
  <c r="G51"/>
  <c r="I51" s="1"/>
  <c r="G52"/>
  <c r="I52" s="1"/>
  <c r="G53"/>
  <c r="I53" s="1"/>
  <c r="G54"/>
  <c r="I54" s="1"/>
  <c r="G56"/>
  <c r="I56" s="1"/>
  <c r="G57"/>
  <c r="I57" s="1"/>
  <c r="G58"/>
  <c r="I58" s="1"/>
  <c r="G59"/>
  <c r="G60"/>
  <c r="G61"/>
  <c r="G62"/>
  <c r="I62" s="1"/>
  <c r="G63"/>
  <c r="G64"/>
  <c r="I64" s="1"/>
  <c r="G65"/>
  <c r="I65" s="1"/>
  <c r="P4" i="11"/>
  <c r="L10"/>
  <c r="L12"/>
  <c r="L15"/>
  <c r="B27"/>
  <c r="F3" s="1"/>
  <c r="B11" i="6" s="1"/>
  <c r="I4" i="1" s="1"/>
  <c r="L28" i="11"/>
  <c r="B33"/>
  <c r="F4" s="1"/>
  <c r="L35"/>
  <c r="B41"/>
  <c r="F5" s="1"/>
  <c r="B11" i="10" s="1"/>
  <c r="I6" i="1" s="1"/>
  <c r="L42" i="11"/>
  <c r="B53"/>
  <c r="F6" s="1"/>
  <c r="B11" i="9" s="1"/>
  <c r="I7" i="1" s="1"/>
  <c r="L54" i="11"/>
  <c r="B60"/>
  <c r="F7" s="1"/>
  <c r="B11" i="8" s="1"/>
  <c r="I8" i="1" s="1"/>
  <c r="L61" i="11"/>
  <c r="B67"/>
  <c r="F8" s="1"/>
  <c r="B11" i="15" s="1"/>
  <c r="I9" i="1" s="1"/>
  <c r="L69" i="11"/>
  <c r="B78"/>
  <c r="F9" s="1"/>
  <c r="B11" i="18" s="1"/>
  <c r="I10" i="1" s="1"/>
  <c r="L80" i="11"/>
  <c r="G88"/>
  <c r="B88" s="1"/>
  <c r="F10" s="1"/>
  <c r="B11" i="14" s="1"/>
  <c r="I11" i="1" s="1"/>
  <c r="F11" i="11"/>
  <c r="B11" i="13" s="1"/>
  <c r="I12" i="1" s="1"/>
  <c r="L96" i="11"/>
  <c r="G105"/>
  <c r="B105" s="1"/>
  <c r="F12" s="1"/>
  <c r="B11" i="12" s="1"/>
  <c r="I13" i="1" s="1"/>
  <c r="L108" i="11"/>
  <c r="F13"/>
  <c r="B11" i="17" s="1"/>
  <c r="I14" i="1" s="1"/>
  <c r="L117" i="11"/>
  <c r="B122"/>
  <c r="F14" s="1"/>
  <c r="B11" i="16" s="1"/>
  <c r="I15" i="1" s="1"/>
  <c r="B16" i="4"/>
  <c r="D16"/>
  <c r="F16"/>
  <c r="H16"/>
  <c r="J16"/>
  <c r="L16"/>
  <c r="B17"/>
  <c r="D17"/>
  <c r="F17"/>
  <c r="H17"/>
  <c r="J17"/>
  <c r="L17"/>
  <c r="P21"/>
  <c r="P22"/>
  <c r="P23"/>
  <c r="P24"/>
  <c r="B33"/>
  <c r="B34" s="1"/>
  <c r="D33"/>
  <c r="F33"/>
  <c r="F34" s="1"/>
  <c r="H33"/>
  <c r="J33"/>
  <c r="J34" s="1"/>
  <c r="L33"/>
  <c r="L34" s="1"/>
  <c r="N33"/>
  <c r="N34" s="1"/>
  <c r="O33"/>
  <c r="P33"/>
  <c r="D34"/>
  <c r="H34"/>
  <c r="B35"/>
  <c r="D35"/>
  <c r="F35"/>
  <c r="H35"/>
  <c r="J35"/>
  <c r="N44"/>
  <c r="N54" s="1"/>
  <c r="N47"/>
  <c r="B54"/>
  <c r="B55" s="1"/>
  <c r="D54"/>
  <c r="F54"/>
  <c r="F55" s="1"/>
  <c r="H54"/>
  <c r="H55" s="1"/>
  <c r="J54"/>
  <c r="J55" s="1"/>
  <c r="L54"/>
  <c r="L55" s="1"/>
  <c r="D55"/>
  <c r="B56"/>
  <c r="D56"/>
  <c r="F56"/>
  <c r="H56"/>
  <c r="J56"/>
  <c r="B76"/>
  <c r="D76"/>
  <c r="F76"/>
  <c r="H76"/>
  <c r="J76"/>
  <c r="L76"/>
  <c r="B77"/>
  <c r="D77"/>
  <c r="F77"/>
  <c r="H77"/>
  <c r="J77"/>
  <c r="K77"/>
  <c r="B94"/>
  <c r="D94"/>
  <c r="F94"/>
  <c r="H94"/>
  <c r="B95"/>
  <c r="H95"/>
  <c r="C4" i="1"/>
  <c r="D4"/>
  <c r="E4"/>
  <c r="C5"/>
  <c r="D5"/>
  <c r="E5"/>
  <c r="C6"/>
  <c r="D6"/>
  <c r="E6"/>
  <c r="H6"/>
  <c r="C7"/>
  <c r="D7"/>
  <c r="E7"/>
  <c r="H7"/>
  <c r="C8"/>
  <c r="D8"/>
  <c r="E8"/>
  <c r="C9"/>
  <c r="D9"/>
  <c r="E9"/>
  <c r="C10"/>
  <c r="D10"/>
  <c r="E10"/>
  <c r="H10"/>
  <c r="C11"/>
  <c r="D11"/>
  <c r="E11"/>
  <c r="C12"/>
  <c r="D12"/>
  <c r="E12"/>
  <c r="C13"/>
  <c r="D13"/>
  <c r="E13"/>
  <c r="H13"/>
  <c r="C14"/>
  <c r="D14"/>
  <c r="E14"/>
  <c r="C15"/>
  <c r="D15"/>
  <c r="E15"/>
  <c r="H18"/>
  <c r="B30"/>
  <c r="B32"/>
  <c r="F55" l="1"/>
  <c r="H55" s="1"/>
  <c r="G46" i="16"/>
  <c r="I46" s="1"/>
  <c r="F54" i="1"/>
  <c r="H54" s="1"/>
  <c r="F57"/>
  <c r="H57" s="1"/>
  <c r="G66" i="16"/>
  <c r="G47"/>
  <c r="I57"/>
  <c r="I47"/>
  <c r="G47" i="17"/>
  <c r="I47" s="1"/>
  <c r="G66"/>
  <c r="I4" i="16"/>
  <c r="I4" i="17"/>
  <c r="B4" i="12"/>
  <c r="B12" i="11" s="1"/>
  <c r="D12" s="1"/>
  <c r="G46" i="12"/>
  <c r="I46" s="1"/>
  <c r="E17" i="1"/>
  <c r="F42"/>
  <c r="H42" s="1"/>
  <c r="F47"/>
  <c r="H47" s="1"/>
  <c r="E47" i="12"/>
  <c r="G47" s="1"/>
  <c r="I47" s="1"/>
  <c r="F43" i="1"/>
  <c r="H43" s="1"/>
  <c r="G62" i="12"/>
  <c r="I62" s="1"/>
  <c r="I4"/>
  <c r="I4" i="13"/>
  <c r="B31" i="1"/>
  <c r="G49" i="12"/>
  <c r="G55" i="13"/>
  <c r="I55" s="1"/>
  <c r="D47"/>
  <c r="G47" s="1"/>
  <c r="I47" s="1"/>
  <c r="D48" i="1"/>
  <c r="F48" s="1"/>
  <c r="H48" s="1"/>
  <c r="F56"/>
  <c r="H56" s="1"/>
  <c r="H52"/>
  <c r="B4" i="14"/>
  <c r="B10" i="11" s="1"/>
  <c r="D10" s="1"/>
  <c r="I4" i="14"/>
  <c r="F41" i="1"/>
  <c r="H41" s="1"/>
  <c r="E39"/>
  <c r="G46" i="14"/>
  <c r="G47"/>
  <c r="G66"/>
  <c r="C17" i="1"/>
  <c r="B29"/>
  <c r="B4" i="18"/>
  <c r="B9" i="11" s="1"/>
  <c r="L135"/>
  <c r="L16"/>
  <c r="L19" s="1"/>
  <c r="I4" i="18"/>
  <c r="G46"/>
  <c r="D17" i="1"/>
  <c r="D19" s="1"/>
  <c r="E47" i="18"/>
  <c r="G47"/>
  <c r="G66"/>
  <c r="I4" i="15"/>
  <c r="P2" i="11"/>
  <c r="B11" i="5"/>
  <c r="I5" i="1" s="1"/>
  <c r="I17" s="1"/>
  <c r="F16" i="11"/>
  <c r="L18"/>
  <c r="B36" i="12"/>
  <c r="B36" i="10"/>
  <c r="B5" i="11"/>
  <c r="D5" s="1"/>
  <c r="G6" i="1"/>
  <c r="H17"/>
  <c r="G66" i="9"/>
  <c r="G47"/>
  <c r="B36" i="8"/>
  <c r="B7" i="11"/>
  <c r="D7" s="1"/>
  <c r="G8" i="1"/>
  <c r="D8" i="11"/>
  <c r="G10" i="1"/>
  <c r="B36" i="6"/>
  <c r="B3" i="11"/>
  <c r="G4" i="1"/>
  <c r="B4" i="11"/>
  <c r="D4" s="1"/>
  <c r="G5" i="1"/>
  <c r="B36" i="14"/>
  <c r="G11" i="1"/>
  <c r="G66" i="8"/>
  <c r="G66" i="15"/>
  <c r="G47"/>
  <c r="P3" i="11"/>
  <c r="B4" i="13"/>
  <c r="B4" i="17"/>
  <c r="E47" i="8"/>
  <c r="G47" s="1"/>
  <c r="D47" i="10"/>
  <c r="G47" s="1"/>
  <c r="B4" i="15"/>
  <c r="I4" i="6"/>
  <c r="B4" i="16"/>
  <c r="E15" i="2"/>
  <c r="E23" s="1"/>
  <c r="E28" s="1"/>
  <c r="E30" s="1"/>
  <c r="C27" i="1"/>
  <c r="G49" i="10"/>
  <c r="G66" s="1"/>
  <c r="B4" i="9"/>
  <c r="G13" i="1" l="1"/>
  <c r="D39"/>
  <c r="F39" s="1"/>
  <c r="H39" s="1"/>
  <c r="C28"/>
  <c r="C33" s="1"/>
  <c r="G66" i="12"/>
  <c r="I49"/>
  <c r="G66" i="13"/>
  <c r="F59" i="1"/>
  <c r="B36" i="5"/>
  <c r="B42" s="1"/>
  <c r="B5" i="1" s="1"/>
  <c r="B36" i="18"/>
  <c r="B42" s="1"/>
  <c r="B10" i="1" s="1"/>
  <c r="P24" i="11"/>
  <c r="P26" s="1"/>
  <c r="B36" i="9"/>
  <c r="B6" i="11"/>
  <c r="D6" s="1"/>
  <c r="G7" i="1"/>
  <c r="B36" i="16"/>
  <c r="B14" i="11"/>
  <c r="D14" s="1"/>
  <c r="G15" i="1"/>
  <c r="B36" i="15"/>
  <c r="D9" i="11"/>
  <c r="G9" i="1"/>
  <c r="B36" i="13"/>
  <c r="B11" i="11"/>
  <c r="D11" s="1"/>
  <c r="G12" i="1"/>
  <c r="B42" i="14"/>
  <c r="B11" i="1" s="1"/>
  <c r="F11"/>
  <c r="F4"/>
  <c r="B42" i="6"/>
  <c r="B4" i="1" s="1"/>
  <c r="F8"/>
  <c r="B42" i="8"/>
  <c r="B8" i="1" s="1"/>
  <c r="B42" i="12"/>
  <c r="B13" i="1" s="1"/>
  <c r="F13"/>
  <c r="B36" i="17"/>
  <c r="B13" i="11"/>
  <c r="D13" s="1"/>
  <c r="G14" i="1"/>
  <c r="D3" i="11"/>
  <c r="F10" i="1"/>
  <c r="H19"/>
  <c r="H21" s="1"/>
  <c r="H22"/>
  <c r="B42" i="10"/>
  <c r="B6" i="1" s="1"/>
  <c r="F6"/>
  <c r="F5" l="1"/>
  <c r="G17"/>
  <c r="B16" i="11"/>
  <c r="F18" s="1"/>
  <c r="H3"/>
  <c r="H4" s="1"/>
  <c r="H5" s="1"/>
  <c r="H6" s="1"/>
  <c r="H7" s="1"/>
  <c r="H8" s="1"/>
  <c r="H9" s="1"/>
  <c r="H10" s="1"/>
  <c r="H11" s="1"/>
  <c r="H12" s="1"/>
  <c r="H13" s="1"/>
  <c r="H14" s="1"/>
  <c r="D16"/>
  <c r="B42" i="15"/>
  <c r="B9" i="1" s="1"/>
  <c r="F9"/>
  <c r="B42" i="9"/>
  <c r="B7" i="1" s="1"/>
  <c r="F7"/>
  <c r="F14"/>
  <c r="B42" i="17"/>
  <c r="B14" i="1" s="1"/>
  <c r="F12"/>
  <c r="B42" i="13"/>
  <c r="B12" i="1" s="1"/>
  <c r="F15"/>
  <c r="B42" i="16"/>
  <c r="B15" i="1" s="1"/>
  <c r="J18" l="1"/>
  <c r="J19"/>
  <c r="F18"/>
  <c r="J17"/>
  <c r="B17"/>
  <c r="F17"/>
  <c r="B18" l="1"/>
  <c r="F19"/>
  <c r="F38"/>
</calcChain>
</file>

<file path=xl/sharedStrings.xml><?xml version="1.0" encoding="utf-8"?>
<sst xmlns="http://schemas.openxmlformats.org/spreadsheetml/2006/main" count="1796" uniqueCount="492">
  <si>
    <t>Electricity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</si>
  <si>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</si>
  <si>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</si>
  <si>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</si>
  <si>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</si>
  <si>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</si>
  <si>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</si>
  <si>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</si>
  <si>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</si>
  <si>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</si>
  <si>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</si>
  <si>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</si>
  <si>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</si>
  <si>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</si>
  <si>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Phone &amp; DSL</t>
  </si>
  <si>
    <t>Year</t>
  </si>
  <si>
    <t>January</t>
  </si>
  <si>
    <t>DWC</t>
  </si>
  <si>
    <t>INCOME</t>
  </si>
  <si>
    <t>OFFERING</t>
  </si>
  <si>
    <t>EXPENSE</t>
  </si>
  <si>
    <t>Propane</t>
  </si>
  <si>
    <t>Water</t>
  </si>
  <si>
    <t xml:space="preserve">Jan </t>
  </si>
  <si>
    <t>PSNH</t>
  </si>
  <si>
    <t>Verizon</t>
  </si>
  <si>
    <t>Home Mortgage</t>
  </si>
  <si>
    <t>Bank of America</t>
  </si>
  <si>
    <t>Comcast</t>
  </si>
  <si>
    <t>Allowance</t>
  </si>
  <si>
    <t>Credit Card Paym't</t>
  </si>
  <si>
    <t>Balance</t>
  </si>
  <si>
    <t>Other Income</t>
  </si>
  <si>
    <t>Half.com</t>
  </si>
  <si>
    <t>Book sale</t>
  </si>
  <si>
    <t>Extra Principal</t>
  </si>
  <si>
    <t>NET</t>
  </si>
  <si>
    <t>February</t>
  </si>
  <si>
    <t>Income</t>
  </si>
  <si>
    <t>Goal 10%</t>
  </si>
  <si>
    <t>Realized Giving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</si>
  <si>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</si>
  <si>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</si>
  <si>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</si>
  <si>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</si>
  <si>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</si>
  <si>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</si>
  <si>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</si>
  <si>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</si>
  <si>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</si>
  <si>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</si>
  <si>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Liberty Mutual</t>
  </si>
  <si>
    <t>SNHU</t>
  </si>
  <si>
    <t>Transportation</t>
  </si>
  <si>
    <t>Dine-out</t>
  </si>
  <si>
    <t>Home Improvement</t>
  </si>
  <si>
    <t>Cell phone</t>
  </si>
  <si>
    <t>Home Depot, Lowe's</t>
  </si>
  <si>
    <t>Lodge, hotel</t>
  </si>
  <si>
    <t>Car registry</t>
  </si>
  <si>
    <t>MVBC</t>
  </si>
  <si>
    <t>ck#</t>
  </si>
  <si>
    <t>date</t>
  </si>
  <si>
    <t>TOTAL</t>
  </si>
  <si>
    <t>Amt $</t>
  </si>
  <si>
    <t>Note</t>
  </si>
  <si>
    <t>Pioneers</t>
  </si>
  <si>
    <t>Jason &amp; Sara Morris</t>
  </si>
  <si>
    <t>Biblical Ministries Worldwide</t>
  </si>
  <si>
    <t>Vanuatu</t>
  </si>
  <si>
    <t>South Pacific</t>
  </si>
  <si>
    <t xml:space="preserve">China </t>
  </si>
  <si>
    <t>CEF Greater NYC</t>
  </si>
  <si>
    <t>Elisa &amp; Helen Teo</t>
  </si>
  <si>
    <t>E-Mission World International</t>
  </si>
  <si>
    <t>Serena Lin</t>
  </si>
  <si>
    <t xml:space="preserve">Children </t>
  </si>
  <si>
    <t>NYC</t>
  </si>
  <si>
    <t>Merrimack Village District</t>
  </si>
  <si>
    <t>Fund for year-end allocation</t>
  </si>
  <si>
    <t>Allocation Log</t>
  </si>
  <si>
    <t>China</t>
  </si>
  <si>
    <t>general fund</t>
  </si>
  <si>
    <t>American Bible Society</t>
  </si>
  <si>
    <t>Gospel Mission of South America</t>
  </si>
  <si>
    <t>John Ball</t>
  </si>
  <si>
    <t>Uruguay</t>
  </si>
  <si>
    <t>Medical</t>
  </si>
  <si>
    <t>orphan</t>
  </si>
  <si>
    <t>Gift Piere &amp; Joseph Piere</t>
  </si>
  <si>
    <t>TAX /Refund</t>
  </si>
  <si>
    <t>Gift</t>
  </si>
  <si>
    <t>NET Summary</t>
  </si>
  <si>
    <t>Town property tax</t>
  </si>
  <si>
    <t>YEAR</t>
  </si>
  <si>
    <t>* Ownership reward card</t>
  </si>
  <si>
    <t>Insurance</t>
  </si>
  <si>
    <t>CK's job related cost paid by check</t>
  </si>
  <si>
    <t>Home Maintenance</t>
  </si>
  <si>
    <t>Travel/Vacation exp.</t>
  </si>
  <si>
    <t>Cable &amp; Internet</t>
  </si>
  <si>
    <t>Avg monthly</t>
  </si>
  <si>
    <t>Avg month</t>
  </si>
  <si>
    <t>Gift &amp; Joseph Piere</t>
  </si>
  <si>
    <t>*water leak found in Oct. '06</t>
  </si>
  <si>
    <t>TDBanknorth</t>
  </si>
  <si>
    <t>* cash rewards for Chris Kuo's exp</t>
  </si>
  <si>
    <t>*Cash rewards card for Frances exp</t>
  </si>
  <si>
    <t>Steve &amp; Janes Gibb</t>
  </si>
  <si>
    <t>Avg Mnth</t>
  </si>
  <si>
    <t>Regular Income</t>
  </si>
  <si>
    <t>Monthly  Expenses</t>
  </si>
  <si>
    <t>Utilities</t>
  </si>
  <si>
    <t>BOT-L-GAS</t>
  </si>
  <si>
    <t>MIN.</t>
  </si>
  <si>
    <t>MAX.</t>
  </si>
  <si>
    <t>Annual Exp. By month</t>
  </si>
  <si>
    <t>See below</t>
  </si>
  <si>
    <t>Car registration</t>
  </si>
  <si>
    <t>CK's Life Insurance</t>
  </si>
  <si>
    <t>FC's Life Insurance</t>
  </si>
  <si>
    <t>Property Tax</t>
  </si>
  <si>
    <t>Nathan's tuition</t>
  </si>
  <si>
    <t>Monthly Expense</t>
  </si>
  <si>
    <t>NET (w/o Offering)</t>
  </si>
  <si>
    <t>Extra Income - CK's teaching</t>
  </si>
  <si>
    <t xml:space="preserve">$20K to $16K </t>
  </si>
  <si>
    <t>orphans</t>
  </si>
  <si>
    <t>AIG</t>
  </si>
  <si>
    <t>Answers In Genesis</t>
  </si>
  <si>
    <t>BMW</t>
  </si>
  <si>
    <t>Summary of Giving</t>
  </si>
  <si>
    <t>Morris</t>
  </si>
  <si>
    <t>Gibb</t>
  </si>
  <si>
    <t>USACMI</t>
  </si>
  <si>
    <t>Chang, James</t>
  </si>
  <si>
    <t>GMSA</t>
  </si>
  <si>
    <t>Ball, John</t>
  </si>
  <si>
    <t>E-mission World</t>
  </si>
  <si>
    <t>Teo sisters</t>
  </si>
  <si>
    <t>Receipt amount?</t>
  </si>
  <si>
    <t>Vacation</t>
  </si>
  <si>
    <t>CK</t>
  </si>
  <si>
    <t>FC</t>
  </si>
  <si>
    <t>combined</t>
  </si>
  <si>
    <t>Misc</t>
  </si>
  <si>
    <t>BOA</t>
  </si>
  <si>
    <t>Breakdown for Credit Card Payment</t>
  </si>
  <si>
    <t>MBTA, bus, train, toll fee</t>
  </si>
  <si>
    <t>BJ's, Walmart</t>
  </si>
  <si>
    <t>USPS, phonecard, fee</t>
  </si>
  <si>
    <t>AT&amp;T,  T-mobile</t>
  </si>
  <si>
    <t>Marshall, Christmas tree shop, Bldg19</t>
  </si>
  <si>
    <t>Car/Machine Maintenance</t>
  </si>
  <si>
    <t>Gallon</t>
  </si>
  <si>
    <t>Max Gallon</t>
  </si>
  <si>
    <t>general+deacon's fund</t>
  </si>
  <si>
    <t>EXPENSES</t>
  </si>
  <si>
    <t>EMU International</t>
  </si>
  <si>
    <t>Tim &amp; Ruth Bixby</t>
  </si>
  <si>
    <t>France</t>
  </si>
  <si>
    <t>Stop Verizon phone service in March 2008</t>
  </si>
  <si>
    <t>$/gallon</t>
  </si>
  <si>
    <t>CareNet</t>
  </si>
  <si>
    <t>John &amp; Kristen Ball</t>
  </si>
  <si>
    <t>Steve &amp; Jane Gibb</t>
  </si>
  <si>
    <t>EMU</t>
  </si>
  <si>
    <t>E-Mission World</t>
  </si>
  <si>
    <t>Orphans</t>
  </si>
  <si>
    <t>Rev. James Chang</t>
  </si>
  <si>
    <t>weekly</t>
  </si>
  <si>
    <t>monthly</t>
  </si>
  <si>
    <t>Groceries &amp; Food</t>
  </si>
  <si>
    <t>MB, Asian Mkt, BJ's, Walmart</t>
  </si>
  <si>
    <t>Necessities (non-food)</t>
  </si>
  <si>
    <t>Month of</t>
  </si>
  <si>
    <t>Homeschooling exp.</t>
  </si>
  <si>
    <t>Gift Piere &amp; Joseph Piere ($50 Christmas gifts)</t>
  </si>
  <si>
    <t xml:space="preserve">Clothes &amp; Shoes </t>
  </si>
  <si>
    <t>Haircut &amp; Skin products</t>
  </si>
  <si>
    <t>Gasoline</t>
  </si>
  <si>
    <t>Gift, book</t>
  </si>
  <si>
    <t>Furniture &amp; Home Deco</t>
  </si>
  <si>
    <t>Pets</t>
  </si>
  <si>
    <t>Fish food, filters</t>
  </si>
  <si>
    <t>Auguster</t>
  </si>
  <si>
    <t>faith promise</t>
  </si>
  <si>
    <t>Medical/prescription</t>
  </si>
  <si>
    <t>christmas tree shop, etc</t>
  </si>
  <si>
    <t>NET of</t>
  </si>
  <si>
    <t>TAX/Refund</t>
  </si>
  <si>
    <t xml:space="preserve">Misc Income </t>
  </si>
  <si>
    <t>(Income-Exp-Offering)</t>
  </si>
  <si>
    <t>monthly mortgage payment</t>
  </si>
  <si>
    <t>monthly w/o mortgage</t>
  </si>
  <si>
    <t>monthly w/ mortgage</t>
  </si>
  <si>
    <t>BJ's membership renewal; creativechinesekids.com/org</t>
  </si>
  <si>
    <t>Yahoo*Mail</t>
  </si>
  <si>
    <t>China, college student ministry</t>
  </si>
  <si>
    <t>Avg GL</t>
  </si>
  <si>
    <t>Pets &amp; House plant</t>
  </si>
  <si>
    <t>CK's LI</t>
  </si>
  <si>
    <t>MetLife</t>
  </si>
  <si>
    <t>estimate read</t>
  </si>
  <si>
    <t>27/22</t>
  </si>
  <si>
    <t>USPS, phonecard, fee, DVD rental</t>
  </si>
  <si>
    <t>Pets &amp; houseplants</t>
  </si>
  <si>
    <t>* cash rewards for Chris Kuo's exp (2 car repairs &amp; maintenance)</t>
  </si>
  <si>
    <t>MVBC total excl orphans</t>
  </si>
  <si>
    <t>Others:</t>
  </si>
  <si>
    <t>Total Giving</t>
  </si>
  <si>
    <t>postage</t>
  </si>
  <si>
    <t>Garden/Lawn</t>
  </si>
  <si>
    <t>packages to TW &amp; SG</t>
  </si>
  <si>
    <t>YTD</t>
  </si>
  <si>
    <t>Feed The Children</t>
  </si>
  <si>
    <t>deacon's fund</t>
  </si>
  <si>
    <t>Income Breakdown:</t>
  </si>
  <si>
    <t>Teaching:</t>
  </si>
  <si>
    <t>UNH</t>
  </si>
  <si>
    <t>Total Income</t>
  </si>
  <si>
    <t>Education</t>
  </si>
  <si>
    <t>piano lesson</t>
  </si>
  <si>
    <t>office support</t>
  </si>
  <si>
    <t>18/21</t>
  </si>
  <si>
    <t>AP</t>
  </si>
  <si>
    <t>* CK's Liberty Mutual Corporate credit card</t>
  </si>
  <si>
    <t>Rainmaker</t>
  </si>
  <si>
    <t>Thanksgiving sacrifice offering</t>
  </si>
  <si>
    <t>Year 2010 Tithe</t>
  </si>
  <si>
    <t>Budget for Year 2010 Giving</t>
  </si>
  <si>
    <t>TDBank</t>
  </si>
  <si>
    <t>electric wire for basement</t>
  </si>
  <si>
    <t>Cash paid to Tim Skirky 1/19/10</t>
  </si>
  <si>
    <t>Joon's rent rec'd on 25th</t>
  </si>
  <si>
    <t>Boston Univ (BU)</t>
  </si>
  <si>
    <t>year-end staff gift</t>
  </si>
  <si>
    <t>(*TDBanknorth VISA card - $132.4 annual cash reward rebate)</t>
  </si>
  <si>
    <t>(*132.4 cash reward rebate)</t>
  </si>
  <si>
    <t>laptop+software purchase</t>
  </si>
  <si>
    <t>Training Chinese home church pastors in Phillippines</t>
  </si>
  <si>
    <t>Baptist Mid-Mission</t>
  </si>
  <si>
    <t>Kirk Lehner</t>
  </si>
  <si>
    <t>birthday gift to Joseph Piere</t>
  </si>
  <si>
    <t>ck#1421,1422</t>
  </si>
  <si>
    <t>?</t>
  </si>
  <si>
    <t>Since  Feb/2007</t>
  </si>
  <si>
    <t>^</t>
  </si>
  <si>
    <t>^estimated usage  cause no bill in file</t>
  </si>
  <si>
    <t>*</t>
  </si>
  <si>
    <t>8/19</t>
  </si>
  <si>
    <t>25/49</t>
  </si>
  <si>
    <t>cash</t>
  </si>
  <si>
    <t>#1424</t>
  </si>
  <si>
    <t>ck#1426</t>
  </si>
  <si>
    <t>ck#1427</t>
  </si>
  <si>
    <t>CK's annual physical exam, lab works in Nov. 2009</t>
  </si>
  <si>
    <t>BJUPress 1st grade DVD program</t>
  </si>
  <si>
    <t>ink catridges</t>
  </si>
  <si>
    <t>Walmart</t>
  </si>
  <si>
    <t>heater filters and adding one register</t>
  </si>
  <si>
    <t>BigLots, Walmart</t>
  </si>
  <si>
    <t>CK's dress pants, vest</t>
  </si>
  <si>
    <t>Great Buffet overcharged kids $8.  No more visit there.  Dishonesty!</t>
  </si>
  <si>
    <t>Nathan's dental work</t>
  </si>
  <si>
    <t>($125 cash back)</t>
  </si>
  <si>
    <t>Valentine's gifts to friends</t>
  </si>
  <si>
    <t>Gift, book, sports</t>
  </si>
  <si>
    <t>(*BOA M/C card - $125 cash reward rebate)</t>
  </si>
  <si>
    <t>Joon's rent &amp; food</t>
  </si>
  <si>
    <t>MB, Asian Mkt, Walmart</t>
  </si>
  <si>
    <t>Cash 3/2/10</t>
  </si>
  <si>
    <t>(2009 Bonus)</t>
  </si>
  <si>
    <t>unit $ up</t>
  </si>
  <si>
    <t>Home Goods, Home Depot, Lowe's</t>
  </si>
  <si>
    <t>Honduras mission trip</t>
  </si>
  <si>
    <t>Tim &amp; Josh Skirkey, Stephanie Shoults, Ashleigh Swayne, Taylor &amp; Shelby Moll, Katherine Renda</t>
  </si>
  <si>
    <t>bridal shower gifts</t>
  </si>
  <si>
    <t>Nathan's clothes &amp; b-day gifts</t>
  </si>
  <si>
    <t>Cash withdrew 3/1/10</t>
  </si>
  <si>
    <t>2 Car state inspection&amp; oil change maintenance</t>
  </si>
  <si>
    <t>Min, Gallon</t>
  </si>
  <si>
    <t>Avg Usage</t>
  </si>
  <si>
    <t>Sarah Long</t>
  </si>
  <si>
    <t>Sacrifice Sunday - Easter</t>
  </si>
  <si>
    <t>Ck's laptop + 3-in-1 printer</t>
  </si>
  <si>
    <t>photos</t>
  </si>
  <si>
    <t>Laptop, printer, car maintenance</t>
  </si>
  <si>
    <t>Laptop, BJU curriculums, medical exp.</t>
  </si>
  <si>
    <t>Breakdown for Credit Card Expenses</t>
  </si>
  <si>
    <t>Furniture &amp; Home Deco (incl house plants etc)</t>
  </si>
  <si>
    <t>House plants and planters</t>
  </si>
  <si>
    <t>Joon's wait for reimbursement</t>
  </si>
  <si>
    <t>Mass &amp; Federal tax refund</t>
  </si>
  <si>
    <t>20/30</t>
  </si>
  <si>
    <t>avg usage current/prior</t>
  </si>
  <si>
    <t>Others (Boston Univ.)</t>
  </si>
  <si>
    <t>Joon's Rents &amp; Food</t>
  </si>
  <si>
    <t>suspended ceiling, lighting, heat ducts for basement</t>
  </si>
  <si>
    <t>insect control &amp; seeding for lawn, garden pansies &amp; vegg</t>
  </si>
  <si>
    <t>parking ck#1437</t>
  </si>
  <si>
    <t>2 weddings</t>
  </si>
  <si>
    <t>Katrina &amp; Tim Whitten,  Samantha &amp; Andrew</t>
  </si>
  <si>
    <t>Pre-purchase for 4/10 to 9/11</t>
  </si>
  <si>
    <t>Gift Piere's $25 birthday gift</t>
  </si>
  <si>
    <t>mattress &amp; foundation</t>
  </si>
  <si>
    <t>Nathan's birthday party</t>
  </si>
  <si>
    <t>Prepaid propane, finish ceiling of basement, lawn maintenance</t>
  </si>
  <si>
    <t>$200 to CK's parents</t>
  </si>
  <si>
    <t>Cash  paid 5/4/10 withdrawn from the bank 4/26/10</t>
  </si>
  <si>
    <t>Joon's rent &amp; food (Stop hosting 5/24/10)</t>
  </si>
  <si>
    <t>7/1/10 due</t>
  </si>
  <si>
    <t>BJU Press for 2nd grade DVD kits + extra worktexts for Eileen</t>
  </si>
  <si>
    <t>BBQ for BU students.</t>
  </si>
  <si>
    <t>Deacon-Flock fellowship BBQ</t>
  </si>
  <si>
    <t>Portable harddrive</t>
  </si>
  <si>
    <t>Garden Hammock/Swing</t>
  </si>
  <si>
    <t>HuanYu's graduation, family eat out too many times in this month</t>
  </si>
  <si>
    <t xml:space="preserve">Federal Tax Return </t>
  </si>
  <si>
    <t>Cash flor allowance from Joon's rent</t>
  </si>
  <si>
    <t>American Center for Law and Justice</t>
  </si>
  <si>
    <t>David Brewer (CK#1458) for cleanup land for shed</t>
  </si>
  <si>
    <t>19/18</t>
  </si>
  <si>
    <t>19/24</t>
  </si>
  <si>
    <t>6/20/10</t>
  </si>
  <si>
    <t>6/23/10</t>
  </si>
  <si>
    <t>IBM Global</t>
  </si>
  <si>
    <t>April Schwanke</t>
  </si>
  <si>
    <t>Ghana</t>
  </si>
  <si>
    <t>6/27/10</t>
  </si>
  <si>
    <t>gift cards</t>
  </si>
  <si>
    <t>shed $2549</t>
  </si>
  <si>
    <t>gifts to babies</t>
  </si>
  <si>
    <t>$74.94 Ryan's purchase; he paid me cash for it.</t>
  </si>
  <si>
    <t>Ryan's reimbursement for shoe purchase</t>
  </si>
  <si>
    <t>CK's dress pants &amp; shoes</t>
  </si>
  <si>
    <t>Kirk &amp; Celinda Lehner</t>
  </si>
  <si>
    <t>7/13/10</t>
  </si>
  <si>
    <t>1/31/10</t>
  </si>
  <si>
    <t>1/17/10</t>
  </si>
  <si>
    <t>2/14/10</t>
  </si>
  <si>
    <t>2/28/10</t>
  </si>
  <si>
    <t>2/21/10</t>
  </si>
  <si>
    <t>3/28/10</t>
  </si>
  <si>
    <t>3/14/10</t>
  </si>
  <si>
    <t>3/18/10</t>
  </si>
  <si>
    <t>3/31/10</t>
  </si>
  <si>
    <t>3/17/10</t>
  </si>
  <si>
    <t>5/23/10</t>
  </si>
  <si>
    <t>5/16/10</t>
  </si>
  <si>
    <t>BJU press for 2nd grade curriculum</t>
  </si>
  <si>
    <t>Purchase of shed</t>
  </si>
  <si>
    <t>wired to CK's parents for their car</t>
  </si>
  <si>
    <t>Camp Good News</t>
  </si>
  <si>
    <t>Ed Fleming</t>
  </si>
  <si>
    <t>Central AC for house</t>
  </si>
  <si>
    <t>SMCA homeschool fee</t>
  </si>
  <si>
    <t>VBS pennies</t>
  </si>
  <si>
    <t>VBS 20kids</t>
  </si>
  <si>
    <t>7/18/10</t>
  </si>
  <si>
    <t>lipsticks &amp; eyeshadow</t>
  </si>
  <si>
    <t>65 pint dehumidifier for basement finished area</t>
  </si>
  <si>
    <t>prescription for Nathan &amp; Eileen</t>
  </si>
  <si>
    <t>carpet cleanser &amp; air refresher &amp; kids' dental needs</t>
  </si>
  <si>
    <t>Town property tax $4279</t>
  </si>
  <si>
    <t>Data purchase</t>
  </si>
  <si>
    <t>Basement pole wrapups &amp; baseboards, ramp &amp; shelves for tool shed, paints &amp; paste</t>
  </si>
  <si>
    <t>Ck's business trip to Seattle, WA 7/25-7/28/10</t>
  </si>
  <si>
    <t>alarm clocks to Nathan &amp; Eileen</t>
  </si>
  <si>
    <t>gift cards to M. Sheckler &amp; Don Ware</t>
  </si>
  <si>
    <t>electric heater on from Nov 08 to Apr 09 for homeschooling in basement, Central A/C installed 7/23/10</t>
  </si>
  <si>
    <t>Tim Su &amp; family visit 7/30-8/3/10</t>
  </si>
  <si>
    <t>AP, 1483</t>
  </si>
  <si>
    <t>Budget 8/10</t>
  </si>
  <si>
    <t>Variance</t>
  </si>
  <si>
    <t>bgt vs actual</t>
  </si>
  <si>
    <t>Actual TOTAL</t>
  </si>
  <si>
    <t>BOA(FC's)</t>
  </si>
  <si>
    <t>TDBank (CK's)</t>
  </si>
  <si>
    <t>Annual Budget</t>
  </si>
  <si>
    <t>Actual vs. Budget</t>
  </si>
  <si>
    <t>Monthly Budget</t>
  </si>
  <si>
    <t>Dec 2009 - Dec 2010</t>
  </si>
  <si>
    <t>FC's skincare (Walmart, CVS etc)</t>
  </si>
  <si>
    <t>Gift cards, book</t>
  </si>
  <si>
    <t>BJU Press, Bldg#19</t>
  </si>
  <si>
    <t>Burlington Factory, Walmart, Marshall's</t>
  </si>
  <si>
    <t>Entertainment &amp; Misc</t>
  </si>
  <si>
    <t>Void 1465</t>
  </si>
  <si>
    <t>Property tax, wire to in-law parents for their car purchase, shed &amp; central A/C</t>
  </si>
  <si>
    <t>Lawn care, maint.</t>
  </si>
  <si>
    <t>Fish food, filters, fertilizer</t>
  </si>
  <si>
    <t>1/3 yard expansion in 7/2009</t>
  </si>
  <si>
    <t>?need to find if leaked, changed to manually switch on/off lawn irrigation</t>
  </si>
  <si>
    <t>shed &amp; mattress set &amp; garden swing set &amp; dehumidifier</t>
  </si>
  <si>
    <t>finish up basement area - final stage bathroom</t>
  </si>
  <si>
    <t>8/22/10</t>
  </si>
  <si>
    <t>Church camping ck#1485</t>
  </si>
  <si>
    <t>Gym membership</t>
  </si>
  <si>
    <t>CK's</t>
  </si>
  <si>
    <t>ck#1487</t>
  </si>
  <si>
    <t>Lodge, hotel, food</t>
  </si>
  <si>
    <t>CK's business trip Airfares $913.8</t>
  </si>
  <si>
    <t>23/19</t>
  </si>
  <si>
    <t>piano lesson+AWANA fee</t>
  </si>
  <si>
    <t>outdoor extension cord for camping</t>
  </si>
  <si>
    <t>Nathan's 2010 fall soccer club fee</t>
  </si>
  <si>
    <t>Chris traveled to VT &amp; Dover, NH</t>
  </si>
  <si>
    <t>After Tax</t>
  </si>
  <si>
    <t>W2 for Year 2010</t>
  </si>
  <si>
    <t>Crock pot $20</t>
  </si>
  <si>
    <t>Budget 11/10</t>
  </si>
  <si>
    <t>Budget 10/10</t>
  </si>
  <si>
    <t>Budget 9/10</t>
  </si>
  <si>
    <t>8/12-8/15camping trip site $105 check paid, food&amp; others 38.28</t>
  </si>
  <si>
    <t>2 gatherings: L. Clouse family &amp; Deacon-Flock BBQ</t>
  </si>
  <si>
    <t>09/26/10</t>
  </si>
  <si>
    <t>World Wide New Testament Baptist Missions</t>
  </si>
  <si>
    <t>9/17/10</t>
  </si>
  <si>
    <t>Dr. Edgar &amp; Rosann Feghaly</t>
  </si>
  <si>
    <t>Middle East (Arabic countries)</t>
  </si>
  <si>
    <t>Bible &amp; food to children on Thanksgiving Day</t>
  </si>
  <si>
    <t>Edgar Feghaly</t>
  </si>
  <si>
    <t>Christmas in July</t>
  </si>
  <si>
    <t>summer mission</t>
  </si>
  <si>
    <t>American Bible Society sent in 12/09 but received in1/10</t>
  </si>
  <si>
    <t>Lawn seeds</t>
  </si>
  <si>
    <t>Nathan's soccer shinguards &amp; shorts</t>
  </si>
  <si>
    <t>w/o mortgage payment</t>
  </si>
  <si>
    <t>22/16</t>
  </si>
  <si>
    <t>Ladies Retreat (9/10-9/11) $150.</t>
  </si>
  <si>
    <t>8/30/10</t>
  </si>
  <si>
    <t>Awana club fees, books for Nathan and Eileen, piano lessons- Nathan</t>
  </si>
  <si>
    <t>($105 cash + $30 check#1491+$13 check#1500 sports picture)</t>
  </si>
  <si>
    <t xml:space="preserve">Nashua Athlette Club fee </t>
  </si>
  <si>
    <t>Store up discounted/sale food, 2 gatherings</t>
  </si>
  <si>
    <t xml:space="preserve">Medical/Preventive </t>
  </si>
  <si>
    <t>vitamins, pres refill</t>
  </si>
  <si>
    <t>piano + dance lesson</t>
  </si>
  <si>
    <t>(Eileen's dance lesson $114)</t>
  </si>
  <si>
    <t>saving rate</t>
  </si>
  <si>
    <t>offering rate</t>
  </si>
  <si>
    <t>monthly mortgage paym't</t>
  </si>
  <si>
    <t>other expenses</t>
  </si>
  <si>
    <t>Reimbursement from Liberty Mutual for Chris' business trip exp.</t>
  </si>
  <si>
    <t>*Reimbursement from Liberty Mutual</t>
  </si>
  <si>
    <t>Canon digit camera $911.88, gift card to J&amp;M Newell</t>
  </si>
  <si>
    <t>Art (two dolls Vthomas)</t>
  </si>
  <si>
    <t>ck#1506</t>
  </si>
  <si>
    <t>Chris' professional paper submit fee</t>
  </si>
  <si>
    <t>Nathan's hearing &amp; vision testsin July</t>
  </si>
  <si>
    <t xml:space="preserve">Lawn Tractor </t>
  </si>
  <si>
    <t>Paid by cash, bought from Craiglist with Rob Johnson's help</t>
  </si>
  <si>
    <t>Billard ball set</t>
  </si>
  <si>
    <t>Homeschooling exp. Office supplies</t>
  </si>
  <si>
    <t>Office supplies</t>
  </si>
  <si>
    <t>baby gift to Kellys</t>
  </si>
  <si>
    <t>Add-It-Up reward</t>
  </si>
  <si>
    <t>10/31/10</t>
  </si>
  <si>
    <t>Tractor $1350, art (two dolls) $785</t>
  </si>
  <si>
    <t>ck#1514</t>
  </si>
  <si>
    <t>CK#1521</t>
  </si>
  <si>
    <t>AP,1519</t>
  </si>
  <si>
    <t>11/14/10</t>
  </si>
  <si>
    <t>11/21/10</t>
  </si>
  <si>
    <t>11/28/10</t>
  </si>
  <si>
    <t>(BBQ party, 2 gatherings)</t>
  </si>
  <si>
    <t>(Home prayer fellowship, Foreign Food Banquet, Homeschool Fellowship Potluck)</t>
  </si>
  <si>
    <t>$293.97 Chinese/English Bibles wait for church reimbursement-done.</t>
  </si>
  <si>
    <t>Southern NH Rescue Mission</t>
  </si>
  <si>
    <t>11/19/10</t>
  </si>
  <si>
    <t>Thanksgiving meals to homeless</t>
  </si>
  <si>
    <t>Faith Promise</t>
  </si>
  <si>
    <t>21/19</t>
  </si>
  <si>
    <t>Generator</t>
  </si>
  <si>
    <t>bought from Rob Johnson</t>
  </si>
  <si>
    <t>flameless candles etc.</t>
  </si>
  <si>
    <t>Checks ordered</t>
  </si>
  <si>
    <t>Checks Unlimited (ck#1528  $24.3+cash $12.15)</t>
  </si>
  <si>
    <t>MetLife trust distribution</t>
  </si>
  <si>
    <t>11/30/10</t>
  </si>
  <si>
    <t>Federal Income Tax 2009 Addt'l</t>
  </si>
  <si>
    <t>Nathan's piano lesson $75 &amp; Upward basketball, Eileen's dance recital tickets</t>
  </si>
  <si>
    <t>July, 2010</t>
  </si>
  <si>
    <t>Three window A/C units worthy $500</t>
  </si>
  <si>
    <t>Donation</t>
  </si>
  <si>
    <t>12/17/10</t>
  </si>
  <si>
    <t>12/26/10</t>
  </si>
  <si>
    <t>12/19/10</t>
  </si>
  <si>
    <t>Pastoral Christmas Gift</t>
  </si>
  <si>
    <t xml:space="preserve">dental balance (ck#1542) </t>
  </si>
  <si>
    <t>Parking violation ticket $25 (ck#1520), parking passes $160(ck#1518)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</si>
</sst>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%"/>
    <numFmt numFmtId="169" formatCode="[$-F800]dddd\,\ mmmm\ dd\,\ yyyy"/>
  </numFmts>
  <fonts count="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16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166" fontId="2" fillId="0" borderId="0" xfId="2" applyFont="1"/>
    <xf numFmtId="14" fontId="0" fillId="0" borderId="0" xfId="0" applyNumberFormat="1"/>
    <xf numFmtId="0" fontId="2" fillId="0" borderId="0" xfId="0" applyFont="1" applyBorder="1"/>
    <xf numFmtId="0" fontId="0" fillId="0" borderId="0" xfId="0" applyAlignment="1">
      <alignment horizontal="center"/>
    </xf>
    <xf numFmtId="166" fontId="0" fillId="0" borderId="0" xfId="2" applyFont="1"/>
    <xf numFmtId="166" fontId="0" fillId="0" borderId="0" xfId="0" applyNumberFormat="1"/>
    <xf numFmtId="0" fontId="0" fillId="0" borderId="1" xfId="0" applyBorder="1"/>
    <xf numFmtId="0" fontId="4" fillId="0" borderId="0" xfId="0" applyFont="1"/>
    <xf numFmtId="2" fontId="0" fillId="0" borderId="0" xfId="0" applyNumberFormat="1"/>
    <xf numFmtId="166" fontId="0" fillId="0" borderId="0" xfId="2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166" fontId="2" fillId="0" borderId="1" xfId="0" applyNumberFormat="1" applyFont="1" applyBorder="1"/>
    <xf numFmtId="166" fontId="3" fillId="0" borderId="19" xfId="0" applyNumberFormat="1" applyFont="1" applyBorder="1"/>
    <xf numFmtId="167" fontId="0" fillId="0" borderId="0" xfId="1" applyFont="1"/>
    <xf numFmtId="167" fontId="0" fillId="0" borderId="0" xfId="1" applyFont="1" applyBorder="1"/>
    <xf numFmtId="0" fontId="2" fillId="0" borderId="0" xfId="0" applyFont="1" applyAlignment="1">
      <alignment horizontal="center"/>
    </xf>
    <xf numFmtId="166" fontId="2" fillId="0" borderId="0" xfId="0" applyNumberFormat="1" applyFont="1"/>
    <xf numFmtId="0" fontId="7" fillId="0" borderId="0" xfId="0" applyFont="1"/>
    <xf numFmtId="167" fontId="2" fillId="0" borderId="0" xfId="1" applyFont="1"/>
    <xf numFmtId="168" fontId="0" fillId="0" borderId="0" xfId="3" applyNumberFormat="1" applyFont="1"/>
    <xf numFmtId="16" fontId="0" fillId="0" borderId="0" xfId="0" quotePrefix="1" applyNumberFormat="1"/>
    <xf numFmtId="14" fontId="3" fillId="0" borderId="0" xfId="0" applyNumberFormat="1" applyFont="1"/>
    <xf numFmtId="0" fontId="1" fillId="0" borderId="0" xfId="0" applyFont="1"/>
    <xf numFmtId="0" fontId="0" fillId="0" borderId="0" xfId="0" applyNumberFormat="1"/>
    <xf numFmtId="169" fontId="0" fillId="0" borderId="0" xfId="0" applyNumberFormat="1"/>
    <xf numFmtId="0" fontId="0" fillId="0" borderId="20" xfId="0" applyFill="1" applyBorder="1"/>
    <xf numFmtId="0" fontId="0" fillId="0" borderId="21" xfId="0" applyBorder="1"/>
    <xf numFmtId="17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Fill="1" applyBorder="1"/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0" fontId="1" fillId="0" borderId="20" xfId="0" applyFont="1" applyFill="1" applyBorder="1"/>
    <xf numFmtId="43" fontId="0" fillId="0" borderId="0" xfId="0" applyNumberFormat="1"/>
    <xf numFmtId="9" fontId="2" fillId="0" borderId="0" xfId="3" applyFont="1" applyFill="1" applyBorder="1"/>
    <xf numFmtId="9" fontId="0" fillId="0" borderId="0" xfId="3" applyFont="1"/>
    <xf numFmtId="167" fontId="0" fillId="0" borderId="1" xfId="1" applyFont="1" applyBorder="1"/>
    <xf numFmtId="167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G17" sqref="G17"/>
    </sheetView>
  </sheetViews>
  <sheetFormatPr defaultRowHeight="12.75"/>
  <cols>
    <col min="1" max="1" width="20.5703125" customWidth="1"/>
    <col min="2" max="7" width="18" customWidth="1"/>
    <col min="8" max="8" width="17" customWidth="1"/>
    <col min="9" max="9" width="16.28515625" customWidth="1"/>
  </cols>
  <sheetData>
    <row r="1" spans="1:10">
      <c r="A1" s="1" t="s">
        <v>94</v>
      </c>
      <c r="B1" s="1">
        <v>2010</v>
      </c>
      <c r="C1" s="1"/>
      <c r="D1" s="1"/>
      <c r="E1" s="1"/>
      <c r="F1" s="1"/>
    </row>
    <row r="2" spans="1:10">
      <c r="A2" s="1" t="s">
        <v>92</v>
      </c>
      <c r="F2" s="8" t="s">
        <v>189</v>
      </c>
    </row>
    <row r="3" spans="1:10" s="8" customFormat="1">
      <c r="B3" s="8" t="s">
        <v>36</v>
      </c>
      <c r="C3" s="8" t="s">
        <v>190</v>
      </c>
      <c r="D3" s="8" t="s">
        <v>35</v>
      </c>
      <c r="E3" s="8" t="s">
        <v>191</v>
      </c>
      <c r="F3" s="8" t="s">
        <v>192</v>
      </c>
      <c r="G3" s="8" t="s">
        <v>18</v>
      </c>
      <c r="H3" s="8" t="s">
        <v>157</v>
      </c>
      <c r="I3" s="8" t="s">
        <v>19</v>
      </c>
    </row>
    <row r="4" spans="1:10">
      <c r="A4" s="2" t="s">
        <v>16</v>
      </c>
      <c r="B4" s="10">
        <f>Jan!$B$42</f>
        <v>1938.8199999999997</v>
      </c>
      <c r="C4" s="10">
        <f>Jan!$B$39</f>
        <v>0</v>
      </c>
      <c r="D4" s="10">
        <f>Jan!$B$40</f>
        <v>4000</v>
      </c>
      <c r="E4" s="10">
        <f>Jan!$B$38</f>
        <v>600</v>
      </c>
      <c r="F4" s="10">
        <f>Jan!$B$36</f>
        <v>5338.82</v>
      </c>
      <c r="G4" s="10">
        <f>Jan!B4</f>
        <v>9308.17</v>
      </c>
      <c r="H4" s="10">
        <f>Jan!B14</f>
        <v>2989.35</v>
      </c>
      <c r="I4" s="10">
        <f>Jan!B11</f>
        <v>980</v>
      </c>
    </row>
    <row r="5" spans="1:10">
      <c r="A5" s="2" t="s">
        <v>37</v>
      </c>
      <c r="B5" s="10">
        <f>Feb!$B$42</f>
        <v>-557.21000000000095</v>
      </c>
      <c r="C5" s="10">
        <f>Feb!$B$39</f>
        <v>0</v>
      </c>
      <c r="D5" s="10">
        <f>Feb!$B$40</f>
        <v>2000</v>
      </c>
      <c r="E5" s="10">
        <f>Feb!$B$38</f>
        <v>600</v>
      </c>
      <c r="F5" s="10">
        <f>Feb!$B$36</f>
        <v>842.78999999999905</v>
      </c>
      <c r="G5" s="10">
        <f>Feb!B4</f>
        <v>8461.56</v>
      </c>
      <c r="H5" s="10">
        <f>Feb!B14</f>
        <v>6573.77</v>
      </c>
      <c r="I5" s="10">
        <f>Feb!B11</f>
        <v>1045</v>
      </c>
      <c r="J5" t="s">
        <v>288</v>
      </c>
    </row>
    <row r="6" spans="1:10">
      <c r="A6" s="2" t="s">
        <v>41</v>
      </c>
      <c r="B6" s="10">
        <f>Mar!$B$42</f>
        <v>1721.0799999999981</v>
      </c>
      <c r="C6" s="10">
        <f>Mar!$B$39</f>
        <v>0</v>
      </c>
      <c r="D6" s="10">
        <f>Mar!$B$40</f>
        <v>15000</v>
      </c>
      <c r="E6" s="10">
        <f>Mar!$B$38</f>
        <v>600</v>
      </c>
      <c r="F6" s="10">
        <f>Mar!$B$36</f>
        <v>16121.079999999998</v>
      </c>
      <c r="G6" s="10">
        <f>Mar!B4</f>
        <v>21035.03</v>
      </c>
      <c r="H6" s="10">
        <f>Mar!B14</f>
        <v>3703.9500000000003</v>
      </c>
      <c r="I6" s="10">
        <f>Mar!B11</f>
        <v>1210</v>
      </c>
    </row>
    <row r="7" spans="1:10">
      <c r="A7" s="2" t="s">
        <v>42</v>
      </c>
      <c r="B7" s="10">
        <f>Apr!$B$42</f>
        <v>-3147.6299999999992</v>
      </c>
      <c r="C7" s="10">
        <f>Apr!$B$39</f>
        <v>0</v>
      </c>
      <c r="D7" s="10">
        <f>Apr!$B$40</f>
        <v>7000</v>
      </c>
      <c r="E7" s="10">
        <f>Apr!$B$38</f>
        <v>0</v>
      </c>
      <c r="F7" s="10">
        <f>Apr!$B$36</f>
        <v>3852.3700000000008</v>
      </c>
      <c r="G7" s="10">
        <f>Apr!B4</f>
        <v>9842.2800000000007</v>
      </c>
      <c r="H7" s="10">
        <f>Apr!B14</f>
        <v>4689.91</v>
      </c>
      <c r="I7" s="10">
        <f>Apr!B11</f>
        <v>1300</v>
      </c>
      <c r="J7" t="s">
        <v>287</v>
      </c>
    </row>
    <row r="8" spans="1:10">
      <c r="A8" s="2" t="s">
        <v>6</v>
      </c>
      <c r="B8" s="10">
        <f>May!$B$42</f>
        <v>-33.9399999999996</v>
      </c>
      <c r="C8" s="10">
        <f>May!$B$39</f>
        <v>0</v>
      </c>
      <c r="D8" s="10">
        <f>May!$B$40</f>
        <v>0</v>
      </c>
      <c r="E8" s="10">
        <f>May!$B$38</f>
        <v>680</v>
      </c>
      <c r="F8" s="10">
        <f>May!$B$36</f>
        <v>-713.9399999999996</v>
      </c>
      <c r="G8" s="10">
        <f>May!B4</f>
        <v>7761.88</v>
      </c>
      <c r="H8" s="10">
        <f>May!B14</f>
        <v>7800.82</v>
      </c>
      <c r="I8" s="10">
        <f>May!B11</f>
        <v>675</v>
      </c>
      <c r="J8" t="s">
        <v>307</v>
      </c>
    </row>
    <row r="9" spans="1:10">
      <c r="A9" s="2" t="s">
        <v>43</v>
      </c>
      <c r="B9" s="10">
        <f>Jun!$B$42</f>
        <v>2114.4199999999992</v>
      </c>
      <c r="C9" s="10">
        <f>Jun!$B$39</f>
        <v>1145</v>
      </c>
      <c r="D9" s="10">
        <f>Jun!$B$40</f>
        <v>0</v>
      </c>
      <c r="E9" s="10">
        <f>Jun!$B$38</f>
        <v>0</v>
      </c>
      <c r="F9" s="10">
        <f>Jun!$B$36</f>
        <v>969.41999999999916</v>
      </c>
      <c r="G9" s="10">
        <f>Jun!B4</f>
        <v>6538.36</v>
      </c>
      <c r="H9" s="10">
        <f>Jun!B14</f>
        <v>4348.9400000000005</v>
      </c>
      <c r="I9" s="10">
        <f>Jun!B11</f>
        <v>1220</v>
      </c>
    </row>
    <row r="10" spans="1:10">
      <c r="A10" s="2" t="s">
        <v>44</v>
      </c>
      <c r="B10" s="10">
        <f>July!$B$42</f>
        <v>1022.2000000000007</v>
      </c>
      <c r="C10" s="10">
        <f>July!$B$39</f>
        <v>6132</v>
      </c>
      <c r="D10" s="10">
        <f>July!$B$40</f>
        <v>0</v>
      </c>
      <c r="E10" s="10">
        <f>July!$B$38</f>
        <v>0</v>
      </c>
      <c r="F10" s="10">
        <f>July!$B$36</f>
        <v>-5109.7999999999993</v>
      </c>
      <c r="G10" s="10">
        <f>July!B4</f>
        <v>10809.12</v>
      </c>
      <c r="H10" s="10">
        <f>July!B14</f>
        <v>14853.92</v>
      </c>
      <c r="I10" s="10">
        <f>July!B11</f>
        <v>1065</v>
      </c>
      <c r="J10" t="s">
        <v>389</v>
      </c>
    </row>
    <row r="11" spans="1:10">
      <c r="A11" s="2" t="s">
        <v>45</v>
      </c>
      <c r="B11" s="10">
        <f>Aug!$B$42</f>
        <v>1549.1999999999989</v>
      </c>
      <c r="C11" s="10">
        <f>Aug!$B$39</f>
        <v>0</v>
      </c>
      <c r="D11" s="10">
        <f>Aug!$B$40</f>
        <v>0</v>
      </c>
      <c r="E11" s="10">
        <f>Aug!$B$38</f>
        <v>0</v>
      </c>
      <c r="F11" s="10">
        <f>Aug!$B$36</f>
        <v>1549.1999999999989</v>
      </c>
      <c r="G11" s="10">
        <f>Aug!B4</f>
        <v>7338.7199999999993</v>
      </c>
      <c r="H11" s="10">
        <f>Aug!B14</f>
        <v>4514.5200000000004</v>
      </c>
      <c r="I11" s="10">
        <f>Aug!B11</f>
        <v>1275</v>
      </c>
    </row>
    <row r="12" spans="1:10">
      <c r="A12" s="2" t="s">
        <v>46</v>
      </c>
      <c r="B12" s="10">
        <f>Sep!$B$42</f>
        <v>-6873.79</v>
      </c>
      <c r="C12" s="10">
        <f>Sep!$B$39</f>
        <v>0</v>
      </c>
      <c r="D12" s="10">
        <f>Sep!$B$40</f>
        <v>10000</v>
      </c>
      <c r="E12" s="10">
        <f>Sep!$B$38</f>
        <v>0</v>
      </c>
      <c r="F12" s="10">
        <f>Sep!$B$36</f>
        <v>3126.21</v>
      </c>
      <c r="G12" s="10">
        <f>Sep!B4</f>
        <v>7790.8499999999995</v>
      </c>
      <c r="H12" s="10">
        <f>Sep!B14</f>
        <v>3489.6399999999994</v>
      </c>
      <c r="I12" s="10">
        <f>Sep!B11</f>
        <v>1175</v>
      </c>
    </row>
    <row r="13" spans="1:10">
      <c r="A13" s="2" t="s">
        <v>47</v>
      </c>
      <c r="B13" s="10">
        <f>Oct!$B$42</f>
        <v>-7479.81</v>
      </c>
      <c r="C13" s="10">
        <f>Oct!$B$39</f>
        <v>0</v>
      </c>
      <c r="D13" s="10">
        <f>Oct!$B$40</f>
        <v>10000</v>
      </c>
      <c r="E13" s="10">
        <f>Oct!$B$38</f>
        <v>0</v>
      </c>
      <c r="F13" s="10">
        <f>Oct!$B$36</f>
        <v>2520.1899999999996</v>
      </c>
      <c r="G13" s="10">
        <f>Oct!B4</f>
        <v>9342.41</v>
      </c>
      <c r="H13" s="10">
        <f>Oct!B14</f>
        <v>5892.22</v>
      </c>
      <c r="I13" s="10">
        <f>Oct!B11</f>
        <v>930</v>
      </c>
      <c r="J13" t="s">
        <v>459</v>
      </c>
    </row>
    <row r="14" spans="1:10">
      <c r="A14" s="2" t="s">
        <v>48</v>
      </c>
      <c r="B14" s="10">
        <f>Nov!$B$42</f>
        <v>-3303.0699999999988</v>
      </c>
      <c r="C14" s="10">
        <f>Nov!$B$39</f>
        <v>-4439</v>
      </c>
      <c r="D14" s="10">
        <f>Nov!$B$40</f>
        <v>0</v>
      </c>
      <c r="E14" s="10">
        <f>Nov!$B$38</f>
        <v>0</v>
      </c>
      <c r="F14" s="10">
        <f>Nov!$B$36</f>
        <v>1135.9300000000012</v>
      </c>
      <c r="G14" s="10">
        <f>Nov!B4</f>
        <v>7069.3</v>
      </c>
      <c r="H14" s="10">
        <f>Nov!B14</f>
        <v>4764.1699999999992</v>
      </c>
      <c r="I14" s="10">
        <f>Nov!B11</f>
        <v>1169.2</v>
      </c>
    </row>
    <row r="15" spans="1:10">
      <c r="A15" s="2" t="s">
        <v>49</v>
      </c>
      <c r="B15" s="10">
        <f>Dec!$B$42</f>
        <v>2168.83</v>
      </c>
      <c r="C15" s="10">
        <f>Dec!$B$39</f>
        <v>-437.99</v>
      </c>
      <c r="D15" s="10">
        <f>Dec!$B$40</f>
        <v>0</v>
      </c>
      <c r="E15" s="10">
        <f>Dec!$B$38</f>
        <v>61.99</v>
      </c>
      <c r="F15" s="10">
        <f>Dec!$B$36</f>
        <v>2544.83</v>
      </c>
      <c r="G15" s="10">
        <f>Dec!B4</f>
        <v>7358.68</v>
      </c>
      <c r="H15" s="10">
        <f>Dec!B14</f>
        <v>3943.8500000000004</v>
      </c>
      <c r="I15" s="10">
        <f>Dec!B11</f>
        <v>870</v>
      </c>
    </row>
    <row r="17" spans="1:11" ht="13.5" thickBot="1">
      <c r="B17" s="37">
        <f t="shared" ref="B17:I17" si="0">SUM(B4:B15)</f>
        <v>-10880.900000000003</v>
      </c>
      <c r="C17" s="37">
        <f t="shared" si="0"/>
        <v>2400.0100000000002</v>
      </c>
      <c r="D17" s="37">
        <f t="shared" si="0"/>
        <v>48000</v>
      </c>
      <c r="E17" s="37">
        <f t="shared" si="0"/>
        <v>2541.9899999999998</v>
      </c>
      <c r="F17" s="37">
        <f t="shared" si="0"/>
        <v>32177.099999999991</v>
      </c>
      <c r="G17" s="37">
        <f t="shared" si="0"/>
        <v>112656.36000000002</v>
      </c>
      <c r="H17" s="38">
        <f t="shared" si="0"/>
        <v>67565.060000000012</v>
      </c>
      <c r="I17" s="37">
        <f t="shared" si="0"/>
        <v>12914.2</v>
      </c>
      <c r="J17" s="63">
        <f>I17/G17</f>
        <v>0.11463356352007112</v>
      </c>
      <c r="K17" t="s">
        <v>441</v>
      </c>
    </row>
    <row r="18" spans="1:11" ht="13.5" thickTop="1">
      <c r="B18" s="10">
        <f>F17+E17-D17+C17</f>
        <v>-10880.900000000011</v>
      </c>
      <c r="D18" s="39">
        <v>24000</v>
      </c>
      <c r="E18" s="41" t="s">
        <v>297</v>
      </c>
      <c r="F18" s="10">
        <f>G17-H17-I17</f>
        <v>32177.100000000002</v>
      </c>
      <c r="H18" s="39">
        <f>-2000*12</f>
        <v>-24000</v>
      </c>
      <c r="I18" t="s">
        <v>193</v>
      </c>
      <c r="J18" s="64">
        <f>H18/G17</f>
        <v>-0.21303723997473376</v>
      </c>
      <c r="K18" t="s">
        <v>442</v>
      </c>
    </row>
    <row r="19" spans="1:11" ht="13.5" thickBot="1">
      <c r="A19" t="s">
        <v>214</v>
      </c>
      <c r="B19" s="10"/>
      <c r="D19" s="10">
        <f>SUM(D17:D18)</f>
        <v>72000</v>
      </c>
      <c r="F19" s="64">
        <f>F17/G17</f>
        <v>0.28562169059962517</v>
      </c>
      <c r="H19" s="37">
        <f>SUM(H17+H18)</f>
        <v>43565.060000000012</v>
      </c>
      <c r="I19" t="s">
        <v>428</v>
      </c>
      <c r="J19" s="64">
        <f>H19/G17</f>
        <v>0.3867075059055699</v>
      </c>
      <c r="K19" t="s">
        <v>443</v>
      </c>
    </row>
    <row r="20" spans="1:11" ht="13.5" thickTop="1">
      <c r="F20" s="39" t="s">
        <v>440</v>
      </c>
    </row>
    <row r="21" spans="1:11">
      <c r="F21" s="39"/>
      <c r="H21" s="42">
        <f>H19/12</f>
        <v>3630.4216666666675</v>
      </c>
      <c r="I21" t="s">
        <v>194</v>
      </c>
    </row>
    <row r="22" spans="1:11">
      <c r="F22" s="40"/>
      <c r="H22" s="10">
        <f>H17/12</f>
        <v>5630.421666666668</v>
      </c>
      <c r="I22" t="s">
        <v>195</v>
      </c>
    </row>
    <row r="23" spans="1:11">
      <c r="F23" s="10"/>
    </row>
    <row r="26" spans="1:11">
      <c r="A26" s="1" t="s">
        <v>217</v>
      </c>
      <c r="C26" s="48" t="s">
        <v>408</v>
      </c>
      <c r="D26" s="48" t="s">
        <v>409</v>
      </c>
      <c r="E26" s="48" t="s">
        <v>374</v>
      </c>
    </row>
    <row r="27" spans="1:11">
      <c r="A27" t="s">
        <v>51</v>
      </c>
      <c r="C27" s="39">
        <f>Jan!I5+Feb!I5+Mar!I5+Apr!I5+May!I5+Jun!I5+July!I5+Aug!I5+Sep!I5+Oct!I5+Nov!I5+Dec!I5</f>
        <v>85799.51999999999</v>
      </c>
      <c r="D27">
        <v>90783.81</v>
      </c>
      <c r="E27" s="66">
        <f>C27-D27</f>
        <v>-4984.2900000000081</v>
      </c>
    </row>
    <row r="28" spans="1:11">
      <c r="A28" t="s">
        <v>218</v>
      </c>
      <c r="C28" s="39">
        <f>SUM(B29:B32)</f>
        <v>26856.839999999997</v>
      </c>
    </row>
    <row r="29" spans="1:11">
      <c r="A29" s="8" t="s">
        <v>17</v>
      </c>
      <c r="B29" s="39">
        <f>Jan!I6+Feb!I6+Mar!I6+Apr!I6+May!I6+Jun!I6+July!I6+Aug!I6+Sep!I6+Oct!I6+Nov!I6+Dec!I6</f>
        <v>6941.91</v>
      </c>
      <c r="D29">
        <v>7619.53</v>
      </c>
      <c r="E29" s="66">
        <f t="shared" ref="E29:E31" si="1">B29-D29</f>
        <v>-677.61999999999989</v>
      </c>
    </row>
    <row r="30" spans="1:11">
      <c r="A30" s="8" t="s">
        <v>52</v>
      </c>
      <c r="B30" s="39">
        <f>Jan!I7+Feb!I7+Mar!I7+Apr!I7+May!I7+Jun!I7+July!I7+Aug!I7+Sep!I7+Oct!I7+Nov!I7+Dec!I7</f>
        <v>9604.44</v>
      </c>
      <c r="D30">
        <v>9604.44</v>
      </c>
      <c r="E30" s="66">
        <f t="shared" si="1"/>
        <v>0</v>
      </c>
    </row>
    <row r="31" spans="1:11">
      <c r="A31" s="8" t="s">
        <v>219</v>
      </c>
      <c r="B31" s="39">
        <f>Jan!I8+Feb!I8+Mar!I8+Apr!I8+May!I8+Jun!I8+July!I8+Aug!I8+Sep!I8+Oct!I8+Nov!I8+Dec!I8</f>
        <v>2308.75</v>
      </c>
      <c r="D31">
        <v>2308.75</v>
      </c>
      <c r="E31" s="66">
        <f t="shared" si="1"/>
        <v>0</v>
      </c>
    </row>
    <row r="32" spans="1:11">
      <c r="A32" s="8" t="s">
        <v>296</v>
      </c>
      <c r="B32" s="39">
        <f>Jan!I9+Feb!I9+Mar!I9+Apr!I9+May!I9+Jun!I9+July!I9+Aug!I9+Sep!I9+Oct!I9+Nov!I9+Dec!I9</f>
        <v>8001.74</v>
      </c>
      <c r="D32">
        <v>8001.74</v>
      </c>
      <c r="E32" s="66">
        <f>B32-D32</f>
        <v>0</v>
      </c>
    </row>
    <row r="33" spans="1:9" ht="13.5" thickBot="1">
      <c r="B33" t="s">
        <v>220</v>
      </c>
      <c r="C33" s="65">
        <f>SUM(C27:C28)</f>
        <v>112656.35999999999</v>
      </c>
      <c r="D33" s="11">
        <f>SUM(D27:D32)</f>
        <v>118318.27</v>
      </c>
      <c r="E33" s="11">
        <f>SUM(E27:E32)</f>
        <v>-5661.910000000008</v>
      </c>
    </row>
    <row r="34" spans="1:9" ht="13.5" thickTop="1"/>
    <row r="36" spans="1:9" ht="13.5" thickBot="1"/>
    <row r="37" spans="1:9" ht="13.5" thickBot="1">
      <c r="A37" t="s">
        <v>289</v>
      </c>
      <c r="D37" s="27" t="s">
        <v>378</v>
      </c>
      <c r="E37" s="28" t="s">
        <v>377</v>
      </c>
      <c r="F37" s="29" t="s">
        <v>376</v>
      </c>
      <c r="G37" s="51" t="s">
        <v>379</v>
      </c>
      <c r="H37" s="51" t="s">
        <v>380</v>
      </c>
      <c r="I37" s="57" t="s">
        <v>381</v>
      </c>
    </row>
    <row r="38" spans="1:9">
      <c r="A38" t="s">
        <v>15</v>
      </c>
      <c r="B38" s="53" t="s">
        <v>382</v>
      </c>
      <c r="D38" s="18">
        <f>E21</f>
        <v>0</v>
      </c>
      <c r="E38" s="19">
        <f>E22</f>
        <v>0</v>
      </c>
      <c r="F38" s="20">
        <f ca="1">SUM(D38:F38)</f>
        <v>0</v>
      </c>
      <c r="G38" s="24"/>
      <c r="H38" s="24"/>
    </row>
    <row r="39" spans="1:9" ht="13.5" thickBot="1">
      <c r="D39" s="18">
        <f>SUM(D41:D57)</f>
        <v>14513.73</v>
      </c>
      <c r="E39" s="19">
        <f>SUM(E41:E57)</f>
        <v>10834.840000000002</v>
      </c>
      <c r="F39" s="20">
        <f>SUM(D39:E39)</f>
        <v>25348.57</v>
      </c>
      <c r="G39" s="26">
        <f>SUM(G41:G57)</f>
        <v>23509</v>
      </c>
      <c r="H39" s="26">
        <f>F39-G39</f>
        <v>1839.5699999999997</v>
      </c>
      <c r="I39">
        <f>SUM(I41:I57)</f>
        <v>915</v>
      </c>
    </row>
    <row r="40" spans="1:9" ht="13.5" thickBot="1">
      <c r="D40" s="55" t="s">
        <v>142</v>
      </c>
      <c r="E40" s="56" t="s">
        <v>143</v>
      </c>
      <c r="F40" s="54"/>
      <c r="G40" s="58"/>
      <c r="H40" s="24"/>
    </row>
    <row r="41" spans="1:9">
      <c r="A41" t="s">
        <v>172</v>
      </c>
      <c r="B41" t="s">
        <v>173</v>
      </c>
      <c r="D41" s="15">
        <f>Jan!D49+Feb!D49+Mar!D49+Apr!D49+May!D49+Jun!D49+July!D49+Aug!D49+Sep!D49+Oct!D49+Nov!D49+Dec!D49</f>
        <v>557.26</v>
      </c>
      <c r="E41" s="24">
        <f>Jan!E49+Feb!E49+Mar!E49+Apr!E49+May!E49+Jun!E49+July!E49+Aug!E49+Sep!E49+Oct!E49+Nov!E49+Dec!E49</f>
        <v>4227.6899999999996</v>
      </c>
      <c r="F41" s="17">
        <f>SUM(D41:E41)</f>
        <v>4784.95</v>
      </c>
      <c r="G41" s="15">
        <f>350*12</f>
        <v>4200</v>
      </c>
      <c r="H41" s="24">
        <f>F41-G41</f>
        <v>584.94999999999982</v>
      </c>
      <c r="I41">
        <v>350</v>
      </c>
    </row>
    <row r="42" spans="1:9">
      <c r="A42" t="s">
        <v>174</v>
      </c>
      <c r="B42" t="s">
        <v>149</v>
      </c>
      <c r="D42" s="18">
        <f>Jan!D50+Feb!D50+Mar!D50+Apr!D50+May!D50+Jun!D50+July!D50+Aug!D50+Sep!D50+Oct!D50+Nov!D50+Dec!D50</f>
        <v>359.62</v>
      </c>
      <c r="E42" s="25">
        <f>Jan!E50+Feb!E50+Mar!E50+Apr!E50+May!E50+Jun!E50+July!E50+Aug!E50+Sep!E50+Oct!E50+Nov!E50+Dec!E50</f>
        <v>810.02</v>
      </c>
      <c r="F42" s="20">
        <f t="shared" ref="F42:F57" si="2">SUM(D42:E42)</f>
        <v>1169.6399999999999</v>
      </c>
      <c r="G42" s="18">
        <f>100*12</f>
        <v>1200</v>
      </c>
      <c r="H42" s="25">
        <f t="shared" ref="H42:H57" si="3">F42-G42</f>
        <v>-30.360000000000127</v>
      </c>
      <c r="I42">
        <v>100</v>
      </c>
    </row>
    <row r="43" spans="1:9">
      <c r="A43" t="s">
        <v>178</v>
      </c>
      <c r="B43" t="s">
        <v>386</v>
      </c>
      <c r="D43" s="18">
        <f>Jan!D51+Feb!D51+Mar!D51+Apr!D51+May!D51+Jun!D51+July!D51+Aug!D51+Sep!D51+Oct!D51+Nov!D51+Dec!D51</f>
        <v>63.57</v>
      </c>
      <c r="E43" s="25">
        <f>Jan!E51+Feb!E51+Mar!E51+Apr!E51+May!E51+Jun!E51+July!E51+Aug!E51+Sep!E51+Oct!E51+Nov!E51+Dec!E51</f>
        <v>468.60999999999996</v>
      </c>
      <c r="F43" s="20">
        <f t="shared" si="2"/>
        <v>532.17999999999995</v>
      </c>
      <c r="G43" s="18">
        <f>100+50*3</f>
        <v>250</v>
      </c>
      <c r="H43" s="25">
        <f t="shared" si="3"/>
        <v>282.17999999999995</v>
      </c>
      <c r="I43">
        <v>0</v>
      </c>
    </row>
    <row r="44" spans="1:9">
      <c r="A44" t="s">
        <v>179</v>
      </c>
      <c r="B44" t="s">
        <v>383</v>
      </c>
      <c r="D44" s="18">
        <f>Jan!D52+Feb!D52+Mar!D52+Apr!D52+May!D52+Jun!D52+July!D52+Aug!D52+Sep!D52+Oct!D52+Nov!D52+Dec!D52</f>
        <v>0</v>
      </c>
      <c r="E44" s="25">
        <f>Jan!E52+Feb!E52+Mar!E52+Apr!E52+May!E52+Jun!E52+July!E52+Aug!E52+Sep!E52+Oct!E52+Nov!E52+Dec!E52</f>
        <v>152.29</v>
      </c>
      <c r="F44" s="20">
        <f t="shared" si="2"/>
        <v>152.29</v>
      </c>
      <c r="G44" s="18">
        <f>20*12</f>
        <v>240</v>
      </c>
      <c r="H44" s="25">
        <f t="shared" si="3"/>
        <v>-87.710000000000008</v>
      </c>
      <c r="I44">
        <v>20</v>
      </c>
    </row>
    <row r="45" spans="1:9">
      <c r="A45" t="s">
        <v>384</v>
      </c>
      <c r="B45" s="33" t="s">
        <v>152</v>
      </c>
      <c r="D45" s="18">
        <f>Jan!D53+Feb!D53+Mar!D53+Apr!D53+May!D53+Jun!D53+July!D53+Aug!D53+Sep!D53+Oct!D53+Nov!D53+Dec!D53</f>
        <v>1748.91</v>
      </c>
      <c r="E45" s="25">
        <f>Jan!E53+Feb!E53+Mar!E53+Apr!E53+May!E53+Jun!E53+July!E53+Aug!E53+Sep!E53+Oct!E53+Nov!E53+Dec!E53</f>
        <v>453.18999999999994</v>
      </c>
      <c r="F45" s="20">
        <f t="shared" si="2"/>
        <v>2202.1</v>
      </c>
      <c r="G45" s="18">
        <f>100*12</f>
        <v>1200</v>
      </c>
      <c r="H45" s="25">
        <f t="shared" si="3"/>
        <v>1002.0999999999999</v>
      </c>
      <c r="I45">
        <v>0</v>
      </c>
    </row>
    <row r="46" spans="1:9">
      <c r="A46" t="s">
        <v>176</v>
      </c>
      <c r="B46" s="33" t="s">
        <v>385</v>
      </c>
      <c r="D46" s="18">
        <f>Jan!D54+Feb!D54+Mar!D54+Apr!D54+May!D54+Jun!D54+July!D54+Aug!D54+Sep!D54+Oct!D54+Nov!D54+Dec!D54</f>
        <v>50</v>
      </c>
      <c r="E46" s="25">
        <f>Jan!E54+Feb!E54+Mar!E54+Apr!E54+May!E54+Jun!E54+July!E54+Aug!E54+Sep!E54+Oct!E54+Nov!E54+Dec!E54</f>
        <v>2491.59</v>
      </c>
      <c r="F46" s="20">
        <f t="shared" si="2"/>
        <v>2541.59</v>
      </c>
      <c r="G46" s="18">
        <f>1500*2</f>
        <v>3000</v>
      </c>
      <c r="H46" s="25">
        <f t="shared" si="3"/>
        <v>-458.40999999999985</v>
      </c>
    </row>
    <row r="47" spans="1:9">
      <c r="A47" t="s">
        <v>54</v>
      </c>
      <c r="D47" s="18">
        <f>Jan!D55+Feb!D55+Mar!D55+Apr!D55+May!D55+Jun!D55+July!D55+Aug!D55+Sep!D55+Oct!D55+Nov!D55+Dec!D55</f>
        <v>1624.65</v>
      </c>
      <c r="E47" s="25">
        <f>Jan!E55+Feb!E55+Mar!E55+Apr!E55+May!E55+Jun!E55+July!E55+Aug!E55+Sep!E55+Oct!E55+Nov!E55+Dec!E55</f>
        <v>248.40999999999997</v>
      </c>
      <c r="F47" s="20">
        <f t="shared" si="2"/>
        <v>1873.06</v>
      </c>
      <c r="G47" s="18">
        <f>100*12</f>
        <v>1200</v>
      </c>
      <c r="H47" s="25">
        <f t="shared" si="3"/>
        <v>673.06</v>
      </c>
      <c r="I47">
        <v>0</v>
      </c>
    </row>
    <row r="48" spans="1:9">
      <c r="A48" t="s">
        <v>180</v>
      </c>
      <c r="D48" s="18">
        <f>Jan!D56+Feb!D56+Mar!D56+Apr!D56+May!D56+Jun!D56+July!D56+Aug!D56+Sep!D56+Oct!D56+Nov!D56+Dec!D56</f>
        <v>1190.5999999999999</v>
      </c>
      <c r="E48" s="25">
        <f>Jan!E56+Feb!E56+Mar!E56+Apr!E56+May!E56+Jun!E56+July!E56+Aug!E56+Sep!E56+Oct!E56+Nov!E56+Dec!E56</f>
        <v>369.11</v>
      </c>
      <c r="F48" s="20">
        <f t="shared" si="2"/>
        <v>1559.71</v>
      </c>
      <c r="G48" s="18">
        <f>100*12</f>
        <v>1200</v>
      </c>
      <c r="H48" s="25">
        <f t="shared" si="3"/>
        <v>359.71000000000004</v>
      </c>
      <c r="I48">
        <v>100</v>
      </c>
    </row>
    <row r="49" spans="1:10">
      <c r="A49" t="s">
        <v>53</v>
      </c>
      <c r="B49" t="s">
        <v>148</v>
      </c>
      <c r="D49" s="18">
        <f>Jan!D57+Feb!D57+Mar!D57+Apr!D57+May!D57+Jun!D57+July!D57+Aug!D57+Sep!D57+Oct!D57+Nov!D57+Dec!D57</f>
        <v>1397</v>
      </c>
      <c r="E49" s="25">
        <f>Jan!E57+Feb!E57+Mar!E57+Apr!E57+May!E57+Jun!E57+July!E57+Aug!E57+Sep!E57+Oct!E57+Nov!E57+Dec!E57</f>
        <v>150.6</v>
      </c>
      <c r="F49" s="20">
        <f t="shared" si="2"/>
        <v>1547.6</v>
      </c>
      <c r="G49" s="18">
        <f>150*12</f>
        <v>1800</v>
      </c>
      <c r="H49" s="25">
        <f t="shared" si="3"/>
        <v>-252.40000000000009</v>
      </c>
      <c r="I49">
        <v>150</v>
      </c>
    </row>
    <row r="50" spans="1:10">
      <c r="A50" t="s">
        <v>56</v>
      </c>
      <c r="B50" t="s">
        <v>151</v>
      </c>
      <c r="D50" s="18">
        <f>Jan!D58+Feb!D58+Mar!D58+Apr!D58+May!D58+Jun!D58+July!D58+Aug!D58+Sep!D58+Oct!D58+Nov!D58+Dec!D58</f>
        <v>763.53</v>
      </c>
      <c r="E50" s="25">
        <f>Jan!E58+Feb!E58+Mar!E58+Apr!E58+May!E58+Jun!E58+July!E58+Aug!E58+Sep!E58+Oct!E58+Nov!E58+Dec!E58</f>
        <v>333.21000000000004</v>
      </c>
      <c r="F50" s="20">
        <f t="shared" si="2"/>
        <v>1096.74</v>
      </c>
      <c r="G50" s="18">
        <f>75*12</f>
        <v>900</v>
      </c>
      <c r="H50" s="25">
        <f t="shared" si="3"/>
        <v>196.74</v>
      </c>
      <c r="I50">
        <v>75</v>
      </c>
    </row>
    <row r="51" spans="1:10">
      <c r="A51" t="s">
        <v>187</v>
      </c>
      <c r="D51" s="18">
        <f>Jan!D59+Feb!D59+Mar!D59+Apr!D59+May!D59+Jun!D59+July!D59+Aug!D59+Sep!D59+Oct!D59+Nov!D59+Dec!D59</f>
        <v>23.92</v>
      </c>
      <c r="E51" s="25">
        <f>Jan!E59+Feb!E59+Mar!E59+Apr!E59+May!E59+Jun!E59+July!E59+Aug!E59+Sep!E59+Oct!E59+Nov!E59+Dec!E59</f>
        <v>699.9</v>
      </c>
      <c r="F51" s="20">
        <f t="shared" si="2"/>
        <v>723.81999999999994</v>
      </c>
      <c r="G51" s="18">
        <f>70*12</f>
        <v>840</v>
      </c>
      <c r="H51" s="25">
        <f t="shared" si="3"/>
        <v>-116.18000000000006</v>
      </c>
      <c r="I51">
        <v>70</v>
      </c>
    </row>
    <row r="52" spans="1:10">
      <c r="A52" t="s">
        <v>153</v>
      </c>
      <c r="D52" s="18">
        <f>Jan!D60+Feb!D60+Mar!D60+Apr!D60+May!D60+Jun!D60+July!D60+Aug!D60+Sep!D60+Oct!D60+Nov!D60+Dec!D60</f>
        <v>593.09999999999991</v>
      </c>
      <c r="E52" s="25">
        <f>Jan!E60+Feb!E60+Mar!E60+Apr!E60+May!E60+Jun!E60+July!E60+Aug!E60+Sep!E60+Oct!E60+Nov!E60+Dec!E60</f>
        <v>0</v>
      </c>
      <c r="F52" s="20">
        <f t="shared" si="2"/>
        <v>593.09999999999991</v>
      </c>
      <c r="G52" s="18">
        <f>600*2</f>
        <v>1200</v>
      </c>
      <c r="H52" s="25">
        <f t="shared" si="3"/>
        <v>-606.90000000000009</v>
      </c>
    </row>
    <row r="53" spans="1:10">
      <c r="A53" t="s">
        <v>183</v>
      </c>
      <c r="B53" t="s">
        <v>391</v>
      </c>
      <c r="D53" s="18">
        <f>Jan!D61+Feb!D61+Mar!D61+Apr!D61+May!D61+Jun!D61+July!D61+Aug!D61+Sep!D61+Oct!D61+Nov!D61+Dec!D61</f>
        <v>0</v>
      </c>
      <c r="E53" s="25">
        <f>Jan!E61+Feb!E61+Mar!E61+Apr!E61+May!E61+Jun!E61+July!E61+Aug!E61+Sep!E61+Oct!E61+Nov!E61+Dec!E61</f>
        <v>0</v>
      </c>
      <c r="F53" s="20">
        <f t="shared" si="2"/>
        <v>0</v>
      </c>
      <c r="G53" s="18">
        <v>20</v>
      </c>
      <c r="H53" s="25">
        <f t="shared" si="3"/>
        <v>-20</v>
      </c>
    </row>
    <row r="54" spans="1:10">
      <c r="A54" t="s">
        <v>55</v>
      </c>
      <c r="B54" t="s">
        <v>57</v>
      </c>
      <c r="C54" t="s">
        <v>390</v>
      </c>
      <c r="D54" s="18">
        <f>Jan!D62+Feb!D62+Mar!D62+Apr!D62+May!D62+Jun!D62+July!D62+Aug!D62+Sep!D62+Oct!D62+Nov!D62+Dec!D62</f>
        <v>1779.84</v>
      </c>
      <c r="E54" s="25">
        <f>Jan!E62+Feb!E62+Mar!E62+Apr!E62+May!E62+Jun!E62+July!E62+Aug!E62+Sep!E62+Oct!E62+Nov!E62+Dec!E62</f>
        <v>65.44</v>
      </c>
      <c r="F54" s="20">
        <f t="shared" si="2"/>
        <v>1845.28</v>
      </c>
      <c r="G54" s="18">
        <v>2000</v>
      </c>
      <c r="H54" s="25">
        <f t="shared" si="3"/>
        <v>-154.72000000000003</v>
      </c>
      <c r="I54">
        <v>0</v>
      </c>
      <c r="J54" t="s">
        <v>395</v>
      </c>
    </row>
    <row r="55" spans="1:10">
      <c r="A55" t="s">
        <v>182</v>
      </c>
      <c r="B55" t="s">
        <v>188</v>
      </c>
      <c r="D55" s="18">
        <f>Jan!D63+Feb!D63+Mar!D63+Apr!D63+May!D63+Jun!D63+July!D63+Aug!D63+Sep!D63+Oct!D63+Nov!D63+Dec!D63</f>
        <v>3265.9399999999996</v>
      </c>
      <c r="E55" s="25">
        <f>Jan!E63+Feb!E63+Mar!E63+Apr!E63+May!E63+Jun!E63+July!E63+Aug!E63+Sep!E63+Oct!E63+Nov!E63+Dec!E63</f>
        <v>289.39999999999998</v>
      </c>
      <c r="F55" s="20">
        <f t="shared" si="2"/>
        <v>3555.3399999999997</v>
      </c>
      <c r="G55" s="18">
        <f>2500+400+159+200</f>
        <v>3259</v>
      </c>
      <c r="H55" s="25">
        <f t="shared" si="3"/>
        <v>296.33999999999969</v>
      </c>
      <c r="I55">
        <v>0</v>
      </c>
    </row>
    <row r="56" spans="1:10">
      <c r="A56" t="s">
        <v>141</v>
      </c>
      <c r="B56" t="s">
        <v>58</v>
      </c>
      <c r="D56" s="18">
        <f>Jan!D64+Feb!D64+Mar!D64+Apr!D64+May!D64+Jun!D64+July!D64+Aug!D64+Sep!D64+Oct!D64+Nov!D64+Dec!D64</f>
        <v>957.04</v>
      </c>
      <c r="E56" s="25">
        <f>Jan!E64+Feb!E64+Mar!E64+Apr!E64+May!E64+Jun!E64+July!E64+Aug!E64+Sep!E64+Oct!E64+Nov!E64+Dec!E64</f>
        <v>38.28</v>
      </c>
      <c r="F56" s="20">
        <f t="shared" si="2"/>
        <v>995.31999999999994</v>
      </c>
      <c r="G56" s="18">
        <v>400</v>
      </c>
      <c r="H56" s="25">
        <f t="shared" si="3"/>
        <v>595.31999999999994</v>
      </c>
      <c r="J56" t="s">
        <v>394</v>
      </c>
    </row>
    <row r="57" spans="1:10" ht="13.5" thickBot="1">
      <c r="A57" t="s">
        <v>145</v>
      </c>
      <c r="B57" t="s">
        <v>150</v>
      </c>
      <c r="D57" s="21">
        <f>Jan!D65+Feb!D65+Mar!D65+Apr!D65+May!D65+Jun!D65+July!D65+Aug!D65+Sep!D65+Oct!D65+Nov!D65+Dec!D65</f>
        <v>138.75</v>
      </c>
      <c r="E57" s="26">
        <f>Jan!E65+Feb!E65+Mar!E65+Apr!E65+May!E65+Jun!E65+July!E65+Aug!E65+Sep!E65+Oct!E65+Nov!E65+Dec!E65</f>
        <v>37.1</v>
      </c>
      <c r="F57" s="23">
        <f t="shared" si="2"/>
        <v>175.85</v>
      </c>
      <c r="G57" s="21">
        <f>50*12</f>
        <v>600</v>
      </c>
      <c r="H57" s="26">
        <f t="shared" si="3"/>
        <v>-424.15</v>
      </c>
      <c r="I57">
        <v>50</v>
      </c>
    </row>
    <row r="59" spans="1:10">
      <c r="F59">
        <f>SUM(F41:F57)</f>
        <v>25348.569999999996</v>
      </c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66"/>
  <sheetViews>
    <sheetView workbookViewId="0">
      <selection activeCell="B39" sqref="B39"/>
    </sheetView>
  </sheetViews>
  <sheetFormatPr defaultRowHeight="12.75"/>
  <cols>
    <col min="1" max="1" width="17.85546875" customWidth="1"/>
    <col min="2" max="2" width="14.7109375" customWidth="1"/>
  </cols>
  <sheetData>
    <row r="1" spans="1:9" s="3" customFormat="1">
      <c r="A1" s="1" t="s">
        <v>15</v>
      </c>
      <c r="B1" s="4">
        <v>2010</v>
      </c>
    </row>
    <row r="2" spans="1:9" s="3" customFormat="1">
      <c r="A2" s="1" t="s">
        <v>1</v>
      </c>
      <c r="B2" s="1" t="s">
        <v>43</v>
      </c>
    </row>
    <row r="4" spans="1:9">
      <c r="A4" s="1" t="s">
        <v>18</v>
      </c>
      <c r="B4" s="5">
        <f>SUM(I5:I9)</f>
        <v>6538.36</v>
      </c>
      <c r="I4">
        <f>SUM(I5:I9)</f>
        <v>6538.36</v>
      </c>
    </row>
    <row r="5" spans="1:9">
      <c r="B5" t="s">
        <v>51</v>
      </c>
      <c r="C5">
        <v>2868.99</v>
      </c>
      <c r="D5">
        <v>2869</v>
      </c>
      <c r="E5">
        <v>0</v>
      </c>
      <c r="F5">
        <v>0</v>
      </c>
      <c r="G5">
        <v>0</v>
      </c>
      <c r="I5" s="3">
        <f>SUM(C5:H5)</f>
        <v>5737.99</v>
      </c>
    </row>
    <row r="6" spans="1:9">
      <c r="B6" t="s">
        <v>17</v>
      </c>
      <c r="I6" s="3">
        <f>SUM(C6:H6)</f>
        <v>0</v>
      </c>
    </row>
    <row r="7" spans="1:9">
      <c r="B7" t="s">
        <v>52</v>
      </c>
      <c r="C7">
        <v>800.37</v>
      </c>
      <c r="I7" s="3">
        <f>SUM(C7:H7)</f>
        <v>800.37</v>
      </c>
    </row>
    <row r="8" spans="1:9">
      <c r="B8" t="s">
        <v>219</v>
      </c>
      <c r="C8">
        <v>0</v>
      </c>
      <c r="I8" s="3">
        <f>SUM(C8:H8)</f>
        <v>0</v>
      </c>
    </row>
    <row r="9" spans="1:9">
      <c r="B9" t="s">
        <v>235</v>
      </c>
      <c r="C9">
        <v>0</v>
      </c>
      <c r="I9" s="3">
        <f>SUM(C9:H9)</f>
        <v>0</v>
      </c>
    </row>
    <row r="11" spans="1:9">
      <c r="A11" s="1" t="s">
        <v>19</v>
      </c>
      <c r="B11" s="5">
        <f>Tithe!F8</f>
        <v>1220</v>
      </c>
    </row>
    <row r="14" spans="1:9">
      <c r="A14" s="1" t="s">
        <v>20</v>
      </c>
      <c r="B14" s="5">
        <f>SUM(E15:E34)</f>
        <v>4348.9400000000005</v>
      </c>
    </row>
    <row r="15" spans="1:9">
      <c r="A15" s="1"/>
      <c r="B15" t="s">
        <v>26</v>
      </c>
      <c r="C15" t="s">
        <v>27</v>
      </c>
      <c r="E15">
        <v>2000</v>
      </c>
    </row>
    <row r="16" spans="1:9">
      <c r="B16" t="s">
        <v>0</v>
      </c>
      <c r="C16" t="s">
        <v>24</v>
      </c>
      <c r="E16">
        <v>103.09</v>
      </c>
    </row>
    <row r="17" spans="2:7">
      <c r="B17" t="s">
        <v>22</v>
      </c>
      <c r="C17" t="s">
        <v>78</v>
      </c>
      <c r="E17">
        <v>126.15</v>
      </c>
    </row>
    <row r="18" spans="2:7">
      <c r="B18" t="s">
        <v>21</v>
      </c>
    </row>
    <row r="19" spans="2:7">
      <c r="B19" t="s">
        <v>100</v>
      </c>
      <c r="C19" t="s">
        <v>28</v>
      </c>
      <c r="E19">
        <v>60.86</v>
      </c>
    </row>
    <row r="20" spans="2:7">
      <c r="B20" t="s">
        <v>29</v>
      </c>
      <c r="F20" s="6"/>
      <c r="G20" s="6"/>
    </row>
    <row r="21" spans="2:7">
      <c r="B21" t="s">
        <v>30</v>
      </c>
      <c r="C21" t="s">
        <v>27</v>
      </c>
      <c r="F21" t="s">
        <v>95</v>
      </c>
    </row>
    <row r="22" spans="2:7">
      <c r="B22" t="s">
        <v>30</v>
      </c>
      <c r="C22" t="s">
        <v>105</v>
      </c>
      <c r="E22">
        <v>1057.26</v>
      </c>
      <c r="F22" t="s">
        <v>106</v>
      </c>
    </row>
    <row r="23" spans="2:7">
      <c r="B23" t="s">
        <v>30</v>
      </c>
      <c r="C23" t="s">
        <v>27</v>
      </c>
      <c r="E23">
        <v>651.58000000000004</v>
      </c>
      <c r="F23" t="s">
        <v>107</v>
      </c>
    </row>
    <row r="24" spans="2:7">
      <c r="B24" t="s">
        <v>96</v>
      </c>
    </row>
    <row r="25" spans="2:7">
      <c r="B25" t="s">
        <v>98</v>
      </c>
      <c r="C25" t="s">
        <v>212</v>
      </c>
      <c r="E25">
        <v>350</v>
      </c>
      <c r="F25" t="s">
        <v>321</v>
      </c>
    </row>
    <row r="26" spans="2:7">
      <c r="B26" t="s">
        <v>59</v>
      </c>
    </row>
    <row r="27" spans="2:7">
      <c r="B27" t="s">
        <v>97</v>
      </c>
    </row>
    <row r="28" spans="2:7">
      <c r="B28" t="s">
        <v>91</v>
      </c>
    </row>
    <row r="29" spans="2:7">
      <c r="B29" t="s">
        <v>99</v>
      </c>
    </row>
    <row r="30" spans="2:7">
      <c r="B30" t="s">
        <v>221</v>
      </c>
    </row>
    <row r="36" spans="1:7">
      <c r="A36" s="1" t="s">
        <v>31</v>
      </c>
      <c r="B36" s="5">
        <f>B4-B11-B14</f>
        <v>969.41999999999916</v>
      </c>
    </row>
    <row r="37" spans="1:7">
      <c r="A37" s="1"/>
      <c r="B37" s="1"/>
    </row>
    <row r="38" spans="1:7">
      <c r="A38" s="1" t="s">
        <v>32</v>
      </c>
      <c r="B38" s="5"/>
      <c r="D38" t="s">
        <v>33</v>
      </c>
      <c r="E38" t="s">
        <v>34</v>
      </c>
    </row>
    <row r="39" spans="1:7">
      <c r="A39" s="1" t="s">
        <v>90</v>
      </c>
      <c r="B39" s="44">
        <f>1145</f>
        <v>1145</v>
      </c>
      <c r="D39" t="s">
        <v>293</v>
      </c>
    </row>
    <row r="40" spans="1:7">
      <c r="A40" s="1" t="s">
        <v>35</v>
      </c>
      <c r="B40" s="5">
        <v>0</v>
      </c>
      <c r="D40" t="s">
        <v>26</v>
      </c>
    </row>
    <row r="41" spans="1:7">
      <c r="A41" s="1"/>
      <c r="B41" s="1"/>
    </row>
    <row r="42" spans="1:7">
      <c r="A42" s="1" t="s">
        <v>36</v>
      </c>
      <c r="B42" s="5">
        <f>B36+B38+B39-B40</f>
        <v>2114.4199999999992</v>
      </c>
    </row>
    <row r="44" spans="1:7" ht="13.5" thickBot="1"/>
    <row r="45" spans="1:7" ht="13.5" thickBot="1">
      <c r="A45" t="s">
        <v>147</v>
      </c>
      <c r="D45" s="27" t="s">
        <v>105</v>
      </c>
      <c r="E45" s="28" t="s">
        <v>146</v>
      </c>
      <c r="F45" s="28" t="s">
        <v>146</v>
      </c>
      <c r="G45" s="29" t="s">
        <v>63</v>
      </c>
    </row>
    <row r="46" spans="1:7">
      <c r="A46" t="s">
        <v>175</v>
      </c>
      <c r="B46" t="s">
        <v>6</v>
      </c>
      <c r="D46" s="18">
        <f>E22</f>
        <v>1057.26</v>
      </c>
      <c r="E46" s="19">
        <f>E23</f>
        <v>651.58000000000004</v>
      </c>
      <c r="F46" s="19">
        <f>E21</f>
        <v>0</v>
      </c>
      <c r="G46" s="20">
        <f>SUM(D46:F46)</f>
        <v>1708.8400000000001</v>
      </c>
    </row>
    <row r="47" spans="1:7">
      <c r="D47" s="18">
        <f>SUM(D49:D65)</f>
        <v>1057.2599999999998</v>
      </c>
      <c r="E47" s="19">
        <f>SUM(E49:E65)</f>
        <v>651.58000000000004</v>
      </c>
      <c r="F47" s="19">
        <f>SUM(F49:F65)</f>
        <v>0</v>
      </c>
      <c r="G47" s="20">
        <f>SUM(D47:F47)</f>
        <v>1708.8399999999997</v>
      </c>
    </row>
    <row r="48" spans="1:7" ht="13.5" thickBot="1">
      <c r="D48" s="30" t="s">
        <v>142</v>
      </c>
      <c r="E48" s="31" t="s">
        <v>143</v>
      </c>
      <c r="F48" s="31" t="s">
        <v>144</v>
      </c>
      <c r="G48" s="32"/>
    </row>
    <row r="49" spans="1:8">
      <c r="A49" t="s">
        <v>172</v>
      </c>
      <c r="B49" t="s">
        <v>173</v>
      </c>
      <c r="D49" s="15">
        <f>7.87+3.98+19.53+3.97+15.87+25.87</f>
        <v>77.09</v>
      </c>
      <c r="E49" s="16">
        <f>24.64+15.28+54.88+13.73+21.72+40.3+63.92+27.96+38.9</f>
        <v>301.33</v>
      </c>
      <c r="F49" s="17"/>
      <c r="G49" s="24">
        <f>SUM(D49:F49)</f>
        <v>378.41999999999996</v>
      </c>
    </row>
    <row r="50" spans="1:8">
      <c r="A50" t="s">
        <v>174</v>
      </c>
      <c r="B50" t="s">
        <v>261</v>
      </c>
      <c r="D50" s="18">
        <f>109.03+43.92</f>
        <v>152.94999999999999</v>
      </c>
      <c r="E50" s="19">
        <f>32.24+67.48+24.42+32.66</f>
        <v>156.80000000000001</v>
      </c>
      <c r="F50" s="20"/>
      <c r="G50" s="25">
        <f t="shared" ref="G50:G65" si="0">SUM(D50:F50)</f>
        <v>309.75</v>
      </c>
      <c r="H50" t="s">
        <v>314</v>
      </c>
    </row>
    <row r="51" spans="1:8">
      <c r="A51" t="s">
        <v>178</v>
      </c>
      <c r="D51" s="18"/>
      <c r="E51" s="19"/>
      <c r="F51" s="20"/>
      <c r="G51" s="25">
        <f t="shared" si="0"/>
        <v>0</v>
      </c>
    </row>
    <row r="52" spans="1:8">
      <c r="A52" t="s">
        <v>179</v>
      </c>
      <c r="D52" s="18"/>
      <c r="E52" s="19"/>
      <c r="F52" s="20"/>
      <c r="G52" s="25">
        <f t="shared" si="0"/>
        <v>0</v>
      </c>
    </row>
    <row r="53" spans="1:8">
      <c r="A53" t="s">
        <v>267</v>
      </c>
      <c r="B53" s="33" t="s">
        <v>152</v>
      </c>
      <c r="D53" s="18">
        <f>89.99-5.49-23.98</f>
        <v>60.519999999999996</v>
      </c>
      <c r="E53" s="19"/>
      <c r="F53" s="20"/>
      <c r="G53" s="25">
        <f t="shared" si="0"/>
        <v>60.519999999999996</v>
      </c>
      <c r="H53" t="s">
        <v>315</v>
      </c>
    </row>
    <row r="54" spans="1:8">
      <c r="A54" t="s">
        <v>176</v>
      </c>
      <c r="B54" s="33"/>
      <c r="D54" s="18"/>
      <c r="E54" s="19">
        <v>0</v>
      </c>
      <c r="F54" s="20"/>
      <c r="G54" s="25">
        <f t="shared" si="0"/>
        <v>0</v>
      </c>
    </row>
    <row r="55" spans="1:8">
      <c r="A55" t="s">
        <v>54</v>
      </c>
      <c r="D55" s="18">
        <f>3.7+2.5+17.09+5.95+3.04+28.25+76+5.95+3.4+1.77+47+5.95+11+6.99+55+9.99+5.95+27.93</f>
        <v>317.46000000000004</v>
      </c>
      <c r="E55" s="19">
        <f>21.8+27+10.9</f>
        <v>59.699999999999996</v>
      </c>
      <c r="F55" s="20"/>
      <c r="G55" s="25">
        <f t="shared" si="0"/>
        <v>377.16</v>
      </c>
      <c r="H55" t="s">
        <v>317</v>
      </c>
    </row>
    <row r="56" spans="1:8">
      <c r="A56" t="s">
        <v>180</v>
      </c>
      <c r="D56" s="18">
        <f>30.51+43.21+27.21+28.01+31.26</f>
        <v>160.19999999999999</v>
      </c>
      <c r="E56" s="19">
        <v>52.5</v>
      </c>
      <c r="F56" s="20"/>
      <c r="G56" s="25">
        <f t="shared" si="0"/>
        <v>212.7</v>
      </c>
    </row>
    <row r="57" spans="1:8">
      <c r="A57" t="s">
        <v>53</v>
      </c>
      <c r="B57" t="s">
        <v>148</v>
      </c>
      <c r="D57" s="18">
        <f>10</f>
        <v>10</v>
      </c>
      <c r="E57" s="19">
        <v>13.1</v>
      </c>
      <c r="F57" s="20"/>
      <c r="G57" s="25">
        <f t="shared" si="0"/>
        <v>23.1</v>
      </c>
    </row>
    <row r="58" spans="1:8">
      <c r="A58" t="s">
        <v>56</v>
      </c>
      <c r="B58" t="s">
        <v>151</v>
      </c>
      <c r="D58" s="18">
        <v>73.010000000000005</v>
      </c>
      <c r="E58" s="19">
        <v>68.150000000000006</v>
      </c>
      <c r="F58" s="20"/>
      <c r="G58" s="25">
        <f t="shared" si="0"/>
        <v>141.16000000000003</v>
      </c>
    </row>
    <row r="59" spans="1:8">
      <c r="A59" t="s">
        <v>87</v>
      </c>
      <c r="D59" s="18"/>
      <c r="E59" s="19"/>
      <c r="F59" s="20"/>
      <c r="G59" s="25">
        <f t="shared" si="0"/>
        <v>0</v>
      </c>
    </row>
    <row r="60" spans="1:8">
      <c r="A60" t="s">
        <v>153</v>
      </c>
      <c r="D60" s="18"/>
      <c r="E60" s="19"/>
      <c r="F60" s="20"/>
      <c r="G60" s="25">
        <f t="shared" si="0"/>
        <v>0</v>
      </c>
    </row>
    <row r="61" spans="1:8">
      <c r="A61" t="s">
        <v>206</v>
      </c>
      <c r="B61" t="s">
        <v>184</v>
      </c>
      <c r="D61" s="18"/>
      <c r="E61" s="19"/>
      <c r="F61" s="20"/>
      <c r="G61" s="25">
        <f t="shared" si="0"/>
        <v>0</v>
      </c>
    </row>
    <row r="62" spans="1:8">
      <c r="A62" t="s">
        <v>55</v>
      </c>
      <c r="B62" t="s">
        <v>57</v>
      </c>
      <c r="D62" s="18">
        <f>21.94+6.57+3.67</f>
        <v>32.18</v>
      </c>
      <c r="E62" s="19"/>
      <c r="F62" s="20"/>
      <c r="G62" s="25">
        <f t="shared" si="0"/>
        <v>32.18</v>
      </c>
    </row>
    <row r="63" spans="1:8">
      <c r="A63" t="s">
        <v>182</v>
      </c>
      <c r="D63" s="18">
        <v>149</v>
      </c>
      <c r="E63" s="19"/>
      <c r="F63" s="20"/>
      <c r="G63" s="25">
        <f t="shared" si="0"/>
        <v>149</v>
      </c>
      <c r="H63" t="s">
        <v>316</v>
      </c>
    </row>
    <row r="64" spans="1:8">
      <c r="A64" t="s">
        <v>141</v>
      </c>
      <c r="B64" t="s">
        <v>58</v>
      </c>
      <c r="D64" s="18"/>
      <c r="E64" s="19"/>
      <c r="F64" s="20"/>
      <c r="G64" s="25">
        <f t="shared" si="0"/>
        <v>0</v>
      </c>
    </row>
    <row r="65" spans="1:7" ht="13.5" thickBot="1">
      <c r="A65" t="s">
        <v>145</v>
      </c>
      <c r="B65" t="s">
        <v>205</v>
      </c>
      <c r="D65" s="21">
        <f>15.84+9.01</f>
        <v>24.85</v>
      </c>
      <c r="E65" s="22"/>
      <c r="F65" s="23"/>
      <c r="G65" s="26">
        <f t="shared" si="0"/>
        <v>24.85</v>
      </c>
    </row>
    <row r="66" spans="1:7">
      <c r="G66">
        <f>SUM(G49:G65)</f>
        <v>1708.84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66"/>
  <sheetViews>
    <sheetView topLeftCell="A22" workbookViewId="0">
      <selection activeCell="Q26" sqref="Q26"/>
    </sheetView>
  </sheetViews>
  <sheetFormatPr defaultRowHeight="12.75"/>
  <cols>
    <col min="1" max="1" width="17.85546875" customWidth="1"/>
    <col min="2" max="2" width="14.7109375" customWidth="1"/>
    <col min="4" max="4" width="12.85546875" customWidth="1"/>
    <col min="5" max="5" width="12" customWidth="1"/>
    <col min="10" max="10" width="10.140625" bestFit="1" customWidth="1"/>
  </cols>
  <sheetData>
    <row r="1" spans="1:9" s="3" customFormat="1">
      <c r="A1" s="1" t="s">
        <v>15</v>
      </c>
      <c r="B1" s="4">
        <v>2010</v>
      </c>
    </row>
    <row r="2" spans="1:9" s="3" customFormat="1">
      <c r="A2" s="1" t="s">
        <v>1</v>
      </c>
      <c r="B2" s="1" t="s">
        <v>44</v>
      </c>
    </row>
    <row r="4" spans="1:9">
      <c r="A4" s="1" t="s">
        <v>18</v>
      </c>
      <c r="B4" s="5">
        <f>SUM(I5:I9)</f>
        <v>10809.12</v>
      </c>
      <c r="I4">
        <f>SUM(I5:I9)</f>
        <v>10809.12</v>
      </c>
    </row>
    <row r="5" spans="1:9">
      <c r="B5" t="s">
        <v>51</v>
      </c>
      <c r="C5">
        <v>2868.98</v>
      </c>
      <c r="D5">
        <v>2868.99</v>
      </c>
      <c r="E5">
        <v>2915.53</v>
      </c>
      <c r="F5">
        <v>0</v>
      </c>
      <c r="G5">
        <v>0</v>
      </c>
      <c r="I5" s="3">
        <f>SUM(C5:H5)</f>
        <v>8653.5</v>
      </c>
    </row>
    <row r="6" spans="1:9">
      <c r="B6" t="s">
        <v>17</v>
      </c>
      <c r="C6">
        <v>677.62</v>
      </c>
      <c r="D6">
        <v>677.63</v>
      </c>
      <c r="I6" s="3">
        <f>SUM(C6:H6)</f>
        <v>1355.25</v>
      </c>
    </row>
    <row r="7" spans="1:9">
      <c r="B7" t="s">
        <v>52</v>
      </c>
      <c r="C7">
        <v>800.37</v>
      </c>
      <c r="I7" s="3">
        <f>SUM(C7:H7)</f>
        <v>800.37</v>
      </c>
    </row>
    <row r="8" spans="1:9">
      <c r="B8" t="s">
        <v>219</v>
      </c>
      <c r="C8">
        <v>0</v>
      </c>
      <c r="I8" s="3">
        <f>SUM(C8:H8)</f>
        <v>0</v>
      </c>
    </row>
    <row r="9" spans="1:9">
      <c r="B9" t="s">
        <v>235</v>
      </c>
      <c r="C9">
        <v>0</v>
      </c>
      <c r="I9" s="3">
        <f>SUM(C9:H9)</f>
        <v>0</v>
      </c>
    </row>
    <row r="11" spans="1:9">
      <c r="A11" s="1" t="s">
        <v>19</v>
      </c>
      <c r="B11" s="5">
        <f>Tithe!F9</f>
        <v>1065</v>
      </c>
    </row>
    <row r="14" spans="1:9">
      <c r="A14" s="1" t="s">
        <v>20</v>
      </c>
      <c r="B14" s="5">
        <f>SUM(E15:E34)</f>
        <v>14853.92</v>
      </c>
    </row>
    <row r="15" spans="1:9">
      <c r="A15" s="1"/>
      <c r="B15" t="s">
        <v>26</v>
      </c>
      <c r="C15" t="s">
        <v>27</v>
      </c>
      <c r="E15">
        <v>2000</v>
      </c>
    </row>
    <row r="16" spans="1:9">
      <c r="B16" t="s">
        <v>0</v>
      </c>
      <c r="C16" t="s">
        <v>24</v>
      </c>
      <c r="E16">
        <v>87.36</v>
      </c>
    </row>
    <row r="17" spans="2:10">
      <c r="B17" t="s">
        <v>22</v>
      </c>
      <c r="C17" t="s">
        <v>78</v>
      </c>
    </row>
    <row r="18" spans="2:10">
      <c r="B18" t="s">
        <v>21</v>
      </c>
    </row>
    <row r="19" spans="2:10">
      <c r="B19" t="s">
        <v>100</v>
      </c>
      <c r="C19" t="s">
        <v>28</v>
      </c>
      <c r="E19">
        <v>60.86</v>
      </c>
    </row>
    <row r="20" spans="2:10">
      <c r="B20" t="s">
        <v>29</v>
      </c>
      <c r="E20">
        <f>70+200</f>
        <v>270</v>
      </c>
      <c r="F20" s="6" t="s">
        <v>334</v>
      </c>
      <c r="J20" s="6">
        <v>40366</v>
      </c>
    </row>
    <row r="21" spans="2:10">
      <c r="B21" t="s">
        <v>30</v>
      </c>
      <c r="C21" t="s">
        <v>27</v>
      </c>
      <c r="F21" t="s">
        <v>95</v>
      </c>
    </row>
    <row r="22" spans="2:10">
      <c r="B22" t="s">
        <v>30</v>
      </c>
      <c r="C22" t="s">
        <v>105</v>
      </c>
      <c r="E22">
        <v>3235.6</v>
      </c>
      <c r="F22" t="s">
        <v>106</v>
      </c>
      <c r="J22" t="s">
        <v>351</v>
      </c>
    </row>
    <row r="23" spans="2:10">
      <c r="B23" t="s">
        <v>30</v>
      </c>
      <c r="C23" t="s">
        <v>27</v>
      </c>
      <c r="E23">
        <v>2024.1</v>
      </c>
      <c r="F23" t="s">
        <v>107</v>
      </c>
      <c r="J23" t="s">
        <v>350</v>
      </c>
    </row>
    <row r="24" spans="2:10">
      <c r="B24" t="s">
        <v>96</v>
      </c>
    </row>
    <row r="25" spans="2:10">
      <c r="B25" t="s">
        <v>98</v>
      </c>
      <c r="C25" t="s">
        <v>212</v>
      </c>
      <c r="E25">
        <f>1500+1586</f>
        <v>3086</v>
      </c>
      <c r="F25" t="s">
        <v>355</v>
      </c>
    </row>
    <row r="26" spans="2:10">
      <c r="B26" t="s">
        <v>59</v>
      </c>
    </row>
    <row r="27" spans="2:10">
      <c r="B27" t="s">
        <v>97</v>
      </c>
    </row>
    <row r="28" spans="2:10">
      <c r="B28" t="s">
        <v>91</v>
      </c>
      <c r="E28">
        <v>4035</v>
      </c>
      <c r="F28" t="s">
        <v>352</v>
      </c>
    </row>
    <row r="29" spans="2:10">
      <c r="B29" t="s">
        <v>99</v>
      </c>
    </row>
    <row r="30" spans="2:10">
      <c r="B30" t="s">
        <v>221</v>
      </c>
      <c r="C30" t="s">
        <v>356</v>
      </c>
      <c r="E30">
        <v>55</v>
      </c>
    </row>
    <row r="36" spans="1:10">
      <c r="A36" s="1" t="s">
        <v>31</v>
      </c>
      <c r="B36" s="5">
        <f>B4-B11-B14</f>
        <v>-5109.7999999999993</v>
      </c>
    </row>
    <row r="37" spans="1:10">
      <c r="A37" s="1"/>
      <c r="B37" s="1"/>
    </row>
    <row r="38" spans="1:10">
      <c r="A38" s="1" t="s">
        <v>32</v>
      </c>
      <c r="B38" s="5"/>
      <c r="D38" t="s">
        <v>33</v>
      </c>
      <c r="E38" t="s">
        <v>34</v>
      </c>
    </row>
    <row r="39" spans="1:10">
      <c r="A39" s="1" t="s">
        <v>90</v>
      </c>
      <c r="B39" s="1">
        <f>-4279+10411</f>
        <v>6132</v>
      </c>
      <c r="D39" t="s">
        <v>364</v>
      </c>
      <c r="F39" t="s">
        <v>311</v>
      </c>
      <c r="H39" t="s">
        <v>318</v>
      </c>
      <c r="J39" s="48">
        <v>10411</v>
      </c>
    </row>
    <row r="40" spans="1:10">
      <c r="A40" s="1" t="s">
        <v>35</v>
      </c>
      <c r="B40" s="5">
        <v>0</v>
      </c>
      <c r="D40" t="s">
        <v>26</v>
      </c>
    </row>
    <row r="41" spans="1:10">
      <c r="A41" s="1"/>
      <c r="B41" s="1"/>
    </row>
    <row r="42" spans="1:10">
      <c r="A42" s="1" t="s">
        <v>36</v>
      </c>
      <c r="B42" s="5">
        <f>B36+B38+B39-B40</f>
        <v>1022.2000000000007</v>
      </c>
    </row>
    <row r="44" spans="1:10" ht="13.5" thickBot="1"/>
    <row r="45" spans="1:10" ht="13.5" thickBot="1">
      <c r="A45" t="s">
        <v>147</v>
      </c>
      <c r="D45" s="27" t="s">
        <v>105</v>
      </c>
      <c r="E45" s="28" t="s">
        <v>146</v>
      </c>
      <c r="F45" s="28" t="s">
        <v>146</v>
      </c>
      <c r="G45" s="29" t="s">
        <v>63</v>
      </c>
    </row>
    <row r="46" spans="1:10">
      <c r="A46" t="s">
        <v>175</v>
      </c>
      <c r="B46" t="s">
        <v>43</v>
      </c>
      <c r="D46" s="18">
        <f>E22</f>
        <v>3235.6</v>
      </c>
      <c r="E46" s="19">
        <f>E23</f>
        <v>2024.1</v>
      </c>
      <c r="F46" s="19">
        <f>E21</f>
        <v>0</v>
      </c>
      <c r="G46" s="20">
        <f>SUM(D46:F46)</f>
        <v>5259.7</v>
      </c>
    </row>
    <row r="47" spans="1:10">
      <c r="D47" s="18">
        <f>SUM(D49:D65)</f>
        <v>3235.6</v>
      </c>
      <c r="E47" s="19">
        <f>SUM(E49:E65)</f>
        <v>2024.1000000000001</v>
      </c>
      <c r="F47" s="19">
        <f>SUM(F49:F65)</f>
        <v>0</v>
      </c>
      <c r="G47" s="20">
        <f>SUM(D47:F47)</f>
        <v>5259.7</v>
      </c>
    </row>
    <row r="48" spans="1:10" ht="13.5" thickBot="1">
      <c r="D48" s="30" t="s">
        <v>142</v>
      </c>
      <c r="E48" s="31" t="s">
        <v>143</v>
      </c>
      <c r="F48" s="31" t="s">
        <v>144</v>
      </c>
      <c r="G48" s="32"/>
    </row>
    <row r="49" spans="1:13">
      <c r="A49" t="s">
        <v>172</v>
      </c>
      <c r="B49" t="s">
        <v>173</v>
      </c>
      <c r="D49" s="15">
        <f>29.32+9.28</f>
        <v>38.6</v>
      </c>
      <c r="E49" s="16">
        <f>58.78+47.09+24.16+68.58+47.01+59.18+65.42-7-14.97-25.44+54.17+37.96+50.57</f>
        <v>465.51</v>
      </c>
      <c r="F49" s="17"/>
      <c r="G49" s="24">
        <f>SUM(D49:F49)</f>
        <v>504.11</v>
      </c>
      <c r="H49" t="s">
        <v>313</v>
      </c>
    </row>
    <row r="50" spans="1:13">
      <c r="A50" t="s">
        <v>174</v>
      </c>
      <c r="B50" t="s">
        <v>261</v>
      </c>
      <c r="D50" s="18"/>
      <c r="E50" s="19">
        <v>18</v>
      </c>
      <c r="F50" s="20"/>
      <c r="G50" s="25">
        <f t="shared" ref="G50:G65" si="0">SUM(D50:F50)</f>
        <v>18</v>
      </c>
    </row>
    <row r="51" spans="1:13">
      <c r="A51" t="s">
        <v>178</v>
      </c>
      <c r="D51" s="18">
        <f>22.97+8.17</f>
        <v>31.14</v>
      </c>
      <c r="E51" s="19">
        <f>31.8+74.94+7+142.93-19.99</f>
        <v>236.68</v>
      </c>
      <c r="F51" s="20"/>
      <c r="G51" s="25">
        <f t="shared" si="0"/>
        <v>267.82</v>
      </c>
      <c r="H51" t="s">
        <v>333</v>
      </c>
      <c r="M51" t="s">
        <v>335</v>
      </c>
    </row>
    <row r="52" spans="1:13">
      <c r="A52" t="s">
        <v>179</v>
      </c>
      <c r="D52" s="18"/>
      <c r="E52" s="19">
        <f>14.97</f>
        <v>14.97</v>
      </c>
      <c r="F52" s="20"/>
      <c r="G52" s="25">
        <f t="shared" si="0"/>
        <v>14.97</v>
      </c>
    </row>
    <row r="53" spans="1:13">
      <c r="A53" t="s">
        <v>267</v>
      </c>
      <c r="B53" s="33" t="s">
        <v>152</v>
      </c>
      <c r="D53" s="18">
        <f>2.11+9.49</f>
        <v>11.6</v>
      </c>
      <c r="E53" s="19">
        <f>30+25.44-3</f>
        <v>52.44</v>
      </c>
      <c r="F53" s="20"/>
      <c r="G53" s="25">
        <f t="shared" si="0"/>
        <v>64.039999999999992</v>
      </c>
      <c r="H53" t="s">
        <v>330</v>
      </c>
      <c r="I53" t="s">
        <v>332</v>
      </c>
    </row>
    <row r="54" spans="1:13">
      <c r="A54" t="s">
        <v>176</v>
      </c>
      <c r="B54" s="33"/>
      <c r="D54" s="18"/>
      <c r="E54" s="19">
        <v>1236.5</v>
      </c>
      <c r="F54" s="20"/>
      <c r="G54" s="25">
        <f t="shared" si="0"/>
        <v>1236.5</v>
      </c>
      <c r="H54" t="s">
        <v>312</v>
      </c>
    </row>
    <row r="55" spans="1:13">
      <c r="A55" t="s">
        <v>54</v>
      </c>
      <c r="D55" s="18">
        <f>2.74+4.04+34.64+14.15+41.84+1.81+1.81+2.74+20+3.4+4.21</f>
        <v>131.38</v>
      </c>
      <c r="E55" s="19"/>
      <c r="F55" s="20"/>
      <c r="G55" s="25">
        <f t="shared" si="0"/>
        <v>131.38</v>
      </c>
    </row>
    <row r="56" spans="1:13">
      <c r="A56" t="s">
        <v>180</v>
      </c>
      <c r="D56" s="18">
        <f>28.04+48.6+37.78+28.65</f>
        <v>143.07</v>
      </c>
      <c r="E56" s="19"/>
      <c r="F56" s="20"/>
      <c r="G56" s="25">
        <f t="shared" si="0"/>
        <v>143.07</v>
      </c>
    </row>
    <row r="57" spans="1:13">
      <c r="A57" t="s">
        <v>53</v>
      </c>
      <c r="B57" t="s">
        <v>148</v>
      </c>
      <c r="D57" s="18">
        <f>75+75+75</f>
        <v>225</v>
      </c>
      <c r="E57" s="19"/>
      <c r="F57" s="20"/>
      <c r="G57" s="25">
        <f t="shared" si="0"/>
        <v>225</v>
      </c>
    </row>
    <row r="58" spans="1:13">
      <c r="A58" t="s">
        <v>56</v>
      </c>
      <c r="B58" t="s">
        <v>151</v>
      </c>
      <c r="D58" s="18"/>
      <c r="E58" s="19"/>
      <c r="F58" s="20"/>
      <c r="G58" s="25">
        <f t="shared" si="0"/>
        <v>0</v>
      </c>
    </row>
    <row r="59" spans="1:13">
      <c r="A59" t="s">
        <v>87</v>
      </c>
      <c r="D59" s="18"/>
      <c r="E59" s="19"/>
      <c r="F59" s="20"/>
      <c r="G59" s="25">
        <f t="shared" si="0"/>
        <v>0</v>
      </c>
    </row>
    <row r="60" spans="1:13">
      <c r="A60" t="s">
        <v>153</v>
      </c>
      <c r="D60" s="18"/>
      <c r="E60" s="19"/>
      <c r="F60" s="20"/>
      <c r="G60" s="25">
        <f t="shared" si="0"/>
        <v>0</v>
      </c>
    </row>
    <row r="61" spans="1:13">
      <c r="A61" t="s">
        <v>206</v>
      </c>
      <c r="B61" t="s">
        <v>184</v>
      </c>
      <c r="D61" s="18"/>
      <c r="E61" s="19"/>
      <c r="F61" s="20"/>
      <c r="G61" s="25">
        <f t="shared" si="0"/>
        <v>0</v>
      </c>
    </row>
    <row r="62" spans="1:13">
      <c r="A62" t="s">
        <v>55</v>
      </c>
      <c r="B62" t="s">
        <v>57</v>
      </c>
      <c r="D62" s="18">
        <f>4.99+4.36+40.55+11.44</f>
        <v>61.339999999999996</v>
      </c>
      <c r="E62" s="19"/>
      <c r="F62" s="20"/>
      <c r="G62" s="25">
        <f t="shared" si="0"/>
        <v>61.339999999999996</v>
      </c>
    </row>
    <row r="63" spans="1:13">
      <c r="A63" t="s">
        <v>182</v>
      </c>
      <c r="D63" s="18">
        <f>24.97+2549</f>
        <v>2573.9699999999998</v>
      </c>
      <c r="E63" s="19"/>
      <c r="F63" s="20"/>
      <c r="G63" s="25">
        <f t="shared" si="0"/>
        <v>2573.9699999999998</v>
      </c>
      <c r="H63" t="s">
        <v>331</v>
      </c>
    </row>
    <row r="64" spans="1:13">
      <c r="A64" t="s">
        <v>141</v>
      </c>
      <c r="B64" t="s">
        <v>58</v>
      </c>
      <c r="D64" s="18"/>
      <c r="E64" s="19"/>
      <c r="F64" s="20"/>
      <c r="G64" s="25">
        <f t="shared" si="0"/>
        <v>0</v>
      </c>
    </row>
    <row r="65" spans="1:8" ht="13.5" thickBot="1">
      <c r="A65" t="s">
        <v>145</v>
      </c>
      <c r="B65" t="s">
        <v>205</v>
      </c>
      <c r="D65" s="21">
        <v>19.5</v>
      </c>
      <c r="E65" s="22"/>
      <c r="F65" s="23"/>
      <c r="G65" s="26">
        <f t="shared" si="0"/>
        <v>19.5</v>
      </c>
      <c r="H65" t="s">
        <v>213</v>
      </c>
    </row>
    <row r="66" spans="1:8">
      <c r="G66">
        <f>SUM(G49:G65)</f>
        <v>5259.7000000000007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66"/>
  <sheetViews>
    <sheetView topLeftCell="A12" workbookViewId="0">
      <selection activeCell="G32" sqref="G32"/>
    </sheetView>
  </sheetViews>
  <sheetFormatPr defaultRowHeight="12.75"/>
  <cols>
    <col min="1" max="1" width="17.85546875" customWidth="1"/>
    <col min="2" max="2" width="14.7109375" customWidth="1"/>
    <col min="4" max="4" width="12" customWidth="1"/>
    <col min="5" max="5" width="11.7109375" customWidth="1"/>
    <col min="6" max="6" width="10.140625" bestFit="1" customWidth="1"/>
  </cols>
  <sheetData>
    <row r="1" spans="1:9" s="3" customFormat="1">
      <c r="A1" s="1" t="s">
        <v>15</v>
      </c>
      <c r="B1" s="4">
        <v>2010</v>
      </c>
    </row>
    <row r="2" spans="1:9" s="3" customFormat="1">
      <c r="A2" s="1" t="s">
        <v>1</v>
      </c>
      <c r="B2" s="1" t="s">
        <v>185</v>
      </c>
    </row>
    <row r="4" spans="1:9">
      <c r="A4" s="1" t="s">
        <v>18</v>
      </c>
      <c r="B4" s="5">
        <f>SUM(I5:I9)</f>
        <v>7338.7199999999993</v>
      </c>
      <c r="I4">
        <f>SUM(I5:I9)</f>
        <v>7338.7199999999993</v>
      </c>
    </row>
    <row r="5" spans="1:9">
      <c r="B5" t="s">
        <v>51</v>
      </c>
      <c r="C5">
        <v>2868.99</v>
      </c>
      <c r="D5">
        <v>2868.99</v>
      </c>
      <c r="E5">
        <v>0</v>
      </c>
      <c r="F5">
        <v>0</v>
      </c>
      <c r="G5">
        <v>0</v>
      </c>
      <c r="I5" s="3">
        <f>SUM(C5:H5)</f>
        <v>5737.98</v>
      </c>
    </row>
    <row r="6" spans="1:9">
      <c r="B6" t="s">
        <v>17</v>
      </c>
      <c r="I6" s="3">
        <f>SUM(C6:H6)</f>
        <v>0</v>
      </c>
    </row>
    <row r="7" spans="1:9">
      <c r="B7" t="s">
        <v>52</v>
      </c>
      <c r="C7">
        <v>800.37</v>
      </c>
      <c r="D7">
        <v>800.37</v>
      </c>
      <c r="I7" s="3">
        <f>SUM(C7:H7)</f>
        <v>1600.74</v>
      </c>
    </row>
    <row r="8" spans="1:9">
      <c r="B8" t="s">
        <v>219</v>
      </c>
      <c r="C8">
        <v>0</v>
      </c>
      <c r="I8" s="3">
        <f>SUM(C8:H8)</f>
        <v>0</v>
      </c>
    </row>
    <row r="9" spans="1:9">
      <c r="B9" t="s">
        <v>235</v>
      </c>
      <c r="C9">
        <v>0</v>
      </c>
      <c r="I9" s="3">
        <f>SUM(C9:H9)</f>
        <v>0</v>
      </c>
    </row>
    <row r="11" spans="1:9">
      <c r="A11" s="1" t="s">
        <v>19</v>
      </c>
      <c r="B11" s="5">
        <f>Tithe!F10</f>
        <v>1275</v>
      </c>
    </row>
    <row r="14" spans="1:9">
      <c r="A14" s="1" t="s">
        <v>20</v>
      </c>
      <c r="B14" s="5">
        <f>SUM(E15:E34)</f>
        <v>4514.5200000000004</v>
      </c>
    </row>
    <row r="15" spans="1:9">
      <c r="A15" s="1"/>
      <c r="B15" t="s">
        <v>26</v>
      </c>
      <c r="C15" t="s">
        <v>27</v>
      </c>
      <c r="E15">
        <v>2000</v>
      </c>
    </row>
    <row r="16" spans="1:9">
      <c r="B16" t="s">
        <v>0</v>
      </c>
      <c r="C16" t="s">
        <v>24</v>
      </c>
      <c r="E16">
        <v>98.91</v>
      </c>
    </row>
    <row r="17" spans="2:9">
      <c r="B17" t="s">
        <v>22</v>
      </c>
      <c r="C17" t="s">
        <v>78</v>
      </c>
    </row>
    <row r="18" spans="2:9">
      <c r="B18" t="s">
        <v>21</v>
      </c>
    </row>
    <row r="19" spans="2:9">
      <c r="B19" t="s">
        <v>100</v>
      </c>
      <c r="C19" t="s">
        <v>28</v>
      </c>
      <c r="E19">
        <v>60.86</v>
      </c>
    </row>
    <row r="20" spans="2:9">
      <c r="B20" t="s">
        <v>29</v>
      </c>
      <c r="E20">
        <v>200</v>
      </c>
      <c r="F20" s="6">
        <v>40337</v>
      </c>
    </row>
    <row r="21" spans="2:9">
      <c r="B21" t="s">
        <v>30</v>
      </c>
      <c r="C21" t="s">
        <v>27</v>
      </c>
      <c r="F21" t="s">
        <v>95</v>
      </c>
    </row>
    <row r="22" spans="2:9">
      <c r="B22" t="s">
        <v>30</v>
      </c>
      <c r="C22" t="s">
        <v>105</v>
      </c>
      <c r="E22">
        <v>996.32</v>
      </c>
      <c r="F22" t="s">
        <v>106</v>
      </c>
    </row>
    <row r="23" spans="2:9">
      <c r="B23" t="s">
        <v>30</v>
      </c>
      <c r="C23" t="s">
        <v>27</v>
      </c>
      <c r="E23">
        <v>783.43</v>
      </c>
      <c r="F23" t="s">
        <v>107</v>
      </c>
    </row>
    <row r="24" spans="2:9">
      <c r="B24" t="s">
        <v>96</v>
      </c>
    </row>
    <row r="25" spans="2:9">
      <c r="B25" t="s">
        <v>98</v>
      </c>
      <c r="C25" t="s">
        <v>212</v>
      </c>
    </row>
    <row r="26" spans="2:9">
      <c r="B26" t="s">
        <v>59</v>
      </c>
    </row>
    <row r="27" spans="2:9">
      <c r="B27" t="s">
        <v>97</v>
      </c>
    </row>
    <row r="28" spans="2:9">
      <c r="B28" t="s">
        <v>91</v>
      </c>
    </row>
    <row r="29" spans="2:9">
      <c r="B29" t="s">
        <v>99</v>
      </c>
      <c r="E29">
        <f>105+150</f>
        <v>255</v>
      </c>
      <c r="F29" t="s">
        <v>397</v>
      </c>
      <c r="I29" t="s">
        <v>430</v>
      </c>
    </row>
    <row r="30" spans="2:9">
      <c r="B30" t="s">
        <v>221</v>
      </c>
      <c r="C30" t="s">
        <v>222</v>
      </c>
    </row>
    <row r="31" spans="2:9">
      <c r="B31" t="s">
        <v>398</v>
      </c>
      <c r="C31" t="s">
        <v>399</v>
      </c>
      <c r="E31">
        <v>120</v>
      </c>
      <c r="F31" t="s">
        <v>400</v>
      </c>
      <c r="G31" t="s">
        <v>434</v>
      </c>
    </row>
    <row r="36" spans="1:7">
      <c r="A36" s="1" t="s">
        <v>31</v>
      </c>
      <c r="B36" s="5">
        <f>B4-B11-B14</f>
        <v>1549.1999999999989</v>
      </c>
    </row>
    <row r="37" spans="1:7">
      <c r="A37" s="1"/>
      <c r="B37" s="1"/>
    </row>
    <row r="38" spans="1:7">
      <c r="A38" s="1" t="s">
        <v>32</v>
      </c>
      <c r="B38" s="5"/>
      <c r="D38" t="s">
        <v>33</v>
      </c>
      <c r="E38" t="s">
        <v>34</v>
      </c>
    </row>
    <row r="39" spans="1:7">
      <c r="A39" s="1" t="s">
        <v>90</v>
      </c>
      <c r="B39" s="1"/>
    </row>
    <row r="40" spans="1:7">
      <c r="A40" s="1" t="s">
        <v>35</v>
      </c>
      <c r="B40" s="5">
        <v>0</v>
      </c>
      <c r="D40" t="s">
        <v>26</v>
      </c>
    </row>
    <row r="41" spans="1:7">
      <c r="A41" s="1"/>
      <c r="B41" s="1"/>
    </row>
    <row r="42" spans="1:7">
      <c r="A42" s="1" t="s">
        <v>36</v>
      </c>
      <c r="B42" s="5">
        <f>B36+B38+B39-B40</f>
        <v>1549.1999999999989</v>
      </c>
    </row>
    <row r="44" spans="1:7" ht="13.5" thickBot="1"/>
    <row r="45" spans="1:7" ht="13.5" thickBot="1">
      <c r="A45" t="s">
        <v>147</v>
      </c>
      <c r="D45" s="27" t="s">
        <v>105</v>
      </c>
      <c r="E45" s="28" t="s">
        <v>146</v>
      </c>
      <c r="F45" s="28" t="s">
        <v>146</v>
      </c>
      <c r="G45" s="29" t="s">
        <v>63</v>
      </c>
    </row>
    <row r="46" spans="1:7">
      <c r="A46" t="s">
        <v>175</v>
      </c>
      <c r="B46" t="s">
        <v>44</v>
      </c>
      <c r="D46" s="18">
        <f>E22</f>
        <v>996.32</v>
      </c>
      <c r="E46" s="19">
        <f>E23</f>
        <v>783.43</v>
      </c>
      <c r="F46" s="19">
        <f>E21</f>
        <v>0</v>
      </c>
      <c r="G46" s="20">
        <f>SUM(D46:F46)</f>
        <v>1779.75</v>
      </c>
    </row>
    <row r="47" spans="1:7">
      <c r="D47" s="18">
        <f>SUM(D49:D65)</f>
        <v>996.31999999999994</v>
      </c>
      <c r="E47" s="19">
        <f>SUM(E49:E65)</f>
        <v>783.43000000000006</v>
      </c>
      <c r="F47" s="19">
        <f>SUM(F49:F65)</f>
        <v>0</v>
      </c>
      <c r="G47" s="20">
        <f>SUM(D47:F47)</f>
        <v>1779.75</v>
      </c>
    </row>
    <row r="48" spans="1:7" ht="13.5" thickBot="1">
      <c r="D48" s="30" t="s">
        <v>142</v>
      </c>
      <c r="E48" s="31" t="s">
        <v>143</v>
      </c>
      <c r="F48" s="31" t="s">
        <v>144</v>
      </c>
      <c r="G48" s="32"/>
    </row>
    <row r="49" spans="1:12">
      <c r="A49" t="s">
        <v>172</v>
      </c>
      <c r="B49" t="s">
        <v>173</v>
      </c>
      <c r="D49" s="15">
        <f>54.75+5.22+27.09+8.18</f>
        <v>95.240000000000009</v>
      </c>
      <c r="E49" s="16">
        <f>62.91+39.02+24.53+39.33+14.74+20.5+24.57+25.96+74.25</f>
        <v>325.81000000000006</v>
      </c>
      <c r="F49" s="17"/>
      <c r="G49" s="24">
        <f>SUM(D49:F49)</f>
        <v>421.05000000000007</v>
      </c>
      <c r="H49" t="s">
        <v>371</v>
      </c>
    </row>
    <row r="50" spans="1:12">
      <c r="A50" t="s">
        <v>174</v>
      </c>
      <c r="B50" t="s">
        <v>261</v>
      </c>
      <c r="D50" s="18">
        <v>8.99</v>
      </c>
      <c r="E50" s="19">
        <f>(290.02-208-19.84-14.74-1.2)+(37.62-20.5)+14+(43.02-24.57)</f>
        <v>95.809999999999974</v>
      </c>
      <c r="F50" s="20"/>
      <c r="G50" s="25">
        <f t="shared" ref="G50:G65" si="0">SUM(D50:F50)</f>
        <v>104.79999999999997</v>
      </c>
      <c r="H50" t="s">
        <v>363</v>
      </c>
    </row>
    <row r="51" spans="1:12">
      <c r="A51" t="s">
        <v>178</v>
      </c>
      <c r="D51" s="18">
        <f>3.98-5+12</f>
        <v>10.98</v>
      </c>
      <c r="E51" s="19">
        <v>10</v>
      </c>
      <c r="F51" s="20"/>
      <c r="G51" s="25">
        <f t="shared" si="0"/>
        <v>20.98</v>
      </c>
    </row>
    <row r="52" spans="1:12">
      <c r="A52" t="s">
        <v>179</v>
      </c>
      <c r="D52" s="18"/>
      <c r="E52" s="19">
        <f>19.84</f>
        <v>19.84</v>
      </c>
      <c r="F52" s="20"/>
      <c r="G52" s="25">
        <f t="shared" si="0"/>
        <v>19.84</v>
      </c>
      <c r="H52" t="s">
        <v>360</v>
      </c>
    </row>
    <row r="53" spans="1:12">
      <c r="A53" t="s">
        <v>267</v>
      </c>
      <c r="B53" s="33" t="s">
        <v>152</v>
      </c>
      <c r="D53" s="18">
        <f>50+8.98+24.99+20</f>
        <v>103.97</v>
      </c>
      <c r="E53" s="19">
        <f>6.99*2</f>
        <v>13.98</v>
      </c>
      <c r="F53" s="20"/>
      <c r="G53" s="25">
        <f t="shared" si="0"/>
        <v>117.95</v>
      </c>
      <c r="H53" t="s">
        <v>368</v>
      </c>
      <c r="L53" t="s">
        <v>369</v>
      </c>
    </row>
    <row r="54" spans="1:12">
      <c r="A54" t="s">
        <v>176</v>
      </c>
      <c r="B54" s="33"/>
      <c r="D54" s="18"/>
      <c r="E54" s="19">
        <f>30.49-10-13.98</f>
        <v>6.509999999999998</v>
      </c>
      <c r="F54" s="20"/>
      <c r="G54" s="25">
        <f t="shared" si="0"/>
        <v>6.509999999999998</v>
      </c>
    </row>
    <row r="55" spans="1:12">
      <c r="A55" t="s">
        <v>54</v>
      </c>
      <c r="D55" s="18">
        <f>4.05+13.56+5.95+1.84+7.05+19+4.95+3.59+17.34+2.95+3.05+3.05+1.98+25.66+2.28</f>
        <v>116.3</v>
      </c>
      <c r="E55" s="19"/>
      <c r="F55" s="20"/>
      <c r="G55" s="25">
        <f t="shared" si="0"/>
        <v>116.3</v>
      </c>
    </row>
    <row r="56" spans="1:12">
      <c r="A56" t="s">
        <v>180</v>
      </c>
      <c r="D56" s="18"/>
      <c r="E56" s="19">
        <f>45.79+28.91</f>
        <v>74.7</v>
      </c>
      <c r="F56" s="20"/>
      <c r="G56" s="25">
        <f t="shared" si="0"/>
        <v>74.7</v>
      </c>
    </row>
    <row r="57" spans="1:12">
      <c r="A57" t="s">
        <v>53</v>
      </c>
      <c r="B57" t="s">
        <v>148</v>
      </c>
      <c r="D57" s="18">
        <v>80</v>
      </c>
      <c r="E57" s="19"/>
      <c r="F57" s="20"/>
      <c r="G57" s="25">
        <f t="shared" si="0"/>
        <v>80</v>
      </c>
    </row>
    <row r="58" spans="1:12">
      <c r="A58" t="s">
        <v>56</v>
      </c>
      <c r="B58" t="s">
        <v>151</v>
      </c>
      <c r="D58" s="18">
        <f>73.43+74.89</f>
        <v>148.32</v>
      </c>
      <c r="E58" s="19"/>
      <c r="F58" s="20"/>
      <c r="G58" s="25">
        <f t="shared" si="0"/>
        <v>148.32</v>
      </c>
    </row>
    <row r="59" spans="1:12">
      <c r="A59" t="s">
        <v>87</v>
      </c>
      <c r="D59" s="18"/>
      <c r="E59" s="19">
        <v>1.2</v>
      </c>
      <c r="F59" s="20"/>
      <c r="G59" s="25">
        <f t="shared" si="0"/>
        <v>1.2</v>
      </c>
      <c r="H59" t="s">
        <v>362</v>
      </c>
    </row>
    <row r="60" spans="1:12">
      <c r="A60" t="s">
        <v>153</v>
      </c>
      <c r="D60" s="18"/>
      <c r="E60" s="19"/>
      <c r="F60" s="20"/>
      <c r="G60" s="25">
        <f t="shared" si="0"/>
        <v>0</v>
      </c>
    </row>
    <row r="61" spans="1:12">
      <c r="A61" t="s">
        <v>206</v>
      </c>
      <c r="B61" t="s">
        <v>184</v>
      </c>
      <c r="D61" s="18"/>
      <c r="E61" s="19"/>
      <c r="F61" s="20"/>
      <c r="G61" s="25">
        <f t="shared" si="0"/>
        <v>0</v>
      </c>
    </row>
    <row r="62" spans="1:12">
      <c r="A62" t="s">
        <v>55</v>
      </c>
      <c r="B62" t="s">
        <v>57</v>
      </c>
      <c r="D62" s="18">
        <f>34.36+150+3.59+51.84+11.6+117.09+16.24</f>
        <v>384.72</v>
      </c>
      <c r="E62" s="19">
        <v>27.58</v>
      </c>
      <c r="F62" s="20"/>
      <c r="G62" s="25">
        <f t="shared" si="0"/>
        <v>412.3</v>
      </c>
      <c r="H62" t="s">
        <v>366</v>
      </c>
    </row>
    <row r="63" spans="1:12">
      <c r="A63" t="s">
        <v>182</v>
      </c>
      <c r="D63" s="18"/>
      <c r="E63" s="19">
        <f>208</f>
        <v>208</v>
      </c>
      <c r="F63" s="20"/>
      <c r="G63" s="25">
        <f t="shared" si="0"/>
        <v>208</v>
      </c>
      <c r="H63" t="s">
        <v>361</v>
      </c>
    </row>
    <row r="64" spans="1:12">
      <c r="A64" t="s">
        <v>141</v>
      </c>
      <c r="B64" t="s">
        <v>58</v>
      </c>
      <c r="D64" s="18">
        <v>37.799999999999997</v>
      </c>
      <c r="E64" s="19"/>
      <c r="F64" s="20"/>
      <c r="G64" s="25">
        <f t="shared" si="0"/>
        <v>37.799999999999997</v>
      </c>
      <c r="H64" t="s">
        <v>367</v>
      </c>
    </row>
    <row r="65" spans="1:8" ht="13.5" thickBot="1">
      <c r="A65" t="s">
        <v>145</v>
      </c>
      <c r="B65" t="s">
        <v>205</v>
      </c>
      <c r="D65" s="21">
        <v>10</v>
      </c>
      <c r="E65" s="22"/>
      <c r="F65" s="23"/>
      <c r="G65" s="26">
        <f t="shared" si="0"/>
        <v>10</v>
      </c>
      <c r="H65" t="s">
        <v>365</v>
      </c>
    </row>
    <row r="66" spans="1:8">
      <c r="G66">
        <f>SUM(G49:G65)</f>
        <v>1779.75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66"/>
  <sheetViews>
    <sheetView topLeftCell="A11" workbookViewId="0">
      <selection activeCell="J65" sqref="J65"/>
    </sheetView>
  </sheetViews>
  <sheetFormatPr defaultRowHeight="12.75"/>
  <cols>
    <col min="1" max="1" width="17.85546875" customWidth="1"/>
    <col min="2" max="2" width="14.7109375" customWidth="1"/>
    <col min="8" max="8" width="11.5703125" customWidth="1"/>
    <col min="9" max="9" width="10.28515625" customWidth="1"/>
  </cols>
  <sheetData>
    <row r="1" spans="1:9" s="3" customFormat="1">
      <c r="A1" s="1" t="s">
        <v>15</v>
      </c>
      <c r="B1" s="4">
        <v>2010</v>
      </c>
    </row>
    <row r="2" spans="1:9" s="3" customFormat="1">
      <c r="A2" s="1" t="s">
        <v>1</v>
      </c>
      <c r="B2" s="1" t="s">
        <v>46</v>
      </c>
    </row>
    <row r="4" spans="1:9">
      <c r="A4" s="1" t="s">
        <v>18</v>
      </c>
      <c r="B4" s="5">
        <f>SUM(I5:I9)</f>
        <v>7790.8499999999995</v>
      </c>
      <c r="I4">
        <f>SUM(I5:I9)</f>
        <v>7790.8499999999995</v>
      </c>
    </row>
    <row r="5" spans="1:9">
      <c r="B5" t="s">
        <v>51</v>
      </c>
      <c r="C5">
        <f>3662.29-793.3</f>
        <v>2868.99</v>
      </c>
      <c r="D5">
        <v>2868.99</v>
      </c>
      <c r="E5">
        <v>0</v>
      </c>
      <c r="F5">
        <v>0</v>
      </c>
      <c r="G5">
        <v>0</v>
      </c>
      <c r="I5" s="3">
        <f>SUM(C5:H5)</f>
        <v>5737.98</v>
      </c>
    </row>
    <row r="6" spans="1:9">
      <c r="B6" t="s">
        <v>17</v>
      </c>
      <c r="C6">
        <v>1129.3699999999999</v>
      </c>
      <c r="I6" s="3">
        <f>SUM(C6:H6)</f>
        <v>1129.3699999999999</v>
      </c>
    </row>
    <row r="7" spans="1:9">
      <c r="B7" t="s">
        <v>52</v>
      </c>
      <c r="C7">
        <v>0</v>
      </c>
      <c r="I7" s="3">
        <f>SUM(C7:H7)</f>
        <v>0</v>
      </c>
    </row>
    <row r="8" spans="1:9">
      <c r="B8" t="s">
        <v>219</v>
      </c>
      <c r="C8">
        <v>461.75</v>
      </c>
      <c r="D8">
        <v>461.75</v>
      </c>
      <c r="I8" s="3">
        <f>SUM(C8:H8)</f>
        <v>923.5</v>
      </c>
    </row>
    <row r="9" spans="1:9">
      <c r="B9" t="s">
        <v>235</v>
      </c>
      <c r="C9">
        <v>0</v>
      </c>
      <c r="I9" s="3">
        <f>SUM(C9:H9)</f>
        <v>0</v>
      </c>
    </row>
    <row r="11" spans="1:9">
      <c r="A11" s="1" t="s">
        <v>19</v>
      </c>
      <c r="B11" s="5">
        <f>Tithe!F11</f>
        <v>1175</v>
      </c>
    </row>
    <row r="13" spans="1:9">
      <c r="G13">
        <f>2868.99-3181.39</f>
        <v>-312.40000000000009</v>
      </c>
    </row>
    <row r="14" spans="1:9">
      <c r="A14" s="1" t="s">
        <v>20</v>
      </c>
      <c r="B14" s="5">
        <f>SUM(E15:E34)</f>
        <v>3489.6399999999994</v>
      </c>
    </row>
    <row r="15" spans="1:9">
      <c r="A15" s="1"/>
      <c r="B15" t="s">
        <v>26</v>
      </c>
      <c r="C15" t="s">
        <v>27</v>
      </c>
      <c r="E15">
        <v>2000</v>
      </c>
    </row>
    <row r="16" spans="1:9">
      <c r="B16" t="s">
        <v>0</v>
      </c>
      <c r="C16" t="s">
        <v>24</v>
      </c>
      <c r="E16">
        <v>130.33000000000001</v>
      </c>
    </row>
    <row r="17" spans="2:7">
      <c r="B17" t="s">
        <v>22</v>
      </c>
      <c r="C17" t="s">
        <v>78</v>
      </c>
      <c r="E17">
        <v>187.2</v>
      </c>
    </row>
    <row r="18" spans="2:7">
      <c r="B18" t="s">
        <v>21</v>
      </c>
    </row>
    <row r="19" spans="2:7">
      <c r="B19" t="s">
        <v>100</v>
      </c>
      <c r="C19" t="s">
        <v>28</v>
      </c>
      <c r="E19">
        <v>60.86</v>
      </c>
    </row>
    <row r="20" spans="2:7">
      <c r="B20" t="s">
        <v>29</v>
      </c>
      <c r="E20">
        <f>200-75-30</f>
        <v>95</v>
      </c>
      <c r="F20" s="6" t="s">
        <v>431</v>
      </c>
      <c r="G20" s="6"/>
    </row>
    <row r="21" spans="2:7">
      <c r="B21" t="s">
        <v>30</v>
      </c>
      <c r="E21">
        <f>2868.99-3662.29+2868.99-3181.39</f>
        <v>-1105.7000000000003</v>
      </c>
      <c r="F21" t="s">
        <v>445</v>
      </c>
    </row>
    <row r="22" spans="2:7">
      <c r="B22" t="s">
        <v>30</v>
      </c>
      <c r="C22" t="s">
        <v>105</v>
      </c>
      <c r="E22">
        <v>1411.37</v>
      </c>
      <c r="F22" t="s">
        <v>106</v>
      </c>
    </row>
    <row r="23" spans="2:7">
      <c r="B23" t="s">
        <v>30</v>
      </c>
      <c r="C23" t="s">
        <v>27</v>
      </c>
      <c r="E23">
        <v>562.58000000000004</v>
      </c>
      <c r="F23" t="s">
        <v>107</v>
      </c>
    </row>
    <row r="24" spans="2:7">
      <c r="B24" t="s">
        <v>96</v>
      </c>
    </row>
    <row r="25" spans="2:7">
      <c r="B25" t="s">
        <v>98</v>
      </c>
      <c r="C25" t="s">
        <v>212</v>
      </c>
    </row>
    <row r="26" spans="2:7">
      <c r="B26" t="s">
        <v>59</v>
      </c>
    </row>
    <row r="27" spans="2:7">
      <c r="B27" t="s">
        <v>97</v>
      </c>
    </row>
    <row r="28" spans="2:7">
      <c r="B28" t="s">
        <v>91</v>
      </c>
    </row>
    <row r="29" spans="2:7">
      <c r="B29" t="s">
        <v>99</v>
      </c>
    </row>
    <row r="30" spans="2:7">
      <c r="B30" t="s">
        <v>221</v>
      </c>
      <c r="C30" t="s">
        <v>404</v>
      </c>
      <c r="E30">
        <f>75+30+30+13</f>
        <v>148</v>
      </c>
      <c r="F30" t="s">
        <v>432</v>
      </c>
    </row>
    <row r="31" spans="2:7">
      <c r="F31" t="s">
        <v>433</v>
      </c>
    </row>
    <row r="36" spans="1:10">
      <c r="A36" s="1" t="s">
        <v>31</v>
      </c>
      <c r="B36" s="5">
        <f>B4-B11-B14</f>
        <v>3126.21</v>
      </c>
    </row>
    <row r="37" spans="1:10">
      <c r="A37" s="1"/>
      <c r="B37" s="1"/>
    </row>
    <row r="38" spans="1:10">
      <c r="A38" s="1" t="s">
        <v>32</v>
      </c>
      <c r="B38" s="5"/>
      <c r="D38" t="s">
        <v>33</v>
      </c>
      <c r="E38" t="s">
        <v>34</v>
      </c>
    </row>
    <row r="39" spans="1:10">
      <c r="A39" s="1" t="s">
        <v>90</v>
      </c>
      <c r="B39" s="1"/>
      <c r="D39" t="s">
        <v>93</v>
      </c>
    </row>
    <row r="40" spans="1:10">
      <c r="A40" s="1" t="s">
        <v>35</v>
      </c>
      <c r="B40" s="5">
        <v>10000</v>
      </c>
      <c r="D40" t="s">
        <v>26</v>
      </c>
    </row>
    <row r="41" spans="1:10">
      <c r="A41" s="1"/>
      <c r="B41" s="1"/>
    </row>
    <row r="42" spans="1:10">
      <c r="A42" s="1" t="s">
        <v>36</v>
      </c>
      <c r="B42" s="5">
        <f>B36+B38+B39-B40</f>
        <v>-6873.79</v>
      </c>
    </row>
    <row r="44" spans="1:10" ht="13.5" thickBot="1"/>
    <row r="45" spans="1:10" ht="13.5" thickBot="1">
      <c r="A45" t="s">
        <v>147</v>
      </c>
      <c r="D45" s="27" t="s">
        <v>105</v>
      </c>
      <c r="E45" s="28" t="s">
        <v>146</v>
      </c>
      <c r="F45" s="28" t="s">
        <v>146</v>
      </c>
      <c r="G45" s="29" t="s">
        <v>63</v>
      </c>
      <c r="H45" s="61" t="s">
        <v>373</v>
      </c>
      <c r="I45" s="51" t="s">
        <v>374</v>
      </c>
    </row>
    <row r="46" spans="1:10">
      <c r="A46" t="s">
        <v>175</v>
      </c>
      <c r="B46" t="s">
        <v>45</v>
      </c>
      <c r="D46" s="18">
        <f>E22</f>
        <v>1411.37</v>
      </c>
      <c r="E46" s="19">
        <f>E23</f>
        <v>562.58000000000004</v>
      </c>
      <c r="F46" s="19">
        <f>E21</f>
        <v>-1105.7000000000003</v>
      </c>
      <c r="G46" s="20">
        <f>SUM(D46:F46)</f>
        <v>868.24999999999955</v>
      </c>
      <c r="H46" s="24">
        <v>1700</v>
      </c>
      <c r="I46" s="17">
        <f>H46-G46</f>
        <v>831.75000000000045</v>
      </c>
      <c r="J46" t="s">
        <v>444</v>
      </c>
    </row>
    <row r="47" spans="1:10">
      <c r="D47" s="18">
        <f>SUM(D49:D65)</f>
        <v>1411.37</v>
      </c>
      <c r="E47" s="19">
        <f>SUM(E49:E65)</f>
        <v>562.57999999999993</v>
      </c>
      <c r="F47" s="19">
        <f>SUM(F49:F65)</f>
        <v>0</v>
      </c>
      <c r="G47" s="20">
        <f>SUM(D47:F47)</f>
        <v>1973.9499999999998</v>
      </c>
      <c r="H47" s="25">
        <f>SUM(H49:H65)</f>
        <v>1235</v>
      </c>
      <c r="I47" s="20">
        <f>H47-G47</f>
        <v>-738.94999999999982</v>
      </c>
    </row>
    <row r="48" spans="1:10" ht="13.5" thickBot="1">
      <c r="D48" s="30" t="s">
        <v>142</v>
      </c>
      <c r="E48" s="31" t="s">
        <v>143</v>
      </c>
      <c r="F48" s="31" t="s">
        <v>144</v>
      </c>
      <c r="G48" s="32"/>
      <c r="H48" s="52"/>
      <c r="I48" s="52" t="s">
        <v>375</v>
      </c>
    </row>
    <row r="49" spans="1:10">
      <c r="A49" t="s">
        <v>172</v>
      </c>
      <c r="B49" t="s">
        <v>173</v>
      </c>
      <c r="D49" s="15">
        <f>15.21+4.34+22.71-4.59*2</f>
        <v>33.080000000000005</v>
      </c>
      <c r="E49" s="16">
        <f>53.68+(50.19-30.4)+(32.4-10-7.88)+8+15.87+22.27+75.73-2.29+80.05+5</f>
        <v>292.62</v>
      </c>
      <c r="F49" s="17"/>
      <c r="G49" s="24">
        <f>SUM(D49:F49)</f>
        <v>325.7</v>
      </c>
      <c r="H49" s="24">
        <v>350</v>
      </c>
      <c r="I49" s="24">
        <f>H49-G49</f>
        <v>24.300000000000011</v>
      </c>
      <c r="J49" s="48" t="s">
        <v>415</v>
      </c>
    </row>
    <row r="50" spans="1:10">
      <c r="A50" t="s">
        <v>174</v>
      </c>
      <c r="B50" t="s">
        <v>261</v>
      </c>
      <c r="D50" s="18"/>
      <c r="E50" s="19">
        <f>10+(39.75-8-16.99)+(38-8-3-5)</f>
        <v>46.760000000000005</v>
      </c>
      <c r="F50" s="20"/>
      <c r="G50" s="25">
        <f t="shared" ref="G50:G65" si="0">SUM(D50:F50)</f>
        <v>46.760000000000005</v>
      </c>
      <c r="H50" s="25">
        <v>50</v>
      </c>
      <c r="I50" s="25">
        <f t="shared" ref="I50:I65" si="1">H50-G50</f>
        <v>3.2399999999999949</v>
      </c>
      <c r="J50" s="48" t="s">
        <v>410</v>
      </c>
    </row>
    <row r="51" spans="1:10">
      <c r="A51" t="s">
        <v>178</v>
      </c>
      <c r="D51" s="18"/>
      <c r="E51" s="19">
        <f>8</f>
        <v>8</v>
      </c>
      <c r="F51" s="20"/>
      <c r="G51" s="25">
        <f t="shared" si="0"/>
        <v>8</v>
      </c>
      <c r="H51" s="25">
        <v>20</v>
      </c>
      <c r="I51" s="25">
        <f t="shared" si="1"/>
        <v>12</v>
      </c>
    </row>
    <row r="52" spans="1:10">
      <c r="A52" t="s">
        <v>179</v>
      </c>
      <c r="D52" s="18"/>
      <c r="E52" s="19">
        <f>11.99+5</f>
        <v>16.990000000000002</v>
      </c>
      <c r="F52" s="20"/>
      <c r="G52" s="25">
        <f t="shared" si="0"/>
        <v>16.990000000000002</v>
      </c>
      <c r="H52" s="25">
        <v>20</v>
      </c>
      <c r="I52" s="25">
        <f>H52-G52</f>
        <v>3.009999999999998</v>
      </c>
    </row>
    <row r="53" spans="1:10">
      <c r="A53" t="s">
        <v>267</v>
      </c>
      <c r="B53" s="33" t="s">
        <v>152</v>
      </c>
      <c r="D53" s="18">
        <f>4.99+5.95+5+10.61+4.59*2</f>
        <v>35.730000000000004</v>
      </c>
      <c r="E53" s="19"/>
      <c r="F53" s="20"/>
      <c r="G53" s="25">
        <f t="shared" si="0"/>
        <v>35.730000000000004</v>
      </c>
      <c r="H53" s="25">
        <v>50</v>
      </c>
      <c r="I53" s="25">
        <f t="shared" si="1"/>
        <v>14.269999999999996</v>
      </c>
    </row>
    <row r="54" spans="1:10">
      <c r="A54" t="s">
        <v>176</v>
      </c>
      <c r="B54" s="33"/>
      <c r="D54" s="18"/>
      <c r="E54" s="19">
        <f>65+3</f>
        <v>68</v>
      </c>
      <c r="F54" s="20"/>
      <c r="G54" s="25">
        <f t="shared" si="0"/>
        <v>68</v>
      </c>
      <c r="H54" s="25">
        <v>100</v>
      </c>
      <c r="I54" s="25">
        <f t="shared" si="1"/>
        <v>32</v>
      </c>
      <c r="J54" t="s">
        <v>406</v>
      </c>
    </row>
    <row r="55" spans="1:10">
      <c r="A55" t="s">
        <v>54</v>
      </c>
      <c r="D55" s="18">
        <f>4.18+13.38+2.02+44+3.7+33+19.13+36+13.05+1.95</f>
        <v>170.41</v>
      </c>
      <c r="E55" s="19"/>
      <c r="F55" s="20"/>
      <c r="G55" s="25">
        <f t="shared" si="0"/>
        <v>170.41</v>
      </c>
      <c r="H55" s="25">
        <v>50</v>
      </c>
      <c r="I55" s="25">
        <f t="shared" si="1"/>
        <v>-120.41</v>
      </c>
    </row>
    <row r="56" spans="1:10">
      <c r="A56" t="s">
        <v>180</v>
      </c>
      <c r="D56" s="18">
        <f>28.41+29.14+46.94+27.43</f>
        <v>131.91999999999999</v>
      </c>
      <c r="E56" s="19">
        <f>35.93</f>
        <v>35.93</v>
      </c>
      <c r="F56" s="20"/>
      <c r="G56" s="25">
        <f t="shared" si="0"/>
        <v>167.85</v>
      </c>
      <c r="H56" s="25">
        <v>150</v>
      </c>
      <c r="I56" s="25">
        <f t="shared" si="1"/>
        <v>-17.849999999999994</v>
      </c>
      <c r="J56" t="s">
        <v>407</v>
      </c>
    </row>
    <row r="57" spans="1:10">
      <c r="A57" t="s">
        <v>53</v>
      </c>
      <c r="B57" t="s">
        <v>148</v>
      </c>
      <c r="D57" s="18">
        <f>80+12</f>
        <v>92</v>
      </c>
      <c r="E57" s="19">
        <f>44.5+11.5</f>
        <v>56</v>
      </c>
      <c r="F57" s="20"/>
      <c r="G57" s="25">
        <f t="shared" si="0"/>
        <v>148</v>
      </c>
      <c r="H57" s="25">
        <v>100</v>
      </c>
      <c r="I57" s="25">
        <f t="shared" si="1"/>
        <v>-48</v>
      </c>
    </row>
    <row r="58" spans="1:10">
      <c r="A58" t="s">
        <v>56</v>
      </c>
      <c r="B58" t="s">
        <v>151</v>
      </c>
      <c r="D58" s="18"/>
      <c r="E58" s="19"/>
      <c r="F58" s="20"/>
      <c r="G58" s="25">
        <f t="shared" si="0"/>
        <v>0</v>
      </c>
      <c r="H58" s="25">
        <v>75</v>
      </c>
      <c r="I58" s="25">
        <f t="shared" si="1"/>
        <v>75</v>
      </c>
    </row>
    <row r="59" spans="1:10">
      <c r="A59" t="s">
        <v>87</v>
      </c>
      <c r="D59" s="18"/>
      <c r="E59" s="19"/>
      <c r="F59" s="20"/>
      <c r="G59" s="25">
        <f t="shared" si="0"/>
        <v>0</v>
      </c>
      <c r="H59" s="25">
        <v>30</v>
      </c>
      <c r="I59" s="25">
        <f t="shared" si="1"/>
        <v>30</v>
      </c>
    </row>
    <row r="60" spans="1:10">
      <c r="A60" t="s">
        <v>153</v>
      </c>
      <c r="D60" s="18"/>
      <c r="E60" s="19"/>
      <c r="F60" s="20"/>
      <c r="G60" s="25">
        <f t="shared" si="0"/>
        <v>0</v>
      </c>
      <c r="H60" s="25">
        <v>50</v>
      </c>
      <c r="I60" s="25">
        <f t="shared" si="1"/>
        <v>50</v>
      </c>
    </row>
    <row r="61" spans="1:10">
      <c r="A61" t="s">
        <v>206</v>
      </c>
      <c r="B61" t="s">
        <v>184</v>
      </c>
      <c r="D61" s="18"/>
      <c r="E61" s="19"/>
      <c r="F61" s="20"/>
      <c r="G61" s="25">
        <f t="shared" si="0"/>
        <v>0</v>
      </c>
      <c r="H61" s="25">
        <v>20</v>
      </c>
      <c r="I61" s="25">
        <f t="shared" si="1"/>
        <v>20</v>
      </c>
    </row>
    <row r="62" spans="1:10">
      <c r="A62" t="s">
        <v>55</v>
      </c>
      <c r="B62" t="s">
        <v>57</v>
      </c>
      <c r="D62" s="18">
        <v>18.989999999999998</v>
      </c>
      <c r="E62" s="19"/>
      <c r="F62" s="20"/>
      <c r="G62" s="25">
        <f t="shared" si="0"/>
        <v>18.989999999999998</v>
      </c>
      <c r="H62" s="25">
        <v>50</v>
      </c>
      <c r="I62" s="25">
        <f t="shared" si="1"/>
        <v>31.01</v>
      </c>
      <c r="J62" t="s">
        <v>405</v>
      </c>
    </row>
    <row r="63" spans="1:10">
      <c r="A63" t="s">
        <v>182</v>
      </c>
      <c r="D63" s="18"/>
      <c r="E63" s="19"/>
      <c r="F63" s="20"/>
      <c r="G63" s="25">
        <f t="shared" si="0"/>
        <v>0</v>
      </c>
      <c r="H63" s="25">
        <v>20</v>
      </c>
      <c r="I63" s="25">
        <f t="shared" si="1"/>
        <v>20</v>
      </c>
    </row>
    <row r="64" spans="1:10">
      <c r="A64" t="s">
        <v>141</v>
      </c>
      <c r="B64" t="s">
        <v>401</v>
      </c>
      <c r="D64" s="59">
        <f>5.44+601.4+111.7+200.7</f>
        <v>919.24</v>
      </c>
      <c r="E64" s="19">
        <f>30.4+7.88</f>
        <v>38.28</v>
      </c>
      <c r="F64" s="20"/>
      <c r="G64" s="25">
        <f t="shared" si="0"/>
        <v>957.52</v>
      </c>
      <c r="H64" s="25">
        <v>50</v>
      </c>
      <c r="I64" s="25">
        <f t="shared" si="1"/>
        <v>-907.52</v>
      </c>
      <c r="J64" s="48" t="s">
        <v>414</v>
      </c>
    </row>
    <row r="65" spans="1:14" ht="13.5" thickBot="1">
      <c r="A65" t="s">
        <v>387</v>
      </c>
      <c r="B65" t="s">
        <v>205</v>
      </c>
      <c r="D65" s="21">
        <v>10</v>
      </c>
      <c r="E65" s="22"/>
      <c r="F65" s="23"/>
      <c r="G65" s="26">
        <f t="shared" si="0"/>
        <v>10</v>
      </c>
      <c r="H65" s="26">
        <v>50</v>
      </c>
      <c r="I65" s="26">
        <f t="shared" si="1"/>
        <v>40</v>
      </c>
      <c r="J65" s="60" t="s">
        <v>402</v>
      </c>
      <c r="N65" t="s">
        <v>365</v>
      </c>
    </row>
    <row r="66" spans="1:14">
      <c r="G66">
        <f>SUM(G49:G65)</f>
        <v>1973.95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66"/>
  <sheetViews>
    <sheetView topLeftCell="A15" workbookViewId="0">
      <selection activeCell="D58" sqref="D58"/>
    </sheetView>
  </sheetViews>
  <sheetFormatPr defaultRowHeight="12.75"/>
  <cols>
    <col min="1" max="1" width="17.85546875" customWidth="1"/>
    <col min="2" max="2" width="14.7109375" customWidth="1"/>
    <col min="6" max="6" width="10.140625" bestFit="1" customWidth="1"/>
    <col min="8" max="8" width="10.140625" bestFit="1" customWidth="1"/>
  </cols>
  <sheetData>
    <row r="1" spans="1:9" s="3" customFormat="1">
      <c r="A1" s="1" t="s">
        <v>15</v>
      </c>
      <c r="B1" s="4">
        <v>2010</v>
      </c>
    </row>
    <row r="2" spans="1:9" s="3" customFormat="1">
      <c r="A2" s="1" t="s">
        <v>1</v>
      </c>
      <c r="B2" s="1" t="s">
        <v>47</v>
      </c>
    </row>
    <row r="4" spans="1:9">
      <c r="A4" s="1" t="s">
        <v>18</v>
      </c>
      <c r="B4" s="5">
        <f>SUM(I5:I9)</f>
        <v>9342.41</v>
      </c>
      <c r="I4">
        <f>SUM(I5:I9)</f>
        <v>9342.41</v>
      </c>
    </row>
    <row r="5" spans="1:9">
      <c r="B5" t="s">
        <v>51</v>
      </c>
      <c r="C5">
        <v>2892.95</v>
      </c>
      <c r="D5">
        <v>3134.46</v>
      </c>
      <c r="F5">
        <v>0</v>
      </c>
      <c r="G5">
        <v>0</v>
      </c>
      <c r="I5" s="3">
        <f>SUM(C5:H5)</f>
        <v>6027.41</v>
      </c>
    </row>
    <row r="6" spans="1:9">
      <c r="B6" t="s">
        <v>17</v>
      </c>
      <c r="C6">
        <v>1129.3800000000001</v>
      </c>
      <c r="I6" s="3">
        <f>SUM(C6:H6)</f>
        <v>1129.3800000000001</v>
      </c>
    </row>
    <row r="7" spans="1:9">
      <c r="B7" t="s">
        <v>52</v>
      </c>
      <c r="C7">
        <v>800.37</v>
      </c>
      <c r="I7" s="3">
        <f>SUM(C7:H7)</f>
        <v>800.37</v>
      </c>
    </row>
    <row r="8" spans="1:9">
      <c r="B8" t="s">
        <v>219</v>
      </c>
      <c r="C8">
        <v>461.75</v>
      </c>
      <c r="D8">
        <v>461.75</v>
      </c>
      <c r="E8">
        <v>461.75</v>
      </c>
      <c r="I8" s="3">
        <f>SUM(C8:H8)</f>
        <v>1385.25</v>
      </c>
    </row>
    <row r="9" spans="1:9">
      <c r="B9" t="s">
        <v>235</v>
      </c>
      <c r="C9">
        <v>0</v>
      </c>
      <c r="I9" s="3">
        <f>SUM(C9:H9)</f>
        <v>0</v>
      </c>
    </row>
    <row r="11" spans="1:9">
      <c r="A11" s="1" t="s">
        <v>19</v>
      </c>
      <c r="B11" s="5">
        <f>Tithe!F12</f>
        <v>930</v>
      </c>
    </row>
    <row r="14" spans="1:9">
      <c r="A14" s="1" t="s">
        <v>20</v>
      </c>
      <c r="B14" s="5">
        <f>SUM(E15:E34)</f>
        <v>5892.22</v>
      </c>
    </row>
    <row r="15" spans="1:9">
      <c r="A15" s="1"/>
      <c r="B15" t="s">
        <v>26</v>
      </c>
      <c r="C15" t="s">
        <v>27</v>
      </c>
      <c r="E15">
        <v>2000</v>
      </c>
    </row>
    <row r="16" spans="1:9">
      <c r="B16" t="s">
        <v>0</v>
      </c>
      <c r="C16" t="s">
        <v>24</v>
      </c>
      <c r="E16">
        <v>110.36</v>
      </c>
    </row>
    <row r="17" spans="2:8">
      <c r="B17" t="s">
        <v>22</v>
      </c>
      <c r="C17" t="s">
        <v>78</v>
      </c>
    </row>
    <row r="18" spans="2:8">
      <c r="B18" t="s">
        <v>21</v>
      </c>
    </row>
    <row r="19" spans="2:8">
      <c r="B19" t="s">
        <v>100</v>
      </c>
      <c r="C19" t="s">
        <v>28</v>
      </c>
      <c r="E19">
        <v>60.85</v>
      </c>
    </row>
    <row r="20" spans="2:8">
      <c r="B20" t="s">
        <v>29</v>
      </c>
      <c r="E20">
        <v>150</v>
      </c>
      <c r="F20" s="6">
        <v>40188</v>
      </c>
      <c r="G20" s="6"/>
      <c r="H20" s="6"/>
    </row>
    <row r="21" spans="2:8">
      <c r="B21" t="s">
        <v>30</v>
      </c>
      <c r="C21" t="s">
        <v>27</v>
      </c>
    </row>
    <row r="22" spans="2:8">
      <c r="B22" t="s">
        <v>30</v>
      </c>
      <c r="C22" t="s">
        <v>105</v>
      </c>
      <c r="E22">
        <v>666.44</v>
      </c>
      <c r="F22" t="s">
        <v>106</v>
      </c>
    </row>
    <row r="23" spans="2:8">
      <c r="B23" t="s">
        <v>30</v>
      </c>
      <c r="C23" t="s">
        <v>27</v>
      </c>
      <c r="E23">
        <v>557.46</v>
      </c>
      <c r="F23" t="s">
        <v>107</v>
      </c>
    </row>
    <row r="24" spans="2:8">
      <c r="B24" t="s">
        <v>96</v>
      </c>
    </row>
    <row r="25" spans="2:8">
      <c r="B25" t="s">
        <v>98</v>
      </c>
      <c r="C25" t="s">
        <v>212</v>
      </c>
    </row>
    <row r="26" spans="2:8">
      <c r="B26" t="s">
        <v>59</v>
      </c>
    </row>
    <row r="27" spans="2:8">
      <c r="B27" t="s">
        <v>97</v>
      </c>
    </row>
    <row r="28" spans="2:8">
      <c r="B28" t="s">
        <v>91</v>
      </c>
    </row>
    <row r="29" spans="2:8">
      <c r="B29" t="s">
        <v>99</v>
      </c>
    </row>
    <row r="30" spans="2:8">
      <c r="B30" t="s">
        <v>221</v>
      </c>
      <c r="C30" t="s">
        <v>438</v>
      </c>
      <c r="E30">
        <f>75+57+57</f>
        <v>189</v>
      </c>
      <c r="F30" t="s">
        <v>439</v>
      </c>
    </row>
    <row r="31" spans="2:8">
      <c r="B31" t="s">
        <v>209</v>
      </c>
      <c r="C31" t="s">
        <v>447</v>
      </c>
      <c r="E31">
        <v>785</v>
      </c>
      <c r="F31" t="s">
        <v>448</v>
      </c>
    </row>
    <row r="32" spans="2:8">
      <c r="C32" t="s">
        <v>87</v>
      </c>
      <c r="E32">
        <v>23.11</v>
      </c>
      <c r="F32" t="s">
        <v>450</v>
      </c>
    </row>
    <row r="33" spans="1:9">
      <c r="C33" t="s">
        <v>451</v>
      </c>
      <c r="E33">
        <v>1350</v>
      </c>
      <c r="F33" t="s">
        <v>452</v>
      </c>
    </row>
    <row r="36" spans="1:9">
      <c r="A36" s="1" t="s">
        <v>31</v>
      </c>
      <c r="B36" s="5">
        <f>B4-B11-B14</f>
        <v>2520.1899999999996</v>
      </c>
    </row>
    <row r="37" spans="1:9">
      <c r="A37" s="1"/>
      <c r="B37" s="1"/>
    </row>
    <row r="38" spans="1:9">
      <c r="A38" s="1" t="s">
        <v>32</v>
      </c>
      <c r="B38" s="5"/>
      <c r="D38" t="s">
        <v>33</v>
      </c>
      <c r="E38" t="s">
        <v>34</v>
      </c>
    </row>
    <row r="39" spans="1:9">
      <c r="A39" s="1" t="s">
        <v>90</v>
      </c>
      <c r="B39" s="1"/>
      <c r="D39" t="s">
        <v>93</v>
      </c>
    </row>
    <row r="40" spans="1:9">
      <c r="A40" s="1" t="s">
        <v>35</v>
      </c>
      <c r="B40" s="5">
        <v>10000</v>
      </c>
      <c r="D40" t="s">
        <v>26</v>
      </c>
    </row>
    <row r="41" spans="1:9">
      <c r="A41" s="1"/>
      <c r="B41" s="1"/>
    </row>
    <row r="42" spans="1:9">
      <c r="A42" s="1" t="s">
        <v>36</v>
      </c>
      <c r="B42" s="5">
        <f>B36+B38+B39-B40</f>
        <v>-7479.81</v>
      </c>
    </row>
    <row r="44" spans="1:9" ht="13.5" thickBot="1"/>
    <row r="45" spans="1:9" ht="13.5" thickBot="1">
      <c r="A45" t="s">
        <v>147</v>
      </c>
      <c r="D45" s="27" t="s">
        <v>105</v>
      </c>
      <c r="E45" s="28" t="s">
        <v>146</v>
      </c>
      <c r="F45" s="28" t="s">
        <v>146</v>
      </c>
      <c r="G45" s="29" t="s">
        <v>63</v>
      </c>
      <c r="H45" s="61" t="s">
        <v>413</v>
      </c>
      <c r="I45" s="51" t="s">
        <v>374</v>
      </c>
    </row>
    <row r="46" spans="1:9">
      <c r="A46" t="s">
        <v>175</v>
      </c>
      <c r="B46" s="48" t="s">
        <v>46</v>
      </c>
      <c r="D46" s="18">
        <f>E22</f>
        <v>666.44</v>
      </c>
      <c r="E46" s="19">
        <f>E23</f>
        <v>557.46</v>
      </c>
      <c r="F46" s="19">
        <f>E21</f>
        <v>0</v>
      </c>
      <c r="G46" s="20">
        <f>SUM(D46:F46)</f>
        <v>1223.9000000000001</v>
      </c>
      <c r="H46" s="24">
        <v>1500</v>
      </c>
      <c r="I46" s="17">
        <f>H46-G46</f>
        <v>276.09999999999991</v>
      </c>
    </row>
    <row r="47" spans="1:9">
      <c r="D47" s="18">
        <f>SUM(D49:D65)</f>
        <v>666.43999999999994</v>
      </c>
      <c r="E47" s="19">
        <f>SUM(E49:E65)</f>
        <v>557.46</v>
      </c>
      <c r="F47" s="19">
        <f>SUM(F49:F65)</f>
        <v>0</v>
      </c>
      <c r="G47" s="20">
        <f>SUM(D47:F47)</f>
        <v>1223.9000000000001</v>
      </c>
      <c r="H47" s="25">
        <f>SUM(H49:H65)</f>
        <v>1155</v>
      </c>
      <c r="I47" s="20">
        <f>H47-G47</f>
        <v>-68.900000000000091</v>
      </c>
    </row>
    <row r="48" spans="1:9" ht="13.5" thickBot="1">
      <c r="D48" s="30" t="s">
        <v>142</v>
      </c>
      <c r="E48" s="31" t="s">
        <v>143</v>
      </c>
      <c r="F48" s="31" t="s">
        <v>144</v>
      </c>
      <c r="G48" s="32"/>
      <c r="H48" s="52"/>
      <c r="I48" s="52" t="s">
        <v>375</v>
      </c>
    </row>
    <row r="49" spans="1:10">
      <c r="A49" t="s">
        <v>172</v>
      </c>
      <c r="B49" t="s">
        <v>173</v>
      </c>
      <c r="D49" s="15">
        <f>12.95+23.22</f>
        <v>36.17</v>
      </c>
      <c r="E49" s="16">
        <f>58.64+29.57+32.9+37.13+16.34-1.4+31.12+38.84+70.22-33.77-5+51.91+14.14</f>
        <v>340.64</v>
      </c>
      <c r="F49" s="17"/>
      <c r="G49" s="24">
        <f>SUM(D49:F49)</f>
        <v>376.81</v>
      </c>
      <c r="H49" s="24">
        <v>300</v>
      </c>
      <c r="I49" s="24">
        <f>H49-G49</f>
        <v>-76.81</v>
      </c>
      <c r="J49" t="s">
        <v>435</v>
      </c>
    </row>
    <row r="50" spans="1:10">
      <c r="A50" t="s">
        <v>174</v>
      </c>
      <c r="B50" t="s">
        <v>261</v>
      </c>
      <c r="D50" s="18"/>
      <c r="E50" s="19">
        <f>13.14+21.73</f>
        <v>34.870000000000005</v>
      </c>
      <c r="F50" s="20"/>
      <c r="G50" s="25">
        <f t="shared" ref="G50:G65" si="0">SUM(D50:F50)</f>
        <v>34.870000000000005</v>
      </c>
      <c r="H50" s="25">
        <v>50</v>
      </c>
      <c r="I50" s="25">
        <f t="shared" ref="I50:I65" si="1">H50-G50</f>
        <v>15.129999999999995</v>
      </c>
    </row>
    <row r="51" spans="1:10">
      <c r="A51" t="s">
        <v>178</v>
      </c>
      <c r="D51" s="18">
        <f>12.97</f>
        <v>12.97</v>
      </c>
      <c r="E51" s="19">
        <v>5</v>
      </c>
      <c r="F51" s="20"/>
      <c r="G51" s="25">
        <f t="shared" si="0"/>
        <v>17.97</v>
      </c>
      <c r="H51" s="25">
        <v>20</v>
      </c>
      <c r="I51" s="25">
        <f t="shared" si="1"/>
        <v>2.0300000000000011</v>
      </c>
      <c r="J51" t="s">
        <v>427</v>
      </c>
    </row>
    <row r="52" spans="1:10">
      <c r="A52" t="s">
        <v>179</v>
      </c>
      <c r="D52" s="18"/>
      <c r="E52" s="19">
        <f>28.99</f>
        <v>28.99</v>
      </c>
      <c r="F52" s="20"/>
      <c r="G52" s="25">
        <f t="shared" si="0"/>
        <v>28.99</v>
      </c>
      <c r="H52" s="25">
        <v>20</v>
      </c>
      <c r="I52" s="25">
        <f>H52-G52</f>
        <v>-8.9899999999999984</v>
      </c>
    </row>
    <row r="53" spans="1:10">
      <c r="A53" t="s">
        <v>267</v>
      </c>
      <c r="B53" s="33" t="s">
        <v>152</v>
      </c>
      <c r="D53" s="18">
        <f>911.88+20.13+21.84+19.99-21.84-19.99-899</f>
        <v>33.009999999999991</v>
      </c>
      <c r="E53" s="19">
        <v>50</v>
      </c>
      <c r="F53" s="20"/>
      <c r="G53" s="25">
        <f t="shared" si="0"/>
        <v>83.009999999999991</v>
      </c>
      <c r="H53" s="25">
        <v>50</v>
      </c>
      <c r="I53" s="25">
        <f t="shared" si="1"/>
        <v>-33.009999999999991</v>
      </c>
      <c r="J53" t="s">
        <v>446</v>
      </c>
    </row>
    <row r="54" spans="1:10">
      <c r="A54" t="s">
        <v>176</v>
      </c>
      <c r="B54" s="33"/>
      <c r="D54" s="18">
        <v>50</v>
      </c>
      <c r="E54" s="19"/>
      <c r="F54" s="20"/>
      <c r="G54" s="25">
        <f t="shared" si="0"/>
        <v>50</v>
      </c>
      <c r="H54" s="25">
        <v>50</v>
      </c>
      <c r="I54" s="25">
        <f t="shared" si="1"/>
        <v>0</v>
      </c>
      <c r="J54" t="s">
        <v>449</v>
      </c>
    </row>
    <row r="55" spans="1:10">
      <c r="A55" t="s">
        <v>54</v>
      </c>
      <c r="D55" s="18">
        <f>10.9+12.37+13.17+15+6.15+16.67+27.6+7.21+4.89+6.15+4.35+4.68+4.24+3</f>
        <v>136.38</v>
      </c>
      <c r="E55" s="19"/>
      <c r="F55" s="20"/>
      <c r="G55" s="25">
        <f t="shared" si="0"/>
        <v>136.38</v>
      </c>
      <c r="H55" s="25">
        <v>50</v>
      </c>
      <c r="I55" s="25">
        <f t="shared" si="1"/>
        <v>-86.38</v>
      </c>
    </row>
    <row r="56" spans="1:10">
      <c r="A56" t="s">
        <v>180</v>
      </c>
      <c r="D56" s="18">
        <f>22.18+29.54+30.29</f>
        <v>82.009999999999991</v>
      </c>
      <c r="E56" s="19">
        <f>34.2+43.13</f>
        <v>77.330000000000013</v>
      </c>
      <c r="F56" s="20"/>
      <c r="G56" s="25">
        <f t="shared" si="0"/>
        <v>159.34</v>
      </c>
      <c r="H56" s="25">
        <v>150</v>
      </c>
      <c r="I56" s="25">
        <f t="shared" si="1"/>
        <v>-9.3400000000000034</v>
      </c>
    </row>
    <row r="57" spans="1:10">
      <c r="A57" t="s">
        <v>53</v>
      </c>
      <c r="B57" t="s">
        <v>148</v>
      </c>
      <c r="D57" s="18">
        <f>10</f>
        <v>10</v>
      </c>
      <c r="E57" s="19"/>
      <c r="F57" s="20"/>
      <c r="G57" s="25">
        <f t="shared" si="0"/>
        <v>10</v>
      </c>
      <c r="H57" s="25">
        <v>150</v>
      </c>
      <c r="I57" s="25">
        <f t="shared" si="1"/>
        <v>140</v>
      </c>
    </row>
    <row r="58" spans="1:10">
      <c r="A58" t="s">
        <v>56</v>
      </c>
      <c r="B58" t="s">
        <v>151</v>
      </c>
      <c r="D58" s="18">
        <f>74.89+72.82</f>
        <v>147.70999999999998</v>
      </c>
      <c r="E58" s="19"/>
      <c r="F58" s="20"/>
      <c r="G58" s="25">
        <f t="shared" si="0"/>
        <v>147.70999999999998</v>
      </c>
      <c r="H58" s="25">
        <v>75</v>
      </c>
      <c r="I58" s="25">
        <f t="shared" si="1"/>
        <v>-72.70999999999998</v>
      </c>
    </row>
    <row r="59" spans="1:10">
      <c r="A59" t="s">
        <v>436</v>
      </c>
      <c r="B59" t="s">
        <v>437</v>
      </c>
      <c r="D59" s="18"/>
      <c r="E59" s="19">
        <v>20.63</v>
      </c>
      <c r="F59" s="20"/>
      <c r="G59" s="25">
        <f t="shared" si="0"/>
        <v>20.63</v>
      </c>
      <c r="H59" s="25">
        <v>30</v>
      </c>
      <c r="I59" s="25">
        <f t="shared" si="1"/>
        <v>9.370000000000001</v>
      </c>
    </row>
    <row r="60" spans="1:10">
      <c r="A60" t="s">
        <v>153</v>
      </c>
      <c r="D60" s="18"/>
      <c r="E60" s="19"/>
      <c r="F60" s="20"/>
      <c r="G60" s="25">
        <f t="shared" si="0"/>
        <v>0</v>
      </c>
      <c r="H60" s="25">
        <v>50</v>
      </c>
      <c r="I60" s="25">
        <f t="shared" si="1"/>
        <v>50</v>
      </c>
    </row>
    <row r="61" spans="1:10">
      <c r="A61" t="s">
        <v>206</v>
      </c>
      <c r="B61" t="s">
        <v>184</v>
      </c>
      <c r="D61" s="18"/>
      <c r="E61" s="19"/>
      <c r="F61" s="20"/>
      <c r="G61" s="25">
        <f t="shared" si="0"/>
        <v>0</v>
      </c>
      <c r="H61" s="25">
        <v>20</v>
      </c>
      <c r="I61" s="25">
        <f t="shared" si="1"/>
        <v>20</v>
      </c>
    </row>
    <row r="62" spans="1:10">
      <c r="A62" t="s">
        <v>55</v>
      </c>
      <c r="B62" t="s">
        <v>57</v>
      </c>
      <c r="D62" s="18">
        <f>49.99+99.98</f>
        <v>149.97</v>
      </c>
      <c r="E62" s="19"/>
      <c r="F62" s="20"/>
      <c r="G62" s="25">
        <f t="shared" si="0"/>
        <v>149.97</v>
      </c>
      <c r="H62" s="25">
        <v>50</v>
      </c>
      <c r="I62" s="25">
        <f t="shared" si="1"/>
        <v>-99.97</v>
      </c>
      <c r="J62" t="s">
        <v>426</v>
      </c>
    </row>
    <row r="63" spans="1:10">
      <c r="A63" t="s">
        <v>182</v>
      </c>
      <c r="D63" s="18"/>
      <c r="E63" s="19"/>
      <c r="F63" s="20"/>
      <c r="G63" s="25">
        <f t="shared" si="0"/>
        <v>0</v>
      </c>
      <c r="H63" s="25">
        <v>20</v>
      </c>
      <c r="I63" s="25">
        <f t="shared" si="1"/>
        <v>20</v>
      </c>
    </row>
    <row r="64" spans="1:10">
      <c r="A64" t="s">
        <v>141</v>
      </c>
      <c r="B64" t="s">
        <v>58</v>
      </c>
      <c r="D64" s="18"/>
      <c r="E64" s="19"/>
      <c r="F64" s="20"/>
      <c r="G64" s="25">
        <f t="shared" si="0"/>
        <v>0</v>
      </c>
      <c r="H64" s="25">
        <v>20</v>
      </c>
      <c r="I64" s="25">
        <f t="shared" si="1"/>
        <v>20</v>
      </c>
    </row>
    <row r="65" spans="1:9" ht="13.5" thickBot="1">
      <c r="A65" t="s">
        <v>145</v>
      </c>
      <c r="B65" t="s">
        <v>205</v>
      </c>
      <c r="D65" s="21">
        <v>8.2200000000000006</v>
      </c>
      <c r="E65" s="22"/>
      <c r="F65" s="23"/>
      <c r="G65" s="26">
        <f t="shared" si="0"/>
        <v>8.2200000000000006</v>
      </c>
      <c r="H65" s="26">
        <v>50</v>
      </c>
      <c r="I65" s="26">
        <f t="shared" si="1"/>
        <v>41.78</v>
      </c>
    </row>
    <row r="66" spans="1:9">
      <c r="G66">
        <f>SUM(G49:G65)</f>
        <v>1223.9000000000001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66"/>
  <sheetViews>
    <sheetView topLeftCell="A21" workbookViewId="0">
      <selection activeCell="F28" sqref="F28"/>
    </sheetView>
  </sheetViews>
  <sheetFormatPr defaultRowHeight="12.75"/>
  <cols>
    <col min="1" max="1" width="17.85546875" customWidth="1"/>
    <col min="2" max="2" width="14.7109375" customWidth="1"/>
    <col min="6" max="6" width="10.140625" bestFit="1" customWidth="1"/>
  </cols>
  <sheetData>
    <row r="1" spans="1:9" s="3" customFormat="1">
      <c r="A1" s="1" t="s">
        <v>15</v>
      </c>
      <c r="B1" s="4">
        <v>2010</v>
      </c>
    </row>
    <row r="2" spans="1:9" s="3" customFormat="1">
      <c r="A2" s="1" t="s">
        <v>1</v>
      </c>
      <c r="B2" s="1" t="s">
        <v>48</v>
      </c>
    </row>
    <row r="4" spans="1:9">
      <c r="A4" s="1" t="s">
        <v>18</v>
      </c>
      <c r="B4" s="5">
        <f>SUM(I5:I9)</f>
        <v>7069.3</v>
      </c>
      <c r="I4">
        <f>SUM(I5:I9)</f>
        <v>7069.3</v>
      </c>
    </row>
    <row r="5" spans="1:9">
      <c r="B5" t="s">
        <v>51</v>
      </c>
      <c r="C5">
        <v>3134.47</v>
      </c>
      <c r="D5">
        <v>3134.46</v>
      </c>
      <c r="E5">
        <v>0</v>
      </c>
      <c r="F5">
        <v>0</v>
      </c>
      <c r="G5">
        <v>0</v>
      </c>
      <c r="I5" s="3">
        <f>SUM(C5:H5)</f>
        <v>6268.93</v>
      </c>
    </row>
    <row r="6" spans="1:9">
      <c r="B6" t="s">
        <v>17</v>
      </c>
      <c r="C6">
        <v>0</v>
      </c>
      <c r="I6" s="3">
        <f>SUM(C6:H6)</f>
        <v>0</v>
      </c>
    </row>
    <row r="7" spans="1:9">
      <c r="B7" t="s">
        <v>52</v>
      </c>
      <c r="C7">
        <v>800.37</v>
      </c>
      <c r="I7" s="3">
        <f>SUM(C7:H7)</f>
        <v>800.37</v>
      </c>
    </row>
    <row r="8" spans="1:9">
      <c r="B8" t="s">
        <v>219</v>
      </c>
      <c r="C8">
        <v>0</v>
      </c>
      <c r="I8" s="3">
        <f>SUM(C8:H8)</f>
        <v>0</v>
      </c>
    </row>
    <row r="9" spans="1:9">
      <c r="B9" t="s">
        <v>235</v>
      </c>
      <c r="C9">
        <v>0</v>
      </c>
      <c r="I9" s="3">
        <f>SUM(C9:H9)</f>
        <v>0</v>
      </c>
    </row>
    <row r="11" spans="1:9">
      <c r="A11" s="1" t="s">
        <v>19</v>
      </c>
      <c r="B11" s="5">
        <f>Tithe!F13</f>
        <v>1169.2</v>
      </c>
    </row>
    <row r="14" spans="1:9">
      <c r="A14" s="1" t="s">
        <v>20</v>
      </c>
      <c r="B14" s="5">
        <f>SUM(E15:E34)</f>
        <v>4764.1699999999992</v>
      </c>
    </row>
    <row r="15" spans="1:9">
      <c r="A15" s="1"/>
      <c r="B15" t="s">
        <v>26</v>
      </c>
      <c r="C15" t="s">
        <v>27</v>
      </c>
      <c r="E15">
        <v>2000</v>
      </c>
    </row>
    <row r="16" spans="1:9">
      <c r="B16" t="s">
        <v>0</v>
      </c>
      <c r="C16" t="s">
        <v>24</v>
      </c>
      <c r="E16">
        <v>115.11</v>
      </c>
    </row>
    <row r="17" spans="2:7">
      <c r="B17" t="s">
        <v>22</v>
      </c>
      <c r="C17" t="s">
        <v>78</v>
      </c>
    </row>
    <row r="18" spans="2:7">
      <c r="B18" t="s">
        <v>21</v>
      </c>
    </row>
    <row r="19" spans="2:7">
      <c r="B19" t="s">
        <v>100</v>
      </c>
      <c r="C19" t="s">
        <v>28</v>
      </c>
      <c r="E19">
        <v>60.85</v>
      </c>
    </row>
    <row r="20" spans="2:7">
      <c r="B20" t="s">
        <v>29</v>
      </c>
      <c r="E20">
        <v>200</v>
      </c>
      <c r="F20" s="6">
        <v>40189</v>
      </c>
    </row>
    <row r="21" spans="2:7">
      <c r="B21" t="s">
        <v>30</v>
      </c>
      <c r="C21" t="s">
        <v>27</v>
      </c>
      <c r="E21">
        <v>-293.97000000000003</v>
      </c>
      <c r="F21" t="s">
        <v>226</v>
      </c>
    </row>
    <row r="22" spans="2:7">
      <c r="B22" t="s">
        <v>30</v>
      </c>
      <c r="C22" t="s">
        <v>105</v>
      </c>
      <c r="E22">
        <v>966.64</v>
      </c>
      <c r="F22" t="s">
        <v>106</v>
      </c>
    </row>
    <row r="23" spans="2:7">
      <c r="B23" t="s">
        <v>30</v>
      </c>
      <c r="C23" t="s">
        <v>27</v>
      </c>
      <c r="E23">
        <v>627.59</v>
      </c>
      <c r="F23" t="s">
        <v>107</v>
      </c>
    </row>
    <row r="24" spans="2:7">
      <c r="B24" t="s">
        <v>96</v>
      </c>
      <c r="E24">
        <v>301.5</v>
      </c>
    </row>
    <row r="25" spans="2:7">
      <c r="B25" t="s">
        <v>98</v>
      </c>
      <c r="C25" t="s">
        <v>212</v>
      </c>
      <c r="E25">
        <v>40</v>
      </c>
      <c r="F25" t="s">
        <v>227</v>
      </c>
      <c r="G25" t="s">
        <v>461</v>
      </c>
    </row>
    <row r="26" spans="2:7">
      <c r="B26" t="s">
        <v>59</v>
      </c>
    </row>
    <row r="27" spans="2:7">
      <c r="B27" t="s">
        <v>97</v>
      </c>
      <c r="E27">
        <f>25+160</f>
        <v>185</v>
      </c>
      <c r="F27" t="s">
        <v>491</v>
      </c>
    </row>
    <row r="28" spans="2:7">
      <c r="B28" t="s">
        <v>91</v>
      </c>
    </row>
    <row r="29" spans="2:7">
      <c r="B29" t="s">
        <v>99</v>
      </c>
    </row>
    <row r="30" spans="2:7">
      <c r="B30" t="s">
        <v>221</v>
      </c>
      <c r="C30" t="s">
        <v>222</v>
      </c>
      <c r="E30">
        <v>75</v>
      </c>
      <c r="F30" t="s">
        <v>460</v>
      </c>
    </row>
    <row r="31" spans="2:7">
      <c r="B31" t="s">
        <v>209</v>
      </c>
      <c r="C31" t="s">
        <v>474</v>
      </c>
      <c r="E31">
        <v>450</v>
      </c>
      <c r="F31" t="s">
        <v>475</v>
      </c>
    </row>
    <row r="32" spans="2:7">
      <c r="C32" t="s">
        <v>477</v>
      </c>
      <c r="E32">
        <f>24.3+12.15</f>
        <v>36.450000000000003</v>
      </c>
      <c r="F32" t="s">
        <v>478</v>
      </c>
    </row>
    <row r="36" spans="1:9">
      <c r="A36" s="1" t="s">
        <v>31</v>
      </c>
      <c r="B36" s="5">
        <f>B4-B11-B14</f>
        <v>1135.9300000000012</v>
      </c>
    </row>
    <row r="37" spans="1:9">
      <c r="A37" s="1"/>
      <c r="B37" s="1"/>
    </row>
    <row r="38" spans="1:9">
      <c r="A38" s="1" t="s">
        <v>32</v>
      </c>
      <c r="B38" s="5"/>
      <c r="D38" t="s">
        <v>33</v>
      </c>
      <c r="E38" t="s">
        <v>34</v>
      </c>
    </row>
    <row r="39" spans="1:9">
      <c r="A39" s="1" t="s">
        <v>90</v>
      </c>
      <c r="B39" s="1">
        <v>-4439</v>
      </c>
      <c r="D39" t="s">
        <v>93</v>
      </c>
    </row>
    <row r="40" spans="1:9">
      <c r="A40" s="1" t="s">
        <v>35</v>
      </c>
      <c r="B40" s="5">
        <v>0</v>
      </c>
      <c r="D40" t="s">
        <v>26</v>
      </c>
    </row>
    <row r="41" spans="1:9">
      <c r="A41" s="1"/>
      <c r="B41" s="1"/>
    </row>
    <row r="42" spans="1:9">
      <c r="A42" s="1" t="s">
        <v>36</v>
      </c>
      <c r="B42" s="5">
        <f>B36+B38+B39-B40</f>
        <v>-3303.0699999999988</v>
      </c>
    </row>
    <row r="44" spans="1:9" ht="13.5" thickBot="1"/>
    <row r="45" spans="1:9" ht="13.5" thickBot="1">
      <c r="A45" t="s">
        <v>147</v>
      </c>
      <c r="D45" s="27" t="s">
        <v>105</v>
      </c>
      <c r="E45" s="28" t="s">
        <v>146</v>
      </c>
      <c r="F45" s="28" t="s">
        <v>146</v>
      </c>
      <c r="G45" s="29" t="s">
        <v>63</v>
      </c>
      <c r="H45" s="61" t="s">
        <v>412</v>
      </c>
      <c r="I45" s="51" t="s">
        <v>374</v>
      </c>
    </row>
    <row r="46" spans="1:9">
      <c r="A46" t="s">
        <v>175</v>
      </c>
      <c r="B46" s="48" t="s">
        <v>47</v>
      </c>
      <c r="D46" s="18">
        <f>E22</f>
        <v>966.64</v>
      </c>
      <c r="E46" s="19">
        <f>E23</f>
        <v>627.59</v>
      </c>
      <c r="F46" s="19">
        <f>E21</f>
        <v>-293.97000000000003</v>
      </c>
      <c r="G46" s="20">
        <f>SUM(D46:F46)</f>
        <v>1300.26</v>
      </c>
      <c r="H46" s="24">
        <v>1700</v>
      </c>
      <c r="I46" s="17">
        <f>H46-G46</f>
        <v>399.74</v>
      </c>
    </row>
    <row r="47" spans="1:9">
      <c r="D47" s="18">
        <f>SUM(D49:D65)</f>
        <v>672.67</v>
      </c>
      <c r="E47" s="19">
        <f>SUM(E49:E65)</f>
        <v>627.59</v>
      </c>
      <c r="F47" s="19">
        <f>SUM(F49:F65)</f>
        <v>0</v>
      </c>
      <c r="G47" s="20">
        <f>SUM(D47:F47)</f>
        <v>1300.26</v>
      </c>
      <c r="H47" s="25">
        <f>SUM(H49:H65)</f>
        <v>1155</v>
      </c>
      <c r="I47" s="20">
        <f>H47-G47</f>
        <v>-145.26</v>
      </c>
    </row>
    <row r="48" spans="1:9" ht="13.5" thickBot="1">
      <c r="D48" s="30" t="s">
        <v>142</v>
      </c>
      <c r="E48" s="31" t="s">
        <v>143</v>
      </c>
      <c r="F48" s="31" t="s">
        <v>144</v>
      </c>
      <c r="G48" s="32"/>
      <c r="H48" s="52"/>
      <c r="I48" s="52" t="s">
        <v>375</v>
      </c>
    </row>
    <row r="49" spans="1:12">
      <c r="A49" t="s">
        <v>172</v>
      </c>
      <c r="B49" t="s">
        <v>173</v>
      </c>
      <c r="D49" s="15"/>
      <c r="E49" s="16">
        <f>32.51+78.78+22.7+14.91+20.76+90.2+31.06+50.34+39.51</f>
        <v>380.77</v>
      </c>
      <c r="F49" s="17"/>
      <c r="G49" s="24">
        <f>SUM(D49:F49)</f>
        <v>380.77</v>
      </c>
      <c r="H49" s="24">
        <v>300</v>
      </c>
      <c r="I49" s="24">
        <f>H49-G49</f>
        <v>-80.769999999999982</v>
      </c>
      <c r="J49" t="s">
        <v>466</v>
      </c>
    </row>
    <row r="50" spans="1:12">
      <c r="A50" t="s">
        <v>174</v>
      </c>
      <c r="B50" t="s">
        <v>261</v>
      </c>
      <c r="D50" s="18"/>
      <c r="E50" s="19">
        <f>62.2-11.5-17.8*2+99.09-27</f>
        <v>87.19</v>
      </c>
      <c r="F50" s="20"/>
      <c r="G50" s="25">
        <f t="shared" ref="G50:G65" si="0">SUM(D50:F50)</f>
        <v>87.19</v>
      </c>
      <c r="H50" s="25">
        <v>50</v>
      </c>
      <c r="I50" s="25">
        <f t="shared" ref="I50:I65" si="1">H50-G50</f>
        <v>-37.19</v>
      </c>
    </row>
    <row r="51" spans="1:12">
      <c r="A51" t="s">
        <v>178</v>
      </c>
      <c r="D51" s="18">
        <v>4.24</v>
      </c>
      <c r="E51" s="19">
        <f>11.5+19.5</f>
        <v>31</v>
      </c>
      <c r="F51" s="20"/>
      <c r="G51" s="25">
        <f t="shared" si="0"/>
        <v>35.24</v>
      </c>
      <c r="H51" s="25">
        <v>20</v>
      </c>
      <c r="I51" s="25">
        <f t="shared" si="1"/>
        <v>-15.240000000000002</v>
      </c>
    </row>
    <row r="52" spans="1:12">
      <c r="A52" t="s">
        <v>179</v>
      </c>
      <c r="D52" s="18"/>
      <c r="E52" s="19">
        <f>12.98+17.8*2</f>
        <v>48.58</v>
      </c>
      <c r="F52" s="20"/>
      <c r="G52" s="25">
        <f t="shared" si="0"/>
        <v>48.58</v>
      </c>
      <c r="H52" s="25">
        <v>20</v>
      </c>
      <c r="I52" s="25">
        <f>H52-G52</f>
        <v>-28.58</v>
      </c>
    </row>
    <row r="53" spans="1:12">
      <c r="A53" t="s">
        <v>267</v>
      </c>
      <c r="B53" s="33" t="s">
        <v>152</v>
      </c>
      <c r="D53" s="18">
        <f>20+10+9.97+293.97-293.97</f>
        <v>39.970000000000027</v>
      </c>
      <c r="E53" s="19">
        <v>10</v>
      </c>
      <c r="F53" s="20"/>
      <c r="G53" s="25">
        <f t="shared" si="0"/>
        <v>49.970000000000027</v>
      </c>
      <c r="H53" s="25">
        <v>50</v>
      </c>
      <c r="I53" s="25">
        <f t="shared" si="1"/>
        <v>2.9999999999972715E-2</v>
      </c>
      <c r="J53" t="s">
        <v>456</v>
      </c>
      <c r="L53" t="s">
        <v>468</v>
      </c>
    </row>
    <row r="54" spans="1:12">
      <c r="A54" t="s">
        <v>454</v>
      </c>
      <c r="B54" s="33"/>
      <c r="D54" s="18"/>
      <c r="E54" s="19">
        <v>72.95</v>
      </c>
      <c r="F54" s="20"/>
      <c r="G54" s="25">
        <f t="shared" si="0"/>
        <v>72.95</v>
      </c>
      <c r="H54" s="25">
        <v>100</v>
      </c>
      <c r="I54" s="25">
        <f t="shared" si="1"/>
        <v>27.049999999999997</v>
      </c>
      <c r="J54" t="s">
        <v>455</v>
      </c>
    </row>
    <row r="55" spans="1:12">
      <c r="A55" t="s">
        <v>54</v>
      </c>
      <c r="D55" s="18">
        <f>23+13.97+6.15+6.2+27+10.9+4.44+8.72+5.7+51+6+10.89+2.99</f>
        <v>176.95999999999998</v>
      </c>
      <c r="E55" s="19"/>
      <c r="F55" s="20"/>
      <c r="G55" s="25">
        <f t="shared" si="0"/>
        <v>176.95999999999998</v>
      </c>
      <c r="H55" s="25">
        <v>50</v>
      </c>
      <c r="I55" s="25">
        <f t="shared" si="1"/>
        <v>-126.95999999999998</v>
      </c>
    </row>
    <row r="56" spans="1:12">
      <c r="A56" t="s">
        <v>180</v>
      </c>
      <c r="D56" s="18">
        <f>27.6+14.69+29.5+48.77+28.27</f>
        <v>148.83000000000001</v>
      </c>
      <c r="E56" s="19"/>
      <c r="F56" s="20"/>
      <c r="G56" s="25">
        <f t="shared" si="0"/>
        <v>148.83000000000001</v>
      </c>
      <c r="H56" s="25">
        <v>150</v>
      </c>
      <c r="I56" s="25">
        <f t="shared" si="1"/>
        <v>1.1699999999999875</v>
      </c>
    </row>
    <row r="57" spans="1:12">
      <c r="A57" t="s">
        <v>53</v>
      </c>
      <c r="B57" t="s">
        <v>148</v>
      </c>
      <c r="D57" s="18">
        <f>20+5+15+80+5</f>
        <v>125</v>
      </c>
      <c r="E57" s="19"/>
      <c r="F57" s="20"/>
      <c r="G57" s="25">
        <f t="shared" si="0"/>
        <v>125</v>
      </c>
      <c r="H57" s="25">
        <v>100</v>
      </c>
      <c r="I57" s="25">
        <f t="shared" si="1"/>
        <v>-25</v>
      </c>
    </row>
    <row r="58" spans="1:12">
      <c r="A58" t="s">
        <v>56</v>
      </c>
      <c r="B58" t="s">
        <v>151</v>
      </c>
      <c r="D58" s="18">
        <f>85.54</f>
        <v>85.54</v>
      </c>
      <c r="E58" s="19"/>
      <c r="F58" s="20"/>
      <c r="G58" s="25">
        <f t="shared" si="0"/>
        <v>85.54</v>
      </c>
      <c r="H58" s="25">
        <v>75</v>
      </c>
      <c r="I58" s="25">
        <f t="shared" si="1"/>
        <v>-10.540000000000006</v>
      </c>
    </row>
    <row r="59" spans="1:12">
      <c r="A59" t="s">
        <v>87</v>
      </c>
      <c r="D59" s="18"/>
      <c r="E59" s="19"/>
      <c r="F59" s="20"/>
      <c r="G59" s="25">
        <f t="shared" si="0"/>
        <v>0</v>
      </c>
      <c r="H59" s="25">
        <v>30</v>
      </c>
      <c r="I59" s="25">
        <f t="shared" si="1"/>
        <v>30</v>
      </c>
    </row>
    <row r="60" spans="1:12">
      <c r="A60" t="s">
        <v>153</v>
      </c>
      <c r="D60" s="18">
        <v>23.49</v>
      </c>
      <c r="E60" s="19"/>
      <c r="F60" s="20"/>
      <c r="G60" s="25">
        <f t="shared" si="0"/>
        <v>23.49</v>
      </c>
      <c r="H60" s="25">
        <v>50</v>
      </c>
      <c r="I60" s="25">
        <f t="shared" si="1"/>
        <v>26.51</v>
      </c>
    </row>
    <row r="61" spans="1:12">
      <c r="A61" t="s">
        <v>206</v>
      </c>
      <c r="B61" t="s">
        <v>184</v>
      </c>
      <c r="D61" s="18"/>
      <c r="E61" s="19"/>
      <c r="F61" s="20"/>
      <c r="G61" s="25">
        <f t="shared" si="0"/>
        <v>0</v>
      </c>
      <c r="H61" s="25">
        <v>20</v>
      </c>
      <c r="I61" s="25">
        <f t="shared" si="1"/>
        <v>20</v>
      </c>
    </row>
    <row r="62" spans="1:12">
      <c r="A62" t="s">
        <v>55</v>
      </c>
      <c r="B62" t="s">
        <v>57</v>
      </c>
      <c r="D62" s="18">
        <f>17.82+10.1</f>
        <v>27.92</v>
      </c>
      <c r="E62" s="19"/>
      <c r="F62" s="20"/>
      <c r="G62" s="25">
        <f t="shared" si="0"/>
        <v>27.92</v>
      </c>
      <c r="H62" s="25">
        <v>50</v>
      </c>
      <c r="I62" s="25">
        <f t="shared" si="1"/>
        <v>22.08</v>
      </c>
    </row>
    <row r="63" spans="1:12">
      <c r="A63" t="s">
        <v>182</v>
      </c>
      <c r="D63" s="18">
        <f>50.72-10</f>
        <v>40.72</v>
      </c>
      <c r="E63" s="19"/>
      <c r="F63" s="20"/>
      <c r="G63" s="25">
        <f t="shared" si="0"/>
        <v>40.72</v>
      </c>
      <c r="H63" s="25">
        <v>20</v>
      </c>
      <c r="I63" s="25">
        <f t="shared" si="1"/>
        <v>-20.72</v>
      </c>
      <c r="J63" t="s">
        <v>453</v>
      </c>
    </row>
    <row r="64" spans="1:12">
      <c r="A64" t="s">
        <v>141</v>
      </c>
      <c r="B64" t="s">
        <v>58</v>
      </c>
      <c r="D64" s="18"/>
      <c r="E64" s="19"/>
      <c r="F64" s="20"/>
      <c r="G64" s="25">
        <f t="shared" si="0"/>
        <v>0</v>
      </c>
      <c r="H64" s="25">
        <v>20</v>
      </c>
      <c r="I64" s="25">
        <f t="shared" si="1"/>
        <v>20</v>
      </c>
    </row>
    <row r="65" spans="1:10" ht="13.5" thickBot="1">
      <c r="A65" t="s">
        <v>145</v>
      </c>
      <c r="B65" t="s">
        <v>205</v>
      </c>
      <c r="D65" s="21"/>
      <c r="E65" s="22">
        <v>-2.9</v>
      </c>
      <c r="F65" s="23"/>
      <c r="G65" s="26">
        <f t="shared" si="0"/>
        <v>-2.9</v>
      </c>
      <c r="H65" s="26">
        <v>50</v>
      </c>
      <c r="I65" s="26">
        <f t="shared" si="1"/>
        <v>52.9</v>
      </c>
      <c r="J65" t="s">
        <v>457</v>
      </c>
    </row>
    <row r="66" spans="1:10">
      <c r="G66">
        <f>SUM(G49:G65)</f>
        <v>1300.2600000000002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66"/>
  <sheetViews>
    <sheetView workbookViewId="0">
      <selection activeCell="E20" sqref="E20"/>
    </sheetView>
  </sheetViews>
  <sheetFormatPr defaultRowHeight="12.75"/>
  <cols>
    <col min="1" max="1" width="17.85546875" customWidth="1"/>
    <col min="2" max="2" width="14.7109375" customWidth="1"/>
  </cols>
  <sheetData>
    <row r="1" spans="1:9" s="3" customFormat="1">
      <c r="A1" s="1" t="s">
        <v>15</v>
      </c>
      <c r="B1" s="4">
        <v>2010</v>
      </c>
    </row>
    <row r="2" spans="1:9" s="3" customFormat="1">
      <c r="A2" s="1" t="s">
        <v>1</v>
      </c>
      <c r="B2" s="1" t="s">
        <v>49</v>
      </c>
    </row>
    <row r="4" spans="1:9">
      <c r="A4" s="1" t="s">
        <v>18</v>
      </c>
      <c r="B4" s="5">
        <f>SUM(I5:I9)</f>
        <v>7358.68</v>
      </c>
      <c r="I4">
        <f>SUM(I5:I9)</f>
        <v>7358.68</v>
      </c>
    </row>
    <row r="5" spans="1:9">
      <c r="B5" t="s">
        <v>51</v>
      </c>
      <c r="C5">
        <v>3131.05</v>
      </c>
      <c r="D5">
        <v>296.20999999999998</v>
      </c>
      <c r="E5">
        <v>3131.05</v>
      </c>
      <c r="F5">
        <v>0</v>
      </c>
      <c r="G5">
        <v>0</v>
      </c>
      <c r="I5" s="3">
        <f>SUM(C5:H5)</f>
        <v>6558.31</v>
      </c>
    </row>
    <row r="6" spans="1:9">
      <c r="B6" t="s">
        <v>17</v>
      </c>
      <c r="C6">
        <v>0</v>
      </c>
      <c r="I6" s="3">
        <f>SUM(C6:H6)</f>
        <v>0</v>
      </c>
    </row>
    <row r="7" spans="1:9">
      <c r="B7" t="s">
        <v>52</v>
      </c>
      <c r="C7">
        <v>800.37</v>
      </c>
      <c r="I7" s="3">
        <f>SUM(C7:H7)</f>
        <v>800.37</v>
      </c>
    </row>
    <row r="8" spans="1:9">
      <c r="B8" t="s">
        <v>219</v>
      </c>
      <c r="C8">
        <v>0</v>
      </c>
      <c r="I8" s="3">
        <f>SUM(C8:H8)</f>
        <v>0</v>
      </c>
    </row>
    <row r="9" spans="1:9">
      <c r="B9" t="s">
        <v>235</v>
      </c>
      <c r="C9">
        <v>0</v>
      </c>
      <c r="I9" s="3">
        <f>SUM(C9:H9)</f>
        <v>0</v>
      </c>
    </row>
    <row r="11" spans="1:9">
      <c r="A11" s="1" t="s">
        <v>19</v>
      </c>
      <c r="B11" s="5">
        <f>Tithe!F14</f>
        <v>870</v>
      </c>
    </row>
    <row r="14" spans="1:9">
      <c r="A14" s="1" t="s">
        <v>20</v>
      </c>
      <c r="B14" s="5">
        <f>SUM(E15:E34)</f>
        <v>3943.8500000000004</v>
      </c>
    </row>
    <row r="15" spans="1:9">
      <c r="A15" s="1"/>
      <c r="B15" t="s">
        <v>26</v>
      </c>
      <c r="C15" t="s">
        <v>27</v>
      </c>
      <c r="E15">
        <v>2000</v>
      </c>
    </row>
    <row r="16" spans="1:9">
      <c r="B16" t="s">
        <v>0</v>
      </c>
      <c r="C16" t="s">
        <v>24</v>
      </c>
      <c r="E16">
        <v>107.81</v>
      </c>
    </row>
    <row r="17" spans="2:6">
      <c r="B17" t="s">
        <v>22</v>
      </c>
      <c r="C17" t="s">
        <v>78</v>
      </c>
      <c r="E17">
        <v>94.8</v>
      </c>
    </row>
    <row r="18" spans="2:6">
      <c r="B18" t="s">
        <v>21</v>
      </c>
    </row>
    <row r="19" spans="2:6">
      <c r="B19" t="s">
        <v>100</v>
      </c>
      <c r="C19" t="s">
        <v>28</v>
      </c>
      <c r="E19">
        <v>60.85</v>
      </c>
    </row>
    <row r="20" spans="2:6">
      <c r="B20" t="s">
        <v>29</v>
      </c>
      <c r="E20">
        <v>125</v>
      </c>
      <c r="F20" t="s">
        <v>480</v>
      </c>
    </row>
    <row r="21" spans="2:6">
      <c r="B21" t="s">
        <v>30</v>
      </c>
      <c r="C21" t="s">
        <v>27</v>
      </c>
      <c r="F21" t="s">
        <v>95</v>
      </c>
    </row>
    <row r="22" spans="2:6">
      <c r="B22" t="s">
        <v>30</v>
      </c>
      <c r="C22" t="s">
        <v>105</v>
      </c>
      <c r="E22">
        <v>570.34</v>
      </c>
      <c r="F22" t="s">
        <v>106</v>
      </c>
    </row>
    <row r="23" spans="2:6">
      <c r="B23" t="s">
        <v>30</v>
      </c>
      <c r="C23" t="s">
        <v>27</v>
      </c>
      <c r="E23">
        <v>731.05</v>
      </c>
      <c r="F23" t="s">
        <v>107</v>
      </c>
    </row>
    <row r="24" spans="2:6">
      <c r="B24" t="s">
        <v>96</v>
      </c>
    </row>
    <row r="25" spans="2:6">
      <c r="B25" t="s">
        <v>98</v>
      </c>
      <c r="C25" t="s">
        <v>212</v>
      </c>
    </row>
    <row r="26" spans="2:6">
      <c r="B26" t="s">
        <v>59</v>
      </c>
    </row>
    <row r="27" spans="2:6">
      <c r="B27" t="s">
        <v>97</v>
      </c>
    </row>
    <row r="28" spans="2:6">
      <c r="B28" t="s">
        <v>91</v>
      </c>
    </row>
    <row r="29" spans="2:6">
      <c r="B29" t="s">
        <v>99</v>
      </c>
    </row>
    <row r="30" spans="2:6">
      <c r="B30" t="s">
        <v>221</v>
      </c>
      <c r="C30" t="s">
        <v>222</v>
      </c>
      <c r="E30">
        <f>75+14+65</f>
        <v>154</v>
      </c>
      <c r="F30" t="s">
        <v>482</v>
      </c>
    </row>
    <row r="31" spans="2:6">
      <c r="B31" t="s">
        <v>87</v>
      </c>
      <c r="E31">
        <v>100</v>
      </c>
      <c r="F31" t="s">
        <v>490</v>
      </c>
    </row>
    <row r="36" spans="1:9">
      <c r="A36" s="1" t="s">
        <v>31</v>
      </c>
      <c r="B36" s="5">
        <f>B4-B11-B14</f>
        <v>2544.83</v>
      </c>
    </row>
    <row r="37" spans="1:9">
      <c r="A37" s="1"/>
      <c r="B37" s="1"/>
    </row>
    <row r="38" spans="1:9">
      <c r="A38" s="1" t="s">
        <v>32</v>
      </c>
      <c r="B38" s="5">
        <f>7.4+54.59</f>
        <v>61.99</v>
      </c>
      <c r="D38" t="s">
        <v>479</v>
      </c>
      <c r="E38" t="s">
        <v>34</v>
      </c>
    </row>
    <row r="39" spans="1:9">
      <c r="A39" s="1" t="s">
        <v>90</v>
      </c>
      <c r="B39" s="1">
        <v>-437.99</v>
      </c>
      <c r="D39" t="s">
        <v>481</v>
      </c>
    </row>
    <row r="40" spans="1:9">
      <c r="A40" s="1" t="s">
        <v>35</v>
      </c>
      <c r="B40" s="5">
        <v>0</v>
      </c>
      <c r="D40" t="s">
        <v>26</v>
      </c>
    </row>
    <row r="41" spans="1:9">
      <c r="A41" s="1"/>
      <c r="B41" s="1"/>
    </row>
    <row r="42" spans="1:9">
      <c r="A42" s="1" t="s">
        <v>36</v>
      </c>
      <c r="B42" s="5">
        <f>B36+B38+B39-B40</f>
        <v>2168.83</v>
      </c>
    </row>
    <row r="44" spans="1:9" ht="13.5" thickBot="1"/>
    <row r="45" spans="1:9" ht="13.5" thickBot="1">
      <c r="A45" t="s">
        <v>147</v>
      </c>
      <c r="D45" s="27" t="s">
        <v>105</v>
      </c>
      <c r="E45" s="28" t="s">
        <v>146</v>
      </c>
      <c r="F45" s="28" t="s">
        <v>146</v>
      </c>
      <c r="G45" s="29" t="s">
        <v>63</v>
      </c>
      <c r="H45" s="61" t="s">
        <v>411</v>
      </c>
      <c r="I45" s="51" t="s">
        <v>374</v>
      </c>
    </row>
    <row r="46" spans="1:9">
      <c r="A46" t="s">
        <v>175</v>
      </c>
      <c r="B46" s="48" t="s">
        <v>48</v>
      </c>
      <c r="D46" s="18">
        <f>E22</f>
        <v>570.34</v>
      </c>
      <c r="E46" s="19">
        <f>E23</f>
        <v>731.05</v>
      </c>
      <c r="F46" s="19">
        <f>E21</f>
        <v>0</v>
      </c>
      <c r="G46" s="20">
        <f>SUM(D46:F46)</f>
        <v>1301.3899999999999</v>
      </c>
      <c r="H46" s="24">
        <v>1700</v>
      </c>
      <c r="I46" s="17">
        <f>H46-G46</f>
        <v>398.61000000000013</v>
      </c>
    </row>
    <row r="47" spans="1:9">
      <c r="D47" s="18">
        <f>SUM(D49:D65)</f>
        <v>570.33999999999992</v>
      </c>
      <c r="E47" s="19">
        <f>SUM(E49:E65)</f>
        <v>731.05</v>
      </c>
      <c r="F47" s="19">
        <f>SUM(F49:F65)</f>
        <v>0</v>
      </c>
      <c r="G47" s="20">
        <f>SUM(D47:F47)</f>
        <v>1301.3899999999999</v>
      </c>
      <c r="H47" s="25">
        <f>SUM(H49:H65)</f>
        <v>1155</v>
      </c>
      <c r="I47" s="20">
        <f>H47-G47</f>
        <v>-146.38999999999987</v>
      </c>
    </row>
    <row r="48" spans="1:9" ht="13.5" thickBot="1">
      <c r="D48" s="30" t="s">
        <v>142</v>
      </c>
      <c r="E48" s="31" t="s">
        <v>143</v>
      </c>
      <c r="F48" s="31" t="s">
        <v>144</v>
      </c>
      <c r="G48" s="32"/>
      <c r="H48" s="52"/>
      <c r="I48" s="52" t="s">
        <v>375</v>
      </c>
    </row>
    <row r="49" spans="1:10">
      <c r="A49" t="s">
        <v>172</v>
      </c>
      <c r="B49" t="s">
        <v>173</v>
      </c>
      <c r="D49" s="15">
        <f>68.63</f>
        <v>68.63</v>
      </c>
      <c r="E49" s="16">
        <f>46.31+57.27+37.2+40.22+16.92+37.12+29.55+35.87+6.3+31.59</f>
        <v>338.35</v>
      </c>
      <c r="F49" s="17"/>
      <c r="G49" s="24">
        <f>SUM(D49:F49)</f>
        <v>406.98</v>
      </c>
      <c r="H49" s="24">
        <v>300</v>
      </c>
      <c r="I49" s="24">
        <f>H49-G49</f>
        <v>-106.98000000000002</v>
      </c>
      <c r="J49" t="s">
        <v>467</v>
      </c>
    </row>
    <row r="50" spans="1:10">
      <c r="A50" t="s">
        <v>174</v>
      </c>
      <c r="B50" t="s">
        <v>261</v>
      </c>
      <c r="D50" s="18"/>
      <c r="E50" s="19">
        <f>17.16+81.57-37.12-24.52+53.59-6.3-0.94-20-14.5-4-0.48</f>
        <v>44.46</v>
      </c>
      <c r="F50" s="20"/>
      <c r="G50" s="25">
        <f t="shared" ref="G50:G65" si="0">SUM(D50:F50)</f>
        <v>44.46</v>
      </c>
      <c r="H50" s="25">
        <v>50</v>
      </c>
      <c r="I50" s="25">
        <f t="shared" ref="I50:I65" si="1">H50-G50</f>
        <v>5.5399999999999991</v>
      </c>
    </row>
    <row r="51" spans="1:10">
      <c r="A51" t="s">
        <v>178</v>
      </c>
      <c r="D51" s="18"/>
      <c r="E51" s="19">
        <f>49.96+4</f>
        <v>53.96</v>
      </c>
      <c r="F51" s="20"/>
      <c r="G51" s="25">
        <f t="shared" si="0"/>
        <v>53.96</v>
      </c>
      <c r="H51" s="25">
        <v>20</v>
      </c>
      <c r="I51" s="25">
        <f t="shared" si="1"/>
        <v>-33.96</v>
      </c>
    </row>
    <row r="52" spans="1:10">
      <c r="A52" t="s">
        <v>179</v>
      </c>
      <c r="D52" s="18"/>
      <c r="E52" s="19"/>
      <c r="F52" s="20"/>
      <c r="G52" s="25">
        <f t="shared" si="0"/>
        <v>0</v>
      </c>
      <c r="H52" s="25">
        <v>20</v>
      </c>
      <c r="I52" s="25">
        <f>H52-G52</f>
        <v>20</v>
      </c>
    </row>
    <row r="53" spans="1:10">
      <c r="A53" t="s">
        <v>267</v>
      </c>
      <c r="B53" s="33" t="s">
        <v>152</v>
      </c>
      <c r="D53" s="18">
        <f>15+5+65.59+20.12+40.88</f>
        <v>146.59</v>
      </c>
      <c r="E53" s="19">
        <f>17.61+6.99+130.04-15.75+35.87+20</f>
        <v>194.76</v>
      </c>
      <c r="F53" s="20"/>
      <c r="G53" s="25">
        <f t="shared" si="0"/>
        <v>341.35</v>
      </c>
      <c r="H53" s="25">
        <v>50</v>
      </c>
      <c r="I53" s="25">
        <f t="shared" si="1"/>
        <v>-291.35000000000002</v>
      </c>
    </row>
    <row r="54" spans="1:10">
      <c r="A54" t="s">
        <v>176</v>
      </c>
      <c r="B54" s="33"/>
      <c r="D54" s="18"/>
      <c r="E54" s="19"/>
      <c r="F54" s="20"/>
      <c r="G54" s="25">
        <f t="shared" si="0"/>
        <v>0</v>
      </c>
      <c r="H54" s="25">
        <v>100</v>
      </c>
      <c r="I54" s="25">
        <f t="shared" si="1"/>
        <v>100</v>
      </c>
    </row>
    <row r="55" spans="1:10">
      <c r="A55" t="s">
        <v>54</v>
      </c>
      <c r="D55" s="18">
        <f>14.28+4.53+18.55+1.98+2.09+40+30+18.93+7.66</f>
        <v>138.01999999999998</v>
      </c>
      <c r="E55" s="19"/>
      <c r="F55" s="20"/>
      <c r="G55" s="25">
        <f t="shared" si="0"/>
        <v>138.01999999999998</v>
      </c>
      <c r="H55" s="25">
        <v>50</v>
      </c>
      <c r="I55" s="25">
        <f t="shared" si="1"/>
        <v>-88.019999999999982</v>
      </c>
    </row>
    <row r="56" spans="1:10">
      <c r="A56" t="s">
        <v>180</v>
      </c>
      <c r="D56" s="18">
        <f>31.39+37.69+30.92</f>
        <v>100</v>
      </c>
      <c r="E56" s="19"/>
      <c r="F56" s="20"/>
      <c r="G56" s="25">
        <f t="shared" si="0"/>
        <v>100</v>
      </c>
      <c r="H56" s="25">
        <v>150</v>
      </c>
      <c r="I56" s="25">
        <f t="shared" si="1"/>
        <v>50</v>
      </c>
    </row>
    <row r="57" spans="1:10">
      <c r="A57" t="s">
        <v>53</v>
      </c>
      <c r="B57" t="s">
        <v>148</v>
      </c>
      <c r="D57" s="18">
        <f>80</f>
        <v>80</v>
      </c>
      <c r="E57" s="19">
        <f>40.5</f>
        <v>40.5</v>
      </c>
      <c r="F57" s="20"/>
      <c r="G57" s="25">
        <f t="shared" si="0"/>
        <v>120.5</v>
      </c>
      <c r="H57" s="25">
        <v>100</v>
      </c>
      <c r="I57" s="25">
        <f t="shared" si="1"/>
        <v>-20.5</v>
      </c>
    </row>
    <row r="58" spans="1:10">
      <c r="A58" t="s">
        <v>56</v>
      </c>
      <c r="B58" t="s">
        <v>151</v>
      </c>
      <c r="D58" s="18">
        <f>84.99-84.99</f>
        <v>0</v>
      </c>
      <c r="E58" s="19"/>
      <c r="F58" s="20"/>
      <c r="G58" s="25">
        <f t="shared" si="0"/>
        <v>0</v>
      </c>
      <c r="H58" s="25">
        <v>75</v>
      </c>
      <c r="I58" s="25">
        <f t="shared" si="1"/>
        <v>75</v>
      </c>
    </row>
    <row r="59" spans="1:10">
      <c r="A59" t="s">
        <v>87</v>
      </c>
      <c r="D59" s="18">
        <f>13.46+5.49+4.97</f>
        <v>23.92</v>
      </c>
      <c r="E59" s="19">
        <v>24.52</v>
      </c>
      <c r="F59" s="20"/>
      <c r="G59" s="25">
        <f t="shared" si="0"/>
        <v>48.44</v>
      </c>
      <c r="H59" s="25">
        <v>30</v>
      </c>
      <c r="I59" s="25">
        <f t="shared" si="1"/>
        <v>-18.439999999999998</v>
      </c>
    </row>
    <row r="60" spans="1:10">
      <c r="A60" t="s">
        <v>153</v>
      </c>
      <c r="D60" s="18"/>
      <c r="E60" s="19"/>
      <c r="F60" s="20"/>
      <c r="G60" s="25">
        <f t="shared" si="0"/>
        <v>0</v>
      </c>
      <c r="H60" s="25">
        <v>50</v>
      </c>
      <c r="I60" s="25">
        <f t="shared" si="1"/>
        <v>50</v>
      </c>
    </row>
    <row r="61" spans="1:10">
      <c r="A61" t="s">
        <v>206</v>
      </c>
      <c r="B61" t="s">
        <v>184</v>
      </c>
      <c r="D61" s="18"/>
      <c r="E61" s="19"/>
      <c r="F61" s="20"/>
      <c r="G61" s="25">
        <f t="shared" si="0"/>
        <v>0</v>
      </c>
      <c r="H61" s="25">
        <v>20</v>
      </c>
      <c r="I61" s="25">
        <f t="shared" si="1"/>
        <v>20</v>
      </c>
    </row>
    <row r="62" spans="1:10">
      <c r="A62" t="s">
        <v>55</v>
      </c>
      <c r="B62" t="s">
        <v>57</v>
      </c>
      <c r="D62" s="18"/>
      <c r="E62" s="19"/>
      <c r="F62" s="20"/>
      <c r="G62" s="25">
        <f t="shared" si="0"/>
        <v>0</v>
      </c>
      <c r="H62" s="25">
        <v>50</v>
      </c>
      <c r="I62" s="25">
        <f t="shared" si="1"/>
        <v>50</v>
      </c>
    </row>
    <row r="63" spans="1:10">
      <c r="A63" t="s">
        <v>182</v>
      </c>
      <c r="D63" s="18"/>
      <c r="E63" s="19">
        <f>10+4.5</f>
        <v>14.5</v>
      </c>
      <c r="F63" s="20"/>
      <c r="G63" s="25">
        <f t="shared" si="0"/>
        <v>14.5</v>
      </c>
      <c r="H63" s="25">
        <v>20</v>
      </c>
      <c r="I63" s="25">
        <f t="shared" si="1"/>
        <v>5.5</v>
      </c>
      <c r="J63" t="s">
        <v>476</v>
      </c>
    </row>
    <row r="64" spans="1:10">
      <c r="A64" t="s">
        <v>141</v>
      </c>
      <c r="B64" t="s">
        <v>58</v>
      </c>
      <c r="D64" s="18"/>
      <c r="E64" s="19"/>
      <c r="F64" s="20"/>
      <c r="G64" s="25">
        <f t="shared" si="0"/>
        <v>0</v>
      </c>
      <c r="H64" s="25">
        <v>20</v>
      </c>
      <c r="I64" s="25">
        <f t="shared" si="1"/>
        <v>20</v>
      </c>
    </row>
    <row r="65" spans="1:9" ht="13.5" thickBot="1">
      <c r="A65" t="s">
        <v>145</v>
      </c>
      <c r="B65" t="s">
        <v>205</v>
      </c>
      <c r="D65" s="21">
        <f>3.18+10</f>
        <v>13.18</v>
      </c>
      <c r="E65" s="22">
        <v>20</v>
      </c>
      <c r="F65" s="23"/>
      <c r="G65" s="26">
        <f t="shared" si="0"/>
        <v>33.18</v>
      </c>
      <c r="H65" s="26">
        <v>50</v>
      </c>
      <c r="I65" s="26">
        <f t="shared" si="1"/>
        <v>16.82</v>
      </c>
    </row>
    <row r="66" spans="1:9">
      <c r="G66">
        <f>SUM(G49:G65)</f>
        <v>1301.3900000000001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3" sqref="G33"/>
    </sheetView>
  </sheetViews>
  <sheetFormatPr defaultRowHeight="12.7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E2" sqref="E2"/>
    </sheetView>
  </sheetViews>
  <sheetFormatPr defaultRowHeight="12.75"/>
  <cols>
    <col min="1" max="1" width="4.42578125" customWidth="1"/>
    <col min="2" max="2" width="25.28515625" customWidth="1"/>
    <col min="3" max="3" width="15.28515625" customWidth="1"/>
    <col min="4" max="4" width="11.85546875" customWidth="1"/>
    <col min="5" max="5" width="11.7109375" customWidth="1"/>
    <col min="6" max="6" width="11.28515625" customWidth="1"/>
  </cols>
  <sheetData>
    <row r="1" spans="1:6">
      <c r="A1" t="s">
        <v>110</v>
      </c>
    </row>
    <row r="2" spans="1:6">
      <c r="B2" t="s">
        <v>51</v>
      </c>
      <c r="E2">
        <f>3083.2*26</f>
        <v>80163.199999999997</v>
      </c>
      <c r="F2">
        <f>3083.2*26</f>
        <v>80163.199999999997</v>
      </c>
    </row>
    <row r="5" spans="1:6">
      <c r="A5" t="s">
        <v>111</v>
      </c>
      <c r="E5" t="s">
        <v>115</v>
      </c>
      <c r="F5" t="s">
        <v>114</v>
      </c>
    </row>
    <row r="6" spans="1:6">
      <c r="B6" t="s">
        <v>26</v>
      </c>
      <c r="C6" t="s">
        <v>27</v>
      </c>
      <c r="E6">
        <v>2000</v>
      </c>
      <c r="F6">
        <v>2000</v>
      </c>
    </row>
    <row r="7" spans="1:6">
      <c r="B7" t="s">
        <v>112</v>
      </c>
    </row>
    <row r="8" spans="1:6">
      <c r="B8" s="8" t="s">
        <v>0</v>
      </c>
      <c r="C8" t="s">
        <v>24</v>
      </c>
      <c r="E8">
        <v>90</v>
      </c>
      <c r="F8">
        <v>87</v>
      </c>
    </row>
    <row r="9" spans="1:6">
      <c r="B9" s="8" t="s">
        <v>22</v>
      </c>
      <c r="C9" t="s">
        <v>78</v>
      </c>
      <c r="E9">
        <v>50</v>
      </c>
      <c r="F9">
        <v>40</v>
      </c>
    </row>
    <row r="10" spans="1:6">
      <c r="B10" s="8" t="s">
        <v>21</v>
      </c>
      <c r="C10" t="s">
        <v>113</v>
      </c>
      <c r="E10">
        <v>160</v>
      </c>
      <c r="F10">
        <v>160</v>
      </c>
    </row>
    <row r="11" spans="1:6">
      <c r="B11" t="s">
        <v>14</v>
      </c>
      <c r="C11" t="s">
        <v>25</v>
      </c>
      <c r="E11">
        <v>0</v>
      </c>
      <c r="F11">
        <v>0</v>
      </c>
    </row>
    <row r="12" spans="1:6">
      <c r="B12" t="s">
        <v>100</v>
      </c>
      <c r="C12" t="s">
        <v>28</v>
      </c>
      <c r="E12">
        <v>61</v>
      </c>
      <c r="F12">
        <v>61</v>
      </c>
    </row>
    <row r="13" spans="1:6">
      <c r="B13" t="s">
        <v>29</v>
      </c>
      <c r="E13">
        <v>200</v>
      </c>
      <c r="F13">
        <v>100</v>
      </c>
    </row>
    <row r="14" spans="1:6">
      <c r="B14" t="s">
        <v>30</v>
      </c>
      <c r="C14" t="s">
        <v>27</v>
      </c>
      <c r="D14" t="s">
        <v>105</v>
      </c>
      <c r="E14">
        <v>1500</v>
      </c>
      <c r="F14">
        <v>1000</v>
      </c>
    </row>
    <row r="15" spans="1:6">
      <c r="B15" t="s">
        <v>116</v>
      </c>
      <c r="C15" t="s">
        <v>117</v>
      </c>
      <c r="E15" s="13">
        <f>SUM(C16:C20)/12</f>
        <v>840.32499999999993</v>
      </c>
      <c r="F15" s="13">
        <f>C21/12</f>
        <v>840.32499999999993</v>
      </c>
    </row>
    <row r="16" spans="1:6">
      <c r="B16" s="8" t="s">
        <v>118</v>
      </c>
      <c r="C16">
        <v>444.4</v>
      </c>
    </row>
    <row r="17" spans="2:6">
      <c r="B17" s="8" t="s">
        <v>119</v>
      </c>
      <c r="C17">
        <v>214</v>
      </c>
    </row>
    <row r="18" spans="2:6">
      <c r="B18" s="8" t="s">
        <v>120</v>
      </c>
      <c r="C18">
        <v>301.5</v>
      </c>
    </row>
    <row r="19" spans="2:6">
      <c r="B19" s="8" t="s">
        <v>121</v>
      </c>
      <c r="C19">
        <f>4272+4852</f>
        <v>9124</v>
      </c>
    </row>
    <row r="20" spans="2:6">
      <c r="B20" s="8" t="s">
        <v>122</v>
      </c>
    </row>
    <row r="21" spans="2:6" ht="13.5" thickBot="1">
      <c r="C21" s="11">
        <f>SUM(C16:C20)</f>
        <v>10083.9</v>
      </c>
    </row>
    <row r="22" spans="2:6" ht="13.5" thickTop="1"/>
    <row r="23" spans="2:6">
      <c r="D23" t="s">
        <v>63</v>
      </c>
      <c r="E23" s="13">
        <f>SUM(E6:E15)</f>
        <v>4901.3249999999998</v>
      </c>
      <c r="F23" s="13">
        <f>SUM(F6:F15)</f>
        <v>4288.3249999999998</v>
      </c>
    </row>
    <row r="26" spans="2:6">
      <c r="B26" t="s">
        <v>110</v>
      </c>
    </row>
    <row r="27" spans="2:6">
      <c r="C27" t="s">
        <v>51</v>
      </c>
      <c r="E27">
        <f>3083.2*2</f>
        <v>6166.4</v>
      </c>
      <c r="F27">
        <f>3083.2*2</f>
        <v>6166.4</v>
      </c>
    </row>
    <row r="28" spans="2:6">
      <c r="B28" t="s">
        <v>123</v>
      </c>
      <c r="E28" s="13">
        <f>E23</f>
        <v>4901.3249999999998</v>
      </c>
      <c r="F28" s="13">
        <f>F23</f>
        <v>4288.3249999999998</v>
      </c>
    </row>
    <row r="30" spans="2:6">
      <c r="B30" t="s">
        <v>124</v>
      </c>
      <c r="E30" s="13">
        <f>E27-E28</f>
        <v>1265.0749999999998</v>
      </c>
      <c r="F30" s="13">
        <f>F27-F28</f>
        <v>1878.0749999999998</v>
      </c>
    </row>
    <row r="33" spans="2:6">
      <c r="B33" t="s">
        <v>125</v>
      </c>
      <c r="C33" t="s">
        <v>126</v>
      </c>
      <c r="E33">
        <f>20000/12*0.67</f>
        <v>1116.6666666666667</v>
      </c>
      <c r="F33">
        <f>16000/12*0.67</f>
        <v>893.33333333333337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16"/>
  <sheetViews>
    <sheetView workbookViewId="0">
      <selection activeCell="P24" sqref="P24"/>
    </sheetView>
  </sheetViews>
  <sheetFormatPr defaultRowHeight="12.75"/>
  <cols>
    <col min="2" max="2" width="12.140625" customWidth="1"/>
    <col min="3" max="3" width="3.85546875" style="8" customWidth="1"/>
    <col min="4" max="4" width="25.140625" customWidth="1"/>
    <col min="5" max="5" width="10.140625" customWidth="1"/>
    <col min="6" max="6" width="12.140625" customWidth="1"/>
    <col min="7" max="7" width="10.42578125" customWidth="1"/>
    <col min="8" max="8" width="12" customWidth="1"/>
    <col min="10" max="10" width="20.5703125" customWidth="1"/>
    <col min="12" max="12" width="10" customWidth="1"/>
    <col min="13" max="13" width="4.28515625" customWidth="1"/>
    <col min="14" max="14" width="17.42578125" customWidth="1"/>
    <col min="15" max="15" width="16.5703125" customWidth="1"/>
    <col min="16" max="16" width="14.7109375" customWidth="1"/>
    <col min="17" max="17" width="14.140625" customWidth="1"/>
  </cols>
  <sheetData>
    <row r="1" spans="1:17">
      <c r="A1" s="1" t="s">
        <v>229</v>
      </c>
      <c r="J1" s="43" t="s">
        <v>230</v>
      </c>
      <c r="N1" s="43" t="s">
        <v>131</v>
      </c>
      <c r="Q1" t="s">
        <v>140</v>
      </c>
    </row>
    <row r="2" spans="1:17">
      <c r="B2" s="8" t="s">
        <v>38</v>
      </c>
      <c r="D2" s="8" t="s">
        <v>39</v>
      </c>
      <c r="F2" s="8" t="s">
        <v>40</v>
      </c>
      <c r="H2" s="8" t="s">
        <v>79</v>
      </c>
      <c r="J2" t="s">
        <v>67</v>
      </c>
      <c r="K2" t="s">
        <v>66</v>
      </c>
      <c r="L2" s="35">
        <v>400</v>
      </c>
      <c r="N2" t="s">
        <v>60</v>
      </c>
      <c r="O2" t="s">
        <v>156</v>
      </c>
      <c r="P2">
        <f>L28+L35+L42+L54+L61+L69+L80+L90+L96+L108+L117+L126</f>
        <v>4115</v>
      </c>
    </row>
    <row r="3" spans="1:17">
      <c r="A3" s="2" t="s">
        <v>16</v>
      </c>
      <c r="B3" s="9">
        <f>Jan!B4</f>
        <v>9308.17</v>
      </c>
      <c r="D3" s="10">
        <f>0.1*B3</f>
        <v>930.81700000000001</v>
      </c>
      <c r="F3">
        <f>B27</f>
        <v>980</v>
      </c>
      <c r="H3">
        <f>D3-F3</f>
        <v>-49.182999999999993</v>
      </c>
      <c r="J3" t="s">
        <v>164</v>
      </c>
      <c r="K3" t="s">
        <v>136</v>
      </c>
      <c r="L3">
        <v>1200</v>
      </c>
      <c r="N3" t="s">
        <v>60</v>
      </c>
      <c r="O3" t="s">
        <v>127</v>
      </c>
      <c r="P3">
        <f>G27+G33+G34+G41+G53+G60+G67+G78+G88+G94+G105+G114+G122</f>
        <v>3100</v>
      </c>
    </row>
    <row r="4" spans="1:17">
      <c r="A4" s="2" t="s">
        <v>37</v>
      </c>
      <c r="B4" s="10">
        <f>Feb!$B$4</f>
        <v>8461.56</v>
      </c>
      <c r="D4" s="10">
        <f>0.1*B4</f>
        <v>846.15599999999995</v>
      </c>
      <c r="F4">
        <f>B33</f>
        <v>1045</v>
      </c>
      <c r="H4">
        <f>H3+D4-F4</f>
        <v>-248.02700000000004</v>
      </c>
      <c r="J4" t="s">
        <v>165</v>
      </c>
      <c r="K4" t="s">
        <v>130</v>
      </c>
      <c r="L4">
        <v>1000</v>
      </c>
      <c r="N4" t="s">
        <v>66</v>
      </c>
      <c r="O4" t="s">
        <v>132</v>
      </c>
      <c r="P4">
        <f>G30+G57+G84+G111</f>
        <v>400</v>
      </c>
    </row>
    <row r="5" spans="1:17">
      <c r="A5" s="2" t="s">
        <v>41</v>
      </c>
      <c r="B5" s="10">
        <f>Mar!$B$4</f>
        <v>21035.03</v>
      </c>
      <c r="D5" s="10">
        <f>0.1*B5</f>
        <v>2103.5030000000002</v>
      </c>
      <c r="F5">
        <f>B41</f>
        <v>1210</v>
      </c>
      <c r="H5">
        <f>H4+D5-F5</f>
        <v>645.47600000000011</v>
      </c>
      <c r="J5" t="s">
        <v>159</v>
      </c>
      <c r="K5" t="s">
        <v>166</v>
      </c>
      <c r="L5">
        <v>800</v>
      </c>
      <c r="N5" t="s">
        <v>130</v>
      </c>
      <c r="O5" t="s">
        <v>133</v>
      </c>
      <c r="P5">
        <v>1000</v>
      </c>
    </row>
    <row r="6" spans="1:17">
      <c r="A6" s="2" t="s">
        <v>42</v>
      </c>
      <c r="B6" s="10">
        <f>Apr!$B$4</f>
        <v>9842.2800000000007</v>
      </c>
      <c r="D6" s="10">
        <f t="shared" ref="D6:D13" si="0">0.1*B6</f>
        <v>984.22800000000007</v>
      </c>
      <c r="F6">
        <f>B53</f>
        <v>1300</v>
      </c>
      <c r="H6">
        <f t="shared" ref="H6:H13" si="1">H5+D6-F6</f>
        <v>329.70400000000018</v>
      </c>
      <c r="J6" t="s">
        <v>336</v>
      </c>
      <c r="K6" t="s">
        <v>241</v>
      </c>
      <c r="L6">
        <v>600</v>
      </c>
      <c r="N6" t="s">
        <v>134</v>
      </c>
      <c r="O6" t="s">
        <v>135</v>
      </c>
      <c r="P6">
        <v>200</v>
      </c>
    </row>
    <row r="7" spans="1:17">
      <c r="A7" s="2" t="s">
        <v>6</v>
      </c>
      <c r="B7" s="10">
        <f>May!$B$4</f>
        <v>7761.88</v>
      </c>
      <c r="D7" s="10">
        <f t="shared" si="0"/>
        <v>776.1880000000001</v>
      </c>
      <c r="F7">
        <f>B60</f>
        <v>675</v>
      </c>
      <c r="H7">
        <f t="shared" si="1"/>
        <v>430.89200000000028</v>
      </c>
      <c r="J7" t="s">
        <v>73</v>
      </c>
      <c r="K7" t="s">
        <v>72</v>
      </c>
      <c r="L7">
        <v>400</v>
      </c>
      <c r="N7" t="s">
        <v>136</v>
      </c>
      <c r="O7" t="s">
        <v>137</v>
      </c>
      <c r="P7">
        <v>300</v>
      </c>
    </row>
    <row r="8" spans="1:17">
      <c r="A8" s="2" t="s">
        <v>43</v>
      </c>
      <c r="B8" s="10">
        <f>Jun!$B$4</f>
        <v>6538.36</v>
      </c>
      <c r="D8" s="10">
        <f t="shared" si="0"/>
        <v>653.83600000000001</v>
      </c>
      <c r="F8">
        <f>B67</f>
        <v>1220</v>
      </c>
      <c r="H8">
        <f t="shared" si="1"/>
        <v>-135.27199999999971</v>
      </c>
      <c r="J8" t="s">
        <v>169</v>
      </c>
      <c r="L8">
        <v>200</v>
      </c>
      <c r="N8" t="s">
        <v>130</v>
      </c>
      <c r="O8" t="s">
        <v>137</v>
      </c>
      <c r="P8">
        <v>900</v>
      </c>
    </row>
    <row r="9" spans="1:17">
      <c r="A9" s="2" t="s">
        <v>44</v>
      </c>
      <c r="B9" s="10">
        <f>July!$B$4</f>
        <v>10809.12</v>
      </c>
      <c r="D9" s="10">
        <f t="shared" si="0"/>
        <v>1080.912</v>
      </c>
      <c r="F9">
        <f>B78</f>
        <v>1065</v>
      </c>
      <c r="H9">
        <f t="shared" si="1"/>
        <v>-119.35999999999967</v>
      </c>
      <c r="J9" t="s">
        <v>75</v>
      </c>
      <c r="K9" t="s">
        <v>167</v>
      </c>
      <c r="L9">
        <v>50</v>
      </c>
      <c r="N9" t="s">
        <v>72</v>
      </c>
      <c r="O9" t="s">
        <v>139</v>
      </c>
      <c r="P9">
        <v>400</v>
      </c>
    </row>
    <row r="10" spans="1:17">
      <c r="A10" s="2" t="s">
        <v>45</v>
      </c>
      <c r="B10" s="10">
        <f>Aug!$B$4</f>
        <v>7338.7199999999993</v>
      </c>
      <c r="D10" s="10">
        <f t="shared" si="0"/>
        <v>733.87199999999996</v>
      </c>
      <c r="F10">
        <f>B88</f>
        <v>1275</v>
      </c>
      <c r="H10">
        <f t="shared" si="1"/>
        <v>-660.48799999999972</v>
      </c>
      <c r="J10" t="s">
        <v>128</v>
      </c>
      <c r="L10">
        <f>50*4</f>
        <v>200</v>
      </c>
      <c r="N10" t="s">
        <v>158</v>
      </c>
      <c r="O10" t="s">
        <v>159</v>
      </c>
      <c r="P10">
        <v>800</v>
      </c>
    </row>
    <row r="11" spans="1:17">
      <c r="A11" s="2" t="s">
        <v>46</v>
      </c>
      <c r="B11" s="10">
        <f>Sep!$B$4</f>
        <v>7790.8499999999995</v>
      </c>
      <c r="D11" s="10">
        <f t="shared" si="0"/>
        <v>779.08500000000004</v>
      </c>
      <c r="F11">
        <f>B94</f>
        <v>1175</v>
      </c>
      <c r="H11">
        <f t="shared" si="1"/>
        <v>-1056.4029999999998</v>
      </c>
      <c r="J11" t="s">
        <v>168</v>
      </c>
      <c r="L11">
        <f>250*12+25*4</f>
        <v>3100</v>
      </c>
      <c r="N11" t="s">
        <v>128</v>
      </c>
      <c r="P11">
        <f>50*4</f>
        <v>200</v>
      </c>
    </row>
    <row r="12" spans="1:17">
      <c r="A12" s="2" t="s">
        <v>47</v>
      </c>
      <c r="B12" s="10">
        <f>Oct!$B$4</f>
        <v>9342.41</v>
      </c>
      <c r="D12" s="10">
        <f t="shared" si="0"/>
        <v>934.24099999999999</v>
      </c>
      <c r="F12">
        <f>B105</f>
        <v>930</v>
      </c>
      <c r="H12">
        <f t="shared" si="1"/>
        <v>-1052.1619999999998</v>
      </c>
      <c r="J12" t="s">
        <v>60</v>
      </c>
      <c r="K12" t="s">
        <v>82</v>
      </c>
      <c r="L12">
        <f>200*12</f>
        <v>2400</v>
      </c>
      <c r="N12" t="s">
        <v>417</v>
      </c>
      <c r="O12" t="s">
        <v>422</v>
      </c>
      <c r="P12">
        <v>100</v>
      </c>
    </row>
    <row r="13" spans="1:17">
      <c r="A13" s="2" t="s">
        <v>48</v>
      </c>
      <c r="B13" s="10">
        <f>Nov!$B$4</f>
        <v>7069.3</v>
      </c>
      <c r="D13" s="10">
        <f t="shared" si="0"/>
        <v>706.93000000000006</v>
      </c>
      <c r="F13">
        <f>B114</f>
        <v>1169.2</v>
      </c>
      <c r="H13">
        <f t="shared" si="1"/>
        <v>-1514.4319999999998</v>
      </c>
      <c r="J13" t="s">
        <v>60</v>
      </c>
      <c r="K13" t="s">
        <v>216</v>
      </c>
      <c r="L13">
        <v>500</v>
      </c>
      <c r="N13" t="s">
        <v>241</v>
      </c>
      <c r="O13" t="s">
        <v>242</v>
      </c>
      <c r="P13">
        <f>50*12</f>
        <v>600</v>
      </c>
    </row>
    <row r="14" spans="1:17">
      <c r="A14" s="2" t="s">
        <v>49</v>
      </c>
      <c r="B14" s="10">
        <f>Dec!$B$4</f>
        <v>7358.68</v>
      </c>
      <c r="D14" s="10">
        <f>0.1*B14</f>
        <v>735.86800000000005</v>
      </c>
      <c r="F14">
        <f>B122</f>
        <v>870</v>
      </c>
      <c r="H14">
        <f>H13+D14-F14</f>
        <v>-1648.5639999999999</v>
      </c>
      <c r="J14" t="s">
        <v>60</v>
      </c>
      <c r="K14" t="s">
        <v>236</v>
      </c>
      <c r="L14">
        <v>250</v>
      </c>
      <c r="N14" t="s">
        <v>138</v>
      </c>
      <c r="O14" t="s">
        <v>75</v>
      </c>
      <c r="P14">
        <v>50</v>
      </c>
    </row>
    <row r="15" spans="1:17">
      <c r="J15" t="s">
        <v>60</v>
      </c>
      <c r="K15" t="s">
        <v>186</v>
      </c>
      <c r="L15">
        <f>30*52</f>
        <v>1560</v>
      </c>
      <c r="N15" t="s">
        <v>209</v>
      </c>
    </row>
    <row r="16" spans="1:17">
      <c r="A16" t="s">
        <v>50</v>
      </c>
      <c r="B16" s="9">
        <f>SUM(B3:B14)</f>
        <v>112656.36000000002</v>
      </c>
      <c r="C16" s="14"/>
      <c r="D16" s="9">
        <f>SUM(D3:D14)</f>
        <v>11265.636000000002</v>
      </c>
      <c r="F16" s="9">
        <f>SUM(F3:F14)</f>
        <v>12914.2</v>
      </c>
      <c r="L16" s="35">
        <f>SUM(L2:L15)</f>
        <v>12660</v>
      </c>
      <c r="N16" t="s">
        <v>83</v>
      </c>
      <c r="P16">
        <f>100+105</f>
        <v>205</v>
      </c>
    </row>
    <row r="17" spans="1:17">
      <c r="B17" s="9"/>
      <c r="C17" s="14"/>
      <c r="D17" s="9"/>
      <c r="F17" s="9"/>
      <c r="L17" s="35"/>
      <c r="N17" t="s">
        <v>215</v>
      </c>
      <c r="P17">
        <v>50</v>
      </c>
    </row>
    <row r="18" spans="1:17">
      <c r="B18" s="9"/>
      <c r="C18" s="14"/>
      <c r="D18" s="9"/>
      <c r="F18" s="45">
        <f>F16/B16</f>
        <v>0.11463356352007112</v>
      </c>
      <c r="K18" t="s">
        <v>171</v>
      </c>
      <c r="L18" s="36">
        <f>L16/12</f>
        <v>1055</v>
      </c>
      <c r="N18" t="s">
        <v>163</v>
      </c>
      <c r="P18">
        <v>50</v>
      </c>
    </row>
    <row r="19" spans="1:17">
      <c r="K19" t="s">
        <v>170</v>
      </c>
      <c r="L19" s="36">
        <f>L16/52</f>
        <v>243.46153846153845</v>
      </c>
      <c r="N19" t="s">
        <v>320</v>
      </c>
      <c r="P19">
        <v>25</v>
      </c>
    </row>
    <row r="20" spans="1:17">
      <c r="B20" s="9"/>
      <c r="C20" s="14"/>
      <c r="D20" s="9"/>
      <c r="F20" s="9"/>
      <c r="N20" t="s">
        <v>326</v>
      </c>
      <c r="O20" t="s">
        <v>327</v>
      </c>
      <c r="P20">
        <v>300</v>
      </c>
    </row>
    <row r="21" spans="1:17">
      <c r="B21" s="9"/>
      <c r="C21" s="14"/>
      <c r="D21" s="9"/>
      <c r="F21" s="9"/>
      <c r="N21" t="s">
        <v>353</v>
      </c>
      <c r="O21" t="s">
        <v>354</v>
      </c>
      <c r="P21">
        <v>50</v>
      </c>
    </row>
    <row r="22" spans="1:17">
      <c r="B22" s="9"/>
      <c r="C22" s="14"/>
      <c r="D22" s="9"/>
      <c r="F22" s="9"/>
      <c r="N22" t="s">
        <v>469</v>
      </c>
      <c r="P22">
        <v>49.2</v>
      </c>
    </row>
    <row r="23" spans="1:17">
      <c r="N23" t="s">
        <v>130</v>
      </c>
      <c r="O23" t="s">
        <v>223</v>
      </c>
      <c r="P23">
        <f>30*4</f>
        <v>120</v>
      </c>
    </row>
    <row r="24" spans="1:17" ht="13.5" thickBot="1">
      <c r="O24" t="s">
        <v>210</v>
      </c>
      <c r="P24" s="11">
        <f>SUM(P2:P23)</f>
        <v>13014.2</v>
      </c>
    </row>
    <row r="25" spans="1:17" ht="13.5" thickTop="1">
      <c r="A25" s="1" t="s">
        <v>80</v>
      </c>
    </row>
    <row r="26" spans="1:17">
      <c r="B26" s="8" t="s">
        <v>63</v>
      </c>
      <c r="E26" t="s">
        <v>61</v>
      </c>
      <c r="F26" t="s">
        <v>62</v>
      </c>
      <c r="G26" t="s">
        <v>64</v>
      </c>
      <c r="H26" t="s">
        <v>65</v>
      </c>
      <c r="L26" t="s">
        <v>208</v>
      </c>
      <c r="O26" t="s">
        <v>374</v>
      </c>
      <c r="P26" s="62">
        <f>P24-F16</f>
        <v>100</v>
      </c>
      <c r="Q26" t="s">
        <v>425</v>
      </c>
    </row>
    <row r="27" spans="1:17">
      <c r="A27" s="1" t="s">
        <v>16</v>
      </c>
      <c r="B27" s="7">
        <f>SUM(G27:G31)</f>
        <v>980</v>
      </c>
      <c r="D27" t="s">
        <v>60</v>
      </c>
      <c r="E27" t="s">
        <v>225</v>
      </c>
      <c r="F27" s="6">
        <v>40210</v>
      </c>
      <c r="G27">
        <v>250</v>
      </c>
      <c r="H27" t="s">
        <v>127</v>
      </c>
      <c r="J27" t="s">
        <v>103</v>
      </c>
    </row>
    <row r="28" spans="1:17">
      <c r="A28" s="1"/>
      <c r="B28" s="7"/>
      <c r="D28" t="s">
        <v>60</v>
      </c>
      <c r="E28">
        <v>1415</v>
      </c>
      <c r="F28" s="50" t="s">
        <v>338</v>
      </c>
      <c r="G28">
        <v>150</v>
      </c>
      <c r="H28" t="s">
        <v>186</v>
      </c>
      <c r="L28">
        <f>G28+G29</f>
        <v>350</v>
      </c>
    </row>
    <row r="29" spans="1:17">
      <c r="D29" t="s">
        <v>60</v>
      </c>
      <c r="E29">
        <v>1412</v>
      </c>
      <c r="F29" s="6" t="s">
        <v>339</v>
      </c>
      <c r="G29">
        <v>200</v>
      </c>
    </row>
    <row r="30" spans="1:17">
      <c r="D30" t="s">
        <v>66</v>
      </c>
      <c r="E30">
        <v>1417</v>
      </c>
      <c r="F30" s="6">
        <v>40300</v>
      </c>
      <c r="G30">
        <v>100</v>
      </c>
      <c r="H30" t="s">
        <v>67</v>
      </c>
      <c r="J30" t="s">
        <v>71</v>
      </c>
    </row>
    <row r="31" spans="1:17">
      <c r="D31" t="s">
        <v>68</v>
      </c>
      <c r="E31">
        <v>1418</v>
      </c>
      <c r="F31" s="6">
        <v>40300</v>
      </c>
      <c r="G31">
        <v>280</v>
      </c>
      <c r="H31" t="s">
        <v>108</v>
      </c>
      <c r="J31" t="s">
        <v>69</v>
      </c>
      <c r="K31" t="s">
        <v>70</v>
      </c>
    </row>
    <row r="32" spans="1:17">
      <c r="F32" s="6"/>
    </row>
    <row r="33" spans="1:12">
      <c r="A33" s="1" t="s">
        <v>37</v>
      </c>
      <c r="B33" s="1">
        <f>SUM(G33:G39)</f>
        <v>1045</v>
      </c>
      <c r="D33" t="s">
        <v>60</v>
      </c>
      <c r="E33" t="s">
        <v>225</v>
      </c>
      <c r="F33" s="6">
        <v>40180</v>
      </c>
      <c r="G33">
        <v>250</v>
      </c>
      <c r="H33" t="s">
        <v>127</v>
      </c>
      <c r="J33" t="s">
        <v>103</v>
      </c>
    </row>
    <row r="34" spans="1:12">
      <c r="A34" s="1"/>
      <c r="B34" s="1"/>
      <c r="D34" t="s">
        <v>60</v>
      </c>
      <c r="E34">
        <v>1416</v>
      </c>
      <c r="F34" s="6">
        <v>40300</v>
      </c>
      <c r="G34">
        <v>25</v>
      </c>
      <c r="H34" t="s">
        <v>127</v>
      </c>
      <c r="J34" t="s">
        <v>243</v>
      </c>
    </row>
    <row r="35" spans="1:12">
      <c r="A35" s="1"/>
      <c r="B35" s="1"/>
      <c r="D35" t="s">
        <v>60</v>
      </c>
      <c r="E35">
        <v>1423</v>
      </c>
      <c r="F35" s="6" t="s">
        <v>340</v>
      </c>
      <c r="G35">
        <v>120</v>
      </c>
      <c r="H35" t="s">
        <v>186</v>
      </c>
      <c r="L35">
        <f>G35+G36</f>
        <v>320</v>
      </c>
    </row>
    <row r="36" spans="1:12">
      <c r="D36" t="s">
        <v>60</v>
      </c>
      <c r="E36">
        <v>1425</v>
      </c>
      <c r="F36" s="6" t="s">
        <v>341</v>
      </c>
      <c r="G36">
        <v>200</v>
      </c>
    </row>
    <row r="37" spans="1:12">
      <c r="D37" t="s">
        <v>84</v>
      </c>
      <c r="E37">
        <v>1419</v>
      </c>
      <c r="F37" s="6">
        <v>40300</v>
      </c>
      <c r="G37">
        <v>300</v>
      </c>
      <c r="H37" t="s">
        <v>85</v>
      </c>
      <c r="J37" t="s">
        <v>86</v>
      </c>
    </row>
    <row r="38" spans="1:12">
      <c r="D38" t="s">
        <v>241</v>
      </c>
      <c r="E38">
        <v>1420</v>
      </c>
      <c r="F38" s="6">
        <v>40300</v>
      </c>
      <c r="G38">
        <v>100</v>
      </c>
      <c r="H38" t="s">
        <v>242</v>
      </c>
      <c r="J38" t="s">
        <v>240</v>
      </c>
    </row>
    <row r="39" spans="1:12">
      <c r="D39" t="s">
        <v>163</v>
      </c>
      <c r="E39">
        <v>1428</v>
      </c>
      <c r="F39" s="6" t="s">
        <v>342</v>
      </c>
      <c r="G39">
        <v>50</v>
      </c>
    </row>
    <row r="40" spans="1:12">
      <c r="F40" s="6"/>
    </row>
    <row r="41" spans="1:12">
      <c r="A41" s="1" t="s">
        <v>41</v>
      </c>
      <c r="B41" s="1">
        <f>SUM(G41:G51)</f>
        <v>1210</v>
      </c>
      <c r="D41" t="s">
        <v>60</v>
      </c>
      <c r="E41" t="s">
        <v>225</v>
      </c>
      <c r="F41" s="6">
        <v>40181</v>
      </c>
      <c r="G41">
        <v>250</v>
      </c>
      <c r="H41" t="s">
        <v>127</v>
      </c>
      <c r="J41" t="s">
        <v>103</v>
      </c>
    </row>
    <row r="42" spans="1:12">
      <c r="D42" t="s">
        <v>60</v>
      </c>
      <c r="E42">
        <v>1439</v>
      </c>
      <c r="F42" s="6" t="s">
        <v>343</v>
      </c>
      <c r="G42">
        <v>120</v>
      </c>
      <c r="H42" t="s">
        <v>186</v>
      </c>
      <c r="L42">
        <f>G42+G43+G44+G45</f>
        <v>460</v>
      </c>
    </row>
    <row r="43" spans="1:12">
      <c r="D43" t="s">
        <v>60</v>
      </c>
      <c r="E43">
        <v>1430</v>
      </c>
      <c r="F43" s="6" t="s">
        <v>344</v>
      </c>
      <c r="G43">
        <v>100</v>
      </c>
    </row>
    <row r="44" spans="1:12">
      <c r="D44" t="s">
        <v>60</v>
      </c>
      <c r="E44">
        <v>1438</v>
      </c>
      <c r="F44" s="6" t="s">
        <v>345</v>
      </c>
      <c r="G44">
        <v>210</v>
      </c>
      <c r="H44" t="s">
        <v>275</v>
      </c>
      <c r="J44" t="s">
        <v>276</v>
      </c>
    </row>
    <row r="45" spans="1:12">
      <c r="D45" t="s">
        <v>60</v>
      </c>
      <c r="E45">
        <v>1441</v>
      </c>
      <c r="F45" s="6" t="s">
        <v>346</v>
      </c>
      <c r="G45">
        <v>30</v>
      </c>
      <c r="H45" t="s">
        <v>275</v>
      </c>
      <c r="J45" t="s">
        <v>283</v>
      </c>
    </row>
    <row r="46" spans="1:12">
      <c r="D46" t="s">
        <v>241</v>
      </c>
      <c r="E46">
        <v>1431</v>
      </c>
      <c r="F46" s="6" t="s">
        <v>347</v>
      </c>
      <c r="G46">
        <v>50</v>
      </c>
      <c r="H46" t="s">
        <v>242</v>
      </c>
      <c r="J46" t="s">
        <v>240</v>
      </c>
    </row>
    <row r="47" spans="1:12">
      <c r="D47" t="s">
        <v>129</v>
      </c>
      <c r="E47">
        <v>1432</v>
      </c>
      <c r="F47" s="6" t="s">
        <v>347</v>
      </c>
      <c r="G47">
        <v>50</v>
      </c>
    </row>
    <row r="48" spans="1:12">
      <c r="D48" t="s">
        <v>134</v>
      </c>
      <c r="E48">
        <v>1435</v>
      </c>
      <c r="F48" s="6" t="s">
        <v>347</v>
      </c>
      <c r="G48">
        <v>50</v>
      </c>
      <c r="H48" t="s">
        <v>169</v>
      </c>
      <c r="J48" t="s">
        <v>198</v>
      </c>
    </row>
    <row r="49" spans="1:12">
      <c r="D49" t="s">
        <v>74</v>
      </c>
      <c r="E49">
        <v>1436</v>
      </c>
      <c r="F49" s="6" t="s">
        <v>347</v>
      </c>
      <c r="G49">
        <v>50</v>
      </c>
      <c r="H49" t="s">
        <v>75</v>
      </c>
    </row>
    <row r="50" spans="1:12">
      <c r="D50" t="s">
        <v>72</v>
      </c>
      <c r="E50">
        <v>1434</v>
      </c>
      <c r="F50" s="6" t="s">
        <v>347</v>
      </c>
      <c r="G50">
        <v>100</v>
      </c>
      <c r="H50" t="s">
        <v>73</v>
      </c>
      <c r="J50" t="s">
        <v>76</v>
      </c>
      <c r="K50" t="s">
        <v>77</v>
      </c>
    </row>
    <row r="51" spans="1:12">
      <c r="D51" t="s">
        <v>158</v>
      </c>
      <c r="E51">
        <v>1433</v>
      </c>
      <c r="F51" s="6" t="s">
        <v>347</v>
      </c>
      <c r="G51">
        <v>200</v>
      </c>
      <c r="H51" t="s">
        <v>159</v>
      </c>
      <c r="J51" t="s">
        <v>160</v>
      </c>
    </row>
    <row r="52" spans="1:12">
      <c r="F52" s="6"/>
    </row>
    <row r="53" spans="1:12">
      <c r="A53" s="1" t="s">
        <v>42</v>
      </c>
      <c r="B53" s="1">
        <f>SUM(G53:G58)</f>
        <v>1300</v>
      </c>
      <c r="D53" t="s">
        <v>60</v>
      </c>
      <c r="E53" t="s">
        <v>225</v>
      </c>
      <c r="F53" s="6">
        <v>40182</v>
      </c>
      <c r="G53">
        <v>250</v>
      </c>
      <c r="H53" t="s">
        <v>127</v>
      </c>
      <c r="J53" t="s">
        <v>103</v>
      </c>
    </row>
    <row r="54" spans="1:12">
      <c r="D54" t="s">
        <v>60</v>
      </c>
      <c r="E54">
        <v>1446</v>
      </c>
      <c r="F54" s="6">
        <v>40486</v>
      </c>
      <c r="G54">
        <v>120</v>
      </c>
      <c r="H54" t="s">
        <v>186</v>
      </c>
      <c r="L54">
        <f>G54+G55</f>
        <v>620</v>
      </c>
    </row>
    <row r="55" spans="1:12">
      <c r="D55" t="s">
        <v>60</v>
      </c>
      <c r="E55">
        <v>1442</v>
      </c>
      <c r="F55" s="6">
        <v>40272</v>
      </c>
      <c r="G55">
        <v>500</v>
      </c>
      <c r="H55" t="s">
        <v>284</v>
      </c>
    </row>
    <row r="56" spans="1:12">
      <c r="D56" t="s">
        <v>241</v>
      </c>
      <c r="E56">
        <v>1443</v>
      </c>
      <c r="F56" s="6">
        <v>40182</v>
      </c>
      <c r="G56">
        <v>50</v>
      </c>
      <c r="H56" t="s">
        <v>242</v>
      </c>
      <c r="J56" t="s">
        <v>240</v>
      </c>
    </row>
    <row r="57" spans="1:12">
      <c r="D57" t="s">
        <v>66</v>
      </c>
      <c r="E57">
        <v>1444</v>
      </c>
      <c r="F57" s="6">
        <v>40182</v>
      </c>
      <c r="G57">
        <v>100</v>
      </c>
      <c r="H57" t="s">
        <v>67</v>
      </c>
      <c r="J57" t="s">
        <v>81</v>
      </c>
    </row>
    <row r="58" spans="1:12">
      <c r="D58" t="s">
        <v>68</v>
      </c>
      <c r="E58">
        <v>1445</v>
      </c>
      <c r="F58" s="6">
        <v>40182</v>
      </c>
      <c r="G58">
        <v>280</v>
      </c>
      <c r="H58" t="s">
        <v>108</v>
      </c>
      <c r="J58" t="s">
        <v>69</v>
      </c>
      <c r="K58" t="s">
        <v>70</v>
      </c>
    </row>
    <row r="59" spans="1:12">
      <c r="F59" s="6"/>
    </row>
    <row r="60" spans="1:12">
      <c r="A60" s="1" t="s">
        <v>6</v>
      </c>
      <c r="B60" s="1">
        <f>SUM(G60:G65)</f>
        <v>675</v>
      </c>
      <c r="D60" t="s">
        <v>60</v>
      </c>
      <c r="E60" t="s">
        <v>225</v>
      </c>
      <c r="F60" s="6">
        <v>40183</v>
      </c>
      <c r="G60">
        <v>250</v>
      </c>
      <c r="H60" t="s">
        <v>88</v>
      </c>
    </row>
    <row r="61" spans="1:12">
      <c r="A61" s="1"/>
      <c r="B61" s="1"/>
      <c r="D61" t="s">
        <v>60</v>
      </c>
      <c r="E61">
        <v>1451</v>
      </c>
      <c r="F61" s="6">
        <v>40426</v>
      </c>
      <c r="G61">
        <v>150</v>
      </c>
      <c r="H61" t="s">
        <v>186</v>
      </c>
      <c r="L61">
        <f>G61+G62</f>
        <v>350</v>
      </c>
    </row>
    <row r="62" spans="1:12">
      <c r="A62" s="1"/>
      <c r="B62" s="1"/>
      <c r="D62" t="s">
        <v>60</v>
      </c>
      <c r="E62">
        <v>1452</v>
      </c>
      <c r="F62" s="6" t="s">
        <v>348</v>
      </c>
      <c r="G62">
        <v>200</v>
      </c>
    </row>
    <row r="63" spans="1:12">
      <c r="A63" s="1"/>
      <c r="B63" s="1"/>
      <c r="D63" t="s">
        <v>241</v>
      </c>
      <c r="E63" t="s">
        <v>225</v>
      </c>
      <c r="F63" s="6">
        <v>40303</v>
      </c>
      <c r="G63">
        <v>50</v>
      </c>
      <c r="H63" t="s">
        <v>242</v>
      </c>
      <c r="J63" t="s">
        <v>240</v>
      </c>
    </row>
    <row r="64" spans="1:12">
      <c r="A64" s="1"/>
      <c r="B64" s="1"/>
      <c r="D64" t="s">
        <v>326</v>
      </c>
      <c r="E64" t="s">
        <v>388</v>
      </c>
      <c r="F64" s="6">
        <v>40183</v>
      </c>
      <c r="G64">
        <v>0</v>
      </c>
      <c r="H64" t="s">
        <v>85</v>
      </c>
      <c r="J64" t="s">
        <v>86</v>
      </c>
    </row>
    <row r="65" spans="1:12">
      <c r="A65" s="1"/>
      <c r="B65" s="1"/>
      <c r="D65" t="s">
        <v>320</v>
      </c>
      <c r="E65">
        <v>1455</v>
      </c>
      <c r="F65" s="6" t="s">
        <v>349</v>
      </c>
      <c r="G65">
        <v>25</v>
      </c>
    </row>
    <row r="66" spans="1:12">
      <c r="A66" s="1"/>
      <c r="B66" s="1"/>
      <c r="F66" s="6"/>
    </row>
    <row r="67" spans="1:12">
      <c r="A67" s="1" t="s">
        <v>43</v>
      </c>
      <c r="B67" s="1">
        <f>SUM(G67:G77)</f>
        <v>1220</v>
      </c>
      <c r="D67" t="s">
        <v>60</v>
      </c>
      <c r="E67" t="s">
        <v>225</v>
      </c>
      <c r="F67" s="6">
        <v>40184</v>
      </c>
      <c r="G67">
        <v>250</v>
      </c>
      <c r="H67" t="s">
        <v>88</v>
      </c>
    </row>
    <row r="68" spans="1:12">
      <c r="A68" s="1"/>
      <c r="B68" s="1"/>
      <c r="D68" t="s">
        <v>60</v>
      </c>
      <c r="E68">
        <v>1464</v>
      </c>
      <c r="F68" s="47" t="s">
        <v>329</v>
      </c>
      <c r="G68">
        <v>120</v>
      </c>
      <c r="H68" t="s">
        <v>186</v>
      </c>
    </row>
    <row r="69" spans="1:12">
      <c r="A69" s="1"/>
      <c r="B69" s="1"/>
      <c r="D69" t="s">
        <v>60</v>
      </c>
      <c r="E69">
        <v>1459</v>
      </c>
      <c r="F69" s="47" t="s">
        <v>324</v>
      </c>
      <c r="G69">
        <v>100</v>
      </c>
      <c r="L69">
        <f>G68+G69</f>
        <v>220</v>
      </c>
    </row>
    <row r="70" spans="1:12">
      <c r="A70" s="1"/>
      <c r="B70" s="1"/>
      <c r="D70" t="s">
        <v>241</v>
      </c>
      <c r="E70" t="s">
        <v>225</v>
      </c>
      <c r="F70" s="6">
        <v>40304</v>
      </c>
      <c r="G70">
        <v>50</v>
      </c>
      <c r="H70" t="s">
        <v>242</v>
      </c>
      <c r="J70" t="s">
        <v>240</v>
      </c>
    </row>
    <row r="71" spans="1:12">
      <c r="A71" s="1"/>
      <c r="B71" s="1"/>
      <c r="D71" t="s">
        <v>129</v>
      </c>
      <c r="E71">
        <v>1461</v>
      </c>
      <c r="F71" s="47" t="s">
        <v>325</v>
      </c>
      <c r="G71">
        <v>50</v>
      </c>
    </row>
    <row r="72" spans="1:12">
      <c r="A72" s="1"/>
      <c r="B72" s="1"/>
      <c r="D72" t="s">
        <v>134</v>
      </c>
      <c r="E72">
        <v>1468</v>
      </c>
      <c r="F72" s="6">
        <v>40397</v>
      </c>
      <c r="G72">
        <v>50</v>
      </c>
      <c r="H72" t="s">
        <v>169</v>
      </c>
      <c r="J72" t="s">
        <v>198</v>
      </c>
    </row>
    <row r="73" spans="1:12">
      <c r="A73" s="1"/>
      <c r="B73" s="1"/>
      <c r="D73" t="s">
        <v>74</v>
      </c>
      <c r="F73" s="6"/>
      <c r="G73">
        <v>0</v>
      </c>
      <c r="H73" t="s">
        <v>75</v>
      </c>
    </row>
    <row r="74" spans="1:12">
      <c r="A74" s="1"/>
      <c r="B74" s="1"/>
      <c r="D74" t="s">
        <v>72</v>
      </c>
      <c r="E74">
        <v>1462</v>
      </c>
      <c r="F74" s="47" t="s">
        <v>325</v>
      </c>
      <c r="G74">
        <v>100</v>
      </c>
      <c r="H74" t="s">
        <v>73</v>
      </c>
      <c r="J74" t="s">
        <v>76</v>
      </c>
      <c r="K74" t="s">
        <v>77</v>
      </c>
    </row>
    <row r="75" spans="1:12">
      <c r="A75" s="1"/>
      <c r="B75" s="1"/>
      <c r="D75" t="s">
        <v>158</v>
      </c>
      <c r="E75">
        <v>1463</v>
      </c>
      <c r="F75" s="47" t="s">
        <v>325</v>
      </c>
      <c r="G75">
        <v>200</v>
      </c>
      <c r="H75" t="s">
        <v>159</v>
      </c>
      <c r="J75" t="s">
        <v>160</v>
      </c>
    </row>
    <row r="76" spans="1:12">
      <c r="A76" s="1"/>
      <c r="B76" s="1"/>
      <c r="D76" s="3" t="s">
        <v>326</v>
      </c>
      <c r="E76">
        <v>1460</v>
      </c>
      <c r="F76" s="47" t="s">
        <v>325</v>
      </c>
      <c r="G76">
        <v>300</v>
      </c>
      <c r="H76" s="3" t="s">
        <v>327</v>
      </c>
      <c r="J76" s="3" t="s">
        <v>328</v>
      </c>
    </row>
    <row r="77" spans="1:12">
      <c r="A77" s="1"/>
      <c r="B77" s="1"/>
      <c r="F77" s="6"/>
    </row>
    <row r="78" spans="1:12">
      <c r="A78" s="1" t="s">
        <v>44</v>
      </c>
      <c r="B78" s="1">
        <f>SUM(G78:G87)</f>
        <v>1065</v>
      </c>
      <c r="D78" t="s">
        <v>60</v>
      </c>
      <c r="E78" t="s">
        <v>225</v>
      </c>
      <c r="F78" s="6">
        <v>40185</v>
      </c>
      <c r="G78">
        <v>250</v>
      </c>
      <c r="H78" t="s">
        <v>88</v>
      </c>
    </row>
    <row r="79" spans="1:12">
      <c r="A79" s="1"/>
      <c r="B79" s="1"/>
      <c r="D79" t="s">
        <v>60</v>
      </c>
      <c r="E79">
        <v>1469</v>
      </c>
      <c r="F79" s="6">
        <v>40489</v>
      </c>
      <c r="G79">
        <v>120</v>
      </c>
      <c r="H79" t="s">
        <v>186</v>
      </c>
    </row>
    <row r="80" spans="1:12">
      <c r="A80" s="1"/>
      <c r="B80" s="1"/>
      <c r="D80" t="s">
        <v>60</v>
      </c>
      <c r="E80" s="49">
        <v>1470</v>
      </c>
      <c r="F80" s="6" t="s">
        <v>337</v>
      </c>
      <c r="G80">
        <v>25</v>
      </c>
      <c r="H80" t="s">
        <v>357</v>
      </c>
      <c r="L80">
        <f>G79+G80+G81</f>
        <v>285</v>
      </c>
    </row>
    <row r="81" spans="1:12">
      <c r="A81" s="1"/>
      <c r="B81" s="1"/>
      <c r="D81" t="s">
        <v>60</v>
      </c>
      <c r="E81" s="49">
        <v>1480</v>
      </c>
      <c r="F81" s="6" t="s">
        <v>359</v>
      </c>
      <c r="G81">
        <v>140</v>
      </c>
      <c r="H81" t="s">
        <v>358</v>
      </c>
    </row>
    <row r="82" spans="1:12">
      <c r="A82" s="1"/>
      <c r="B82" s="1"/>
      <c r="D82" t="s">
        <v>241</v>
      </c>
      <c r="E82" t="s">
        <v>225</v>
      </c>
      <c r="F82" s="6">
        <v>40305</v>
      </c>
      <c r="G82">
        <v>50</v>
      </c>
      <c r="H82" t="s">
        <v>242</v>
      </c>
      <c r="J82" t="s">
        <v>240</v>
      </c>
    </row>
    <row r="83" spans="1:12">
      <c r="A83" s="1"/>
      <c r="B83" s="1"/>
      <c r="D83" t="s">
        <v>215</v>
      </c>
      <c r="E83">
        <v>1473</v>
      </c>
      <c r="F83" s="6">
        <v>40397</v>
      </c>
      <c r="G83">
        <v>50</v>
      </c>
      <c r="H83" t="s">
        <v>423</v>
      </c>
    </row>
    <row r="84" spans="1:12">
      <c r="A84" s="1"/>
      <c r="B84" s="1"/>
      <c r="D84" t="s">
        <v>66</v>
      </c>
      <c r="E84">
        <v>1471</v>
      </c>
      <c r="F84" s="6">
        <v>40397</v>
      </c>
      <c r="G84">
        <v>100</v>
      </c>
      <c r="H84" t="s">
        <v>67</v>
      </c>
      <c r="J84" t="s">
        <v>81</v>
      </c>
    </row>
    <row r="85" spans="1:12">
      <c r="A85" s="1"/>
      <c r="B85" s="1"/>
      <c r="D85" t="s">
        <v>68</v>
      </c>
      <c r="E85">
        <v>1472</v>
      </c>
      <c r="F85" s="6">
        <v>40397</v>
      </c>
      <c r="G85">
        <v>280</v>
      </c>
      <c r="H85" t="s">
        <v>108</v>
      </c>
      <c r="J85" t="s">
        <v>69</v>
      </c>
      <c r="K85" t="s">
        <v>70</v>
      </c>
    </row>
    <row r="86" spans="1:12">
      <c r="A86" s="1"/>
      <c r="B86" s="1"/>
      <c r="D86" t="s">
        <v>353</v>
      </c>
      <c r="E86">
        <v>1475</v>
      </c>
      <c r="F86" s="6">
        <v>40428</v>
      </c>
      <c r="G86">
        <v>50</v>
      </c>
      <c r="H86" t="s">
        <v>354</v>
      </c>
      <c r="J86" t="s">
        <v>424</v>
      </c>
    </row>
    <row r="87" spans="1:12">
      <c r="A87" s="1"/>
      <c r="B87" s="1"/>
      <c r="F87" s="6"/>
    </row>
    <row r="88" spans="1:12">
      <c r="A88" s="1" t="s">
        <v>45</v>
      </c>
      <c r="B88" s="1">
        <f>SUM(G88:G92)</f>
        <v>1275</v>
      </c>
      <c r="D88" t="s">
        <v>60</v>
      </c>
      <c r="E88" t="s">
        <v>372</v>
      </c>
      <c r="F88" s="6">
        <v>40186</v>
      </c>
      <c r="G88">
        <f>250+25</f>
        <v>275</v>
      </c>
      <c r="H88" t="s">
        <v>88</v>
      </c>
      <c r="J88" t="s">
        <v>304</v>
      </c>
    </row>
    <row r="89" spans="1:12">
      <c r="A89" s="1"/>
      <c r="B89" s="1"/>
      <c r="D89" t="s">
        <v>60</v>
      </c>
      <c r="E89">
        <v>1482</v>
      </c>
      <c r="F89" s="6">
        <v>40186</v>
      </c>
      <c r="G89">
        <v>150</v>
      </c>
      <c r="H89" t="s">
        <v>186</v>
      </c>
    </row>
    <row r="90" spans="1:12">
      <c r="D90" t="s">
        <v>60</v>
      </c>
      <c r="E90">
        <v>1486</v>
      </c>
      <c r="F90" s="6" t="s">
        <v>396</v>
      </c>
      <c r="G90">
        <v>200</v>
      </c>
      <c r="L90">
        <f>G89+G90</f>
        <v>350</v>
      </c>
    </row>
    <row r="91" spans="1:12">
      <c r="D91" t="s">
        <v>241</v>
      </c>
      <c r="E91" t="s">
        <v>225</v>
      </c>
      <c r="F91" s="6">
        <v>40306</v>
      </c>
      <c r="G91">
        <v>50</v>
      </c>
      <c r="H91" t="s">
        <v>242</v>
      </c>
      <c r="J91" t="s">
        <v>240</v>
      </c>
    </row>
    <row r="92" spans="1:12">
      <c r="D92" t="s">
        <v>68</v>
      </c>
      <c r="E92">
        <v>1484</v>
      </c>
      <c r="F92" s="6">
        <v>40398</v>
      </c>
      <c r="G92">
        <v>600</v>
      </c>
      <c r="H92" t="s">
        <v>85</v>
      </c>
      <c r="J92" t="s">
        <v>86</v>
      </c>
    </row>
    <row r="93" spans="1:12">
      <c r="F93" s="6"/>
    </row>
    <row r="94" spans="1:12">
      <c r="A94" s="1" t="s">
        <v>46</v>
      </c>
      <c r="B94" s="1">
        <f>SUM(G94:G103)</f>
        <v>1175</v>
      </c>
      <c r="D94" t="s">
        <v>60</v>
      </c>
      <c r="E94" t="s">
        <v>225</v>
      </c>
      <c r="F94" s="6">
        <v>40187</v>
      </c>
      <c r="G94">
        <v>250</v>
      </c>
      <c r="H94" t="s">
        <v>88</v>
      </c>
      <c r="I94" t="s">
        <v>89</v>
      </c>
    </row>
    <row r="95" spans="1:12">
      <c r="A95" s="1"/>
      <c r="B95" s="1"/>
      <c r="D95" t="s">
        <v>60</v>
      </c>
      <c r="E95">
        <v>1490</v>
      </c>
      <c r="F95" s="6">
        <v>40307</v>
      </c>
      <c r="G95">
        <v>120</v>
      </c>
      <c r="H95" t="s">
        <v>186</v>
      </c>
    </row>
    <row r="96" spans="1:12">
      <c r="A96" s="1"/>
      <c r="B96" s="1"/>
      <c r="D96" t="s">
        <v>60</v>
      </c>
      <c r="E96">
        <v>1497</v>
      </c>
      <c r="F96" s="6" t="s">
        <v>416</v>
      </c>
      <c r="G96">
        <v>200</v>
      </c>
      <c r="L96">
        <f>G95+G96</f>
        <v>320</v>
      </c>
    </row>
    <row r="97" spans="1:12">
      <c r="A97" s="1"/>
      <c r="B97" s="1"/>
      <c r="D97" t="s">
        <v>241</v>
      </c>
      <c r="E97" t="s">
        <v>225</v>
      </c>
      <c r="F97" s="6">
        <v>40307</v>
      </c>
      <c r="G97">
        <v>50</v>
      </c>
      <c r="H97" t="s">
        <v>242</v>
      </c>
      <c r="J97" t="s">
        <v>240</v>
      </c>
    </row>
    <row r="98" spans="1:12">
      <c r="A98" s="1"/>
      <c r="B98" s="1"/>
      <c r="D98" t="s">
        <v>129</v>
      </c>
      <c r="E98">
        <v>1496</v>
      </c>
      <c r="F98" s="6">
        <v>40460</v>
      </c>
      <c r="G98">
        <v>50</v>
      </c>
    </row>
    <row r="99" spans="1:12">
      <c r="A99" s="1"/>
      <c r="B99" s="1"/>
      <c r="D99" t="s">
        <v>134</v>
      </c>
      <c r="E99">
        <v>1495</v>
      </c>
      <c r="F99" s="6">
        <v>40460</v>
      </c>
      <c r="G99">
        <v>50</v>
      </c>
      <c r="H99" t="s">
        <v>169</v>
      </c>
      <c r="J99" t="s">
        <v>198</v>
      </c>
    </row>
    <row r="100" spans="1:12">
      <c r="A100" s="1"/>
      <c r="B100" s="1"/>
      <c r="D100" t="s">
        <v>417</v>
      </c>
      <c r="E100">
        <v>1499</v>
      </c>
      <c r="F100" s="6" t="s">
        <v>418</v>
      </c>
      <c r="G100">
        <v>50</v>
      </c>
      <c r="H100" t="s">
        <v>419</v>
      </c>
      <c r="J100" t="s">
        <v>420</v>
      </c>
    </row>
    <row r="101" spans="1:12">
      <c r="A101" s="1"/>
      <c r="B101" s="1"/>
      <c r="D101" t="s">
        <v>72</v>
      </c>
      <c r="E101">
        <v>1494</v>
      </c>
      <c r="F101" s="6">
        <v>40460</v>
      </c>
      <c r="G101">
        <v>100</v>
      </c>
      <c r="H101" t="s">
        <v>73</v>
      </c>
      <c r="J101" t="s">
        <v>76</v>
      </c>
    </row>
    <row r="102" spans="1:12">
      <c r="A102" s="1"/>
      <c r="B102" s="1"/>
      <c r="D102" t="s">
        <v>158</v>
      </c>
      <c r="E102">
        <v>1493</v>
      </c>
      <c r="F102" s="6">
        <v>40460</v>
      </c>
      <c r="G102">
        <v>200</v>
      </c>
      <c r="H102" t="s">
        <v>159</v>
      </c>
      <c r="J102" t="s">
        <v>160</v>
      </c>
      <c r="K102" t="s">
        <v>77</v>
      </c>
    </row>
    <row r="103" spans="1:12">
      <c r="A103" s="1"/>
      <c r="B103" s="1"/>
      <c r="D103" t="s">
        <v>83</v>
      </c>
      <c r="E103">
        <v>1498</v>
      </c>
      <c r="F103" s="6" t="s">
        <v>418</v>
      </c>
      <c r="G103">
        <v>105</v>
      </c>
      <c r="H103" t="s">
        <v>421</v>
      </c>
    </row>
    <row r="104" spans="1:12">
      <c r="A104" s="1"/>
      <c r="B104" s="1"/>
      <c r="F104" s="6"/>
    </row>
    <row r="105" spans="1:12">
      <c r="A105" s="1" t="s">
        <v>47</v>
      </c>
      <c r="B105" s="1">
        <f>SUM(G105:G112)</f>
        <v>930</v>
      </c>
      <c r="D105" t="s">
        <v>60</v>
      </c>
      <c r="E105" t="s">
        <v>462</v>
      </c>
      <c r="F105" s="6">
        <v>40188</v>
      </c>
      <c r="G105">
        <f>250+50</f>
        <v>300</v>
      </c>
      <c r="H105" t="s">
        <v>88</v>
      </c>
      <c r="I105" t="s">
        <v>177</v>
      </c>
    </row>
    <row r="106" spans="1:12">
      <c r="A106" s="1"/>
      <c r="B106" s="1"/>
      <c r="D106" t="s">
        <v>60</v>
      </c>
      <c r="E106">
        <v>1509</v>
      </c>
      <c r="F106" s="6">
        <v>40461</v>
      </c>
      <c r="G106">
        <v>100</v>
      </c>
      <c r="H106" t="s">
        <v>186</v>
      </c>
    </row>
    <row r="107" spans="1:12">
      <c r="A107" s="1"/>
      <c r="B107" s="1"/>
      <c r="D107" t="s">
        <v>60</v>
      </c>
      <c r="F107" s="6"/>
      <c r="G107">
        <v>0</v>
      </c>
    </row>
    <row r="108" spans="1:12">
      <c r="A108" s="1"/>
      <c r="B108" s="1"/>
      <c r="D108" t="s">
        <v>60</v>
      </c>
      <c r="E108">
        <v>1513</v>
      </c>
      <c r="F108" s="6" t="s">
        <v>458</v>
      </c>
      <c r="G108">
        <v>100</v>
      </c>
      <c r="L108">
        <f>G106+G107+G108</f>
        <v>200</v>
      </c>
    </row>
    <row r="109" spans="1:12">
      <c r="A109" s="1"/>
      <c r="B109" s="1"/>
      <c r="D109" t="s">
        <v>241</v>
      </c>
      <c r="E109" t="s">
        <v>225</v>
      </c>
      <c r="F109" s="6">
        <v>40308</v>
      </c>
      <c r="G109">
        <v>50</v>
      </c>
      <c r="H109" t="s">
        <v>242</v>
      </c>
      <c r="J109" t="s">
        <v>240</v>
      </c>
    </row>
    <row r="110" spans="1:12">
      <c r="A110" s="1"/>
      <c r="B110" s="1"/>
      <c r="D110" t="s">
        <v>215</v>
      </c>
      <c r="F110" s="6"/>
    </row>
    <row r="111" spans="1:12">
      <c r="A111" s="1"/>
      <c r="B111" s="1"/>
      <c r="D111" t="s">
        <v>66</v>
      </c>
      <c r="E111">
        <v>1509</v>
      </c>
      <c r="F111" s="6">
        <v>40188</v>
      </c>
      <c r="G111">
        <v>100</v>
      </c>
      <c r="H111" t="s">
        <v>67</v>
      </c>
      <c r="J111" t="s">
        <v>81</v>
      </c>
    </row>
    <row r="112" spans="1:12">
      <c r="A112" s="1"/>
      <c r="B112" s="1"/>
      <c r="D112" t="s">
        <v>68</v>
      </c>
      <c r="E112">
        <v>1505</v>
      </c>
      <c r="F112" s="6">
        <v>40188</v>
      </c>
      <c r="G112">
        <v>280</v>
      </c>
      <c r="H112" t="s">
        <v>108</v>
      </c>
      <c r="J112" t="s">
        <v>69</v>
      </c>
    </row>
    <row r="113" spans="1:12">
      <c r="A113" s="1"/>
      <c r="B113" s="1"/>
      <c r="F113" s="6"/>
      <c r="K113" t="s">
        <v>70</v>
      </c>
    </row>
    <row r="114" spans="1:12">
      <c r="A114" s="1" t="s">
        <v>48</v>
      </c>
      <c r="B114" s="1">
        <f>SUM(G114:G120)</f>
        <v>1169.2</v>
      </c>
      <c r="D114" t="s">
        <v>60</v>
      </c>
      <c r="E114" t="s">
        <v>225</v>
      </c>
      <c r="F114" s="6">
        <v>40189</v>
      </c>
      <c r="G114">
        <v>250</v>
      </c>
      <c r="H114" t="s">
        <v>127</v>
      </c>
      <c r="I114" t="s">
        <v>89</v>
      </c>
    </row>
    <row r="115" spans="1:12">
      <c r="A115" s="1"/>
      <c r="B115" s="1"/>
      <c r="D115" t="s">
        <v>60</v>
      </c>
      <c r="E115">
        <v>1522</v>
      </c>
      <c r="F115" s="6" t="s">
        <v>463</v>
      </c>
      <c r="G115">
        <v>120</v>
      </c>
      <c r="H115" t="s">
        <v>186</v>
      </c>
    </row>
    <row r="116" spans="1:12">
      <c r="A116" s="1"/>
      <c r="B116" s="1"/>
      <c r="D116" t="s">
        <v>60</v>
      </c>
      <c r="E116">
        <v>1523</v>
      </c>
      <c r="F116" s="6" t="s">
        <v>464</v>
      </c>
      <c r="G116">
        <v>300</v>
      </c>
      <c r="H116" t="s">
        <v>228</v>
      </c>
    </row>
    <row r="117" spans="1:12">
      <c r="D117" t="s">
        <v>60</v>
      </c>
      <c r="E117">
        <v>1524</v>
      </c>
      <c r="F117" s="6" t="s">
        <v>465</v>
      </c>
      <c r="G117">
        <v>100</v>
      </c>
      <c r="L117">
        <f>G115+G116+G117</f>
        <v>520</v>
      </c>
    </row>
    <row r="118" spans="1:12">
      <c r="D118" t="s">
        <v>241</v>
      </c>
      <c r="E118" t="s">
        <v>225</v>
      </c>
      <c r="F118" s="6">
        <v>40309</v>
      </c>
      <c r="G118">
        <v>50</v>
      </c>
      <c r="H118" t="s">
        <v>242</v>
      </c>
      <c r="J118" t="s">
        <v>240</v>
      </c>
    </row>
    <row r="119" spans="1:12">
      <c r="D119" t="s">
        <v>68</v>
      </c>
      <c r="E119">
        <v>1517</v>
      </c>
      <c r="F119" s="6">
        <v>40189</v>
      </c>
      <c r="G119">
        <v>300</v>
      </c>
      <c r="H119" t="s">
        <v>85</v>
      </c>
      <c r="J119" t="s">
        <v>86</v>
      </c>
    </row>
    <row r="120" spans="1:12">
      <c r="D120" t="s">
        <v>469</v>
      </c>
      <c r="E120">
        <v>1530</v>
      </c>
      <c r="F120" s="6" t="s">
        <v>470</v>
      </c>
      <c r="G120">
        <v>49.2</v>
      </c>
      <c r="H120" t="s">
        <v>471</v>
      </c>
    </row>
    <row r="121" spans="1:12">
      <c r="F121" s="6"/>
    </row>
    <row r="122" spans="1:12">
      <c r="A122" s="1" t="s">
        <v>49</v>
      </c>
      <c r="B122" s="1">
        <f>SUM(G122:G133)</f>
        <v>870</v>
      </c>
      <c r="D122" t="s">
        <v>60</v>
      </c>
      <c r="E122" t="s">
        <v>225</v>
      </c>
      <c r="F122" s="6">
        <v>40190</v>
      </c>
      <c r="G122">
        <v>250</v>
      </c>
      <c r="H122" t="s">
        <v>88</v>
      </c>
      <c r="J122" t="s">
        <v>103</v>
      </c>
    </row>
    <row r="123" spans="1:12">
      <c r="D123" t="s">
        <v>60</v>
      </c>
      <c r="E123">
        <v>1534</v>
      </c>
      <c r="F123" s="6">
        <v>40524</v>
      </c>
      <c r="G123">
        <v>120</v>
      </c>
      <c r="H123" t="s">
        <v>472</v>
      </c>
    </row>
    <row r="124" spans="1:12">
      <c r="D124" t="s">
        <v>60</v>
      </c>
      <c r="E124">
        <v>1544</v>
      </c>
      <c r="F124" s="6" t="s">
        <v>488</v>
      </c>
      <c r="G124">
        <v>0</v>
      </c>
      <c r="H124" t="s">
        <v>216</v>
      </c>
    </row>
    <row r="125" spans="1:12">
      <c r="D125" t="s">
        <v>60</v>
      </c>
      <c r="E125">
        <v>1543</v>
      </c>
      <c r="F125" s="6" t="s">
        <v>487</v>
      </c>
      <c r="G125">
        <v>0</v>
      </c>
      <c r="H125" t="s">
        <v>489</v>
      </c>
    </row>
    <row r="126" spans="1:12">
      <c r="D126" t="s">
        <v>60</v>
      </c>
      <c r="E126">
        <v>1540</v>
      </c>
      <c r="F126" s="6" t="s">
        <v>487</v>
      </c>
      <c r="G126">
        <v>0</v>
      </c>
      <c r="L126">
        <f>G123+G124+G126+G125</f>
        <v>120</v>
      </c>
    </row>
    <row r="127" spans="1:12">
      <c r="D127" t="s">
        <v>241</v>
      </c>
      <c r="E127" t="s">
        <v>225</v>
      </c>
      <c r="F127" s="6">
        <v>40310</v>
      </c>
      <c r="G127">
        <v>50</v>
      </c>
      <c r="H127" t="s">
        <v>242</v>
      </c>
      <c r="J127" t="s">
        <v>240</v>
      </c>
    </row>
    <row r="128" spans="1:12">
      <c r="D128" t="s">
        <v>129</v>
      </c>
      <c r="E128">
        <v>1537</v>
      </c>
      <c r="F128" s="6" t="s">
        <v>486</v>
      </c>
      <c r="G128">
        <v>50</v>
      </c>
    </row>
    <row r="129" spans="4:12">
      <c r="D129" t="s">
        <v>134</v>
      </c>
      <c r="E129">
        <v>1538</v>
      </c>
      <c r="F129" s="6" t="s">
        <v>486</v>
      </c>
      <c r="G129">
        <v>50</v>
      </c>
      <c r="H129" t="s">
        <v>169</v>
      </c>
      <c r="J129" t="s">
        <v>198</v>
      </c>
    </row>
    <row r="130" spans="4:12">
      <c r="D130" t="s">
        <v>417</v>
      </c>
      <c r="E130">
        <v>1539</v>
      </c>
      <c r="F130" s="6" t="s">
        <v>486</v>
      </c>
      <c r="G130">
        <v>50</v>
      </c>
      <c r="H130" t="s">
        <v>419</v>
      </c>
      <c r="J130" t="s">
        <v>420</v>
      </c>
    </row>
    <row r="131" spans="4:12">
      <c r="D131" t="s">
        <v>72</v>
      </c>
      <c r="E131">
        <v>1536</v>
      </c>
      <c r="F131" s="6">
        <v>40310</v>
      </c>
      <c r="G131">
        <v>100</v>
      </c>
      <c r="H131" t="s">
        <v>73</v>
      </c>
      <c r="J131" t="s">
        <v>76</v>
      </c>
      <c r="K131" t="s">
        <v>77</v>
      </c>
    </row>
    <row r="132" spans="4:12">
      <c r="D132" t="s">
        <v>158</v>
      </c>
      <c r="E132">
        <v>1535</v>
      </c>
      <c r="F132" s="6">
        <v>40310</v>
      </c>
      <c r="G132">
        <v>200</v>
      </c>
      <c r="H132" t="s">
        <v>159</v>
      </c>
      <c r="J132" t="s">
        <v>160</v>
      </c>
    </row>
    <row r="133" spans="4:12">
      <c r="D133" t="s">
        <v>83</v>
      </c>
      <c r="F133" s="6"/>
      <c r="G133">
        <v>0</v>
      </c>
    </row>
    <row r="134" spans="4:12" ht="13.5" thickBot="1">
      <c r="F134" s="6"/>
      <c r="G134" s="11">
        <f>SUM(G27:G133)</f>
        <v>12914.2</v>
      </c>
    </row>
    <row r="135" spans="4:12" ht="14.25" thickTop="1" thickBot="1">
      <c r="F135" s="6"/>
      <c r="L135" s="11">
        <f>SUM(L28:L126)</f>
        <v>4115</v>
      </c>
    </row>
    <row r="136" spans="4:12" ht="13.5" thickTop="1">
      <c r="D136" t="s">
        <v>60</v>
      </c>
      <c r="E136" t="s">
        <v>485</v>
      </c>
      <c r="F136" s="6" t="s">
        <v>483</v>
      </c>
      <c r="G136" t="s">
        <v>484</v>
      </c>
    </row>
    <row r="137" spans="4:12">
      <c r="F137" s="6"/>
    </row>
    <row r="138" spans="4:12">
      <c r="F138" s="6"/>
    </row>
    <row r="139" spans="4:12">
      <c r="F139" s="6"/>
    </row>
    <row r="140" spans="4:12">
      <c r="F140" s="6"/>
    </row>
    <row r="141" spans="4:12">
      <c r="F141" s="6"/>
    </row>
    <row r="142" spans="4:12">
      <c r="F142" s="6"/>
    </row>
    <row r="143" spans="4:12">
      <c r="F143" s="6"/>
    </row>
    <row r="144" spans="4:12">
      <c r="F144" s="6"/>
    </row>
    <row r="145" spans="6:6">
      <c r="F145" s="6"/>
    </row>
    <row r="146" spans="6:6">
      <c r="F146" s="6"/>
    </row>
    <row r="147" spans="6:6">
      <c r="F147" s="6"/>
    </row>
    <row r="148" spans="6:6">
      <c r="F148" s="6"/>
    </row>
    <row r="149" spans="6:6">
      <c r="F149" s="6"/>
    </row>
    <row r="150" spans="6:6">
      <c r="F150" s="6"/>
    </row>
    <row r="151" spans="6:6">
      <c r="F151" s="6"/>
    </row>
    <row r="152" spans="6:6">
      <c r="F152" s="6"/>
    </row>
    <row r="153" spans="6:6">
      <c r="F153" s="6"/>
    </row>
    <row r="154" spans="6:6">
      <c r="F154" s="6"/>
    </row>
    <row r="155" spans="6:6">
      <c r="F155" s="6"/>
    </row>
    <row r="156" spans="6:6">
      <c r="F156" s="6"/>
    </row>
    <row r="157" spans="6:6">
      <c r="F157" s="6"/>
    </row>
    <row r="158" spans="6:6">
      <c r="F158" s="6"/>
    </row>
    <row r="159" spans="6:6">
      <c r="F159" s="6"/>
    </row>
    <row r="160" spans="6:6">
      <c r="F160" s="6"/>
    </row>
    <row r="161" spans="6:6">
      <c r="F161" s="6"/>
    </row>
    <row r="162" spans="6:6">
      <c r="F162" s="6"/>
    </row>
    <row r="163" spans="6:6">
      <c r="F163" s="6"/>
    </row>
    <row r="164" spans="6:6">
      <c r="F164" s="6"/>
    </row>
    <row r="165" spans="6:6">
      <c r="F165" s="6"/>
    </row>
    <row r="166" spans="6:6">
      <c r="F166" s="6"/>
    </row>
    <row r="167" spans="6:6">
      <c r="F167" s="6"/>
    </row>
    <row r="168" spans="6:6">
      <c r="F168" s="6"/>
    </row>
    <row r="169" spans="6:6">
      <c r="F169" s="6"/>
    </row>
    <row r="170" spans="6:6">
      <c r="F170" s="6"/>
    </row>
    <row r="171" spans="6:6">
      <c r="F171" s="6"/>
    </row>
    <row r="172" spans="6:6">
      <c r="F172" s="6"/>
    </row>
    <row r="173" spans="6:6">
      <c r="F173" s="6"/>
    </row>
    <row r="174" spans="6:6">
      <c r="F174" s="6"/>
    </row>
    <row r="175" spans="6:6">
      <c r="F175" s="6"/>
    </row>
    <row r="176" spans="6:6">
      <c r="F176" s="6"/>
    </row>
    <row r="177" spans="6:6">
      <c r="F177" s="6"/>
    </row>
    <row r="178" spans="6:6">
      <c r="F178" s="6"/>
    </row>
    <row r="179" spans="6:6">
      <c r="F179" s="6"/>
    </row>
    <row r="180" spans="6:6">
      <c r="F180" s="6"/>
    </row>
    <row r="181" spans="6:6">
      <c r="F181" s="6"/>
    </row>
    <row r="182" spans="6:6">
      <c r="F182" s="6"/>
    </row>
    <row r="183" spans="6:6">
      <c r="F183" s="6"/>
    </row>
    <row r="184" spans="6:6">
      <c r="F184" s="6"/>
    </row>
    <row r="185" spans="6:6">
      <c r="F185" s="6"/>
    </row>
    <row r="186" spans="6:6">
      <c r="F186" s="6"/>
    </row>
    <row r="187" spans="6:6">
      <c r="F187" s="6"/>
    </row>
    <row r="188" spans="6:6">
      <c r="F188" s="6"/>
    </row>
    <row r="189" spans="6:6">
      <c r="F189" s="6"/>
    </row>
    <row r="190" spans="6:6">
      <c r="F190" s="6"/>
    </row>
    <row r="191" spans="6:6">
      <c r="F191" s="6"/>
    </row>
    <row r="192" spans="6:6">
      <c r="F192" s="6"/>
    </row>
    <row r="193" spans="6:6">
      <c r="F193" s="6"/>
    </row>
    <row r="194" spans="6:6">
      <c r="F194" s="6"/>
    </row>
    <row r="195" spans="6:6">
      <c r="F195" s="6"/>
    </row>
    <row r="196" spans="6:6">
      <c r="F196" s="6"/>
    </row>
    <row r="197" spans="6:6">
      <c r="F197" s="6"/>
    </row>
    <row r="198" spans="6:6">
      <c r="F198" s="6"/>
    </row>
    <row r="199" spans="6:6">
      <c r="F199" s="6"/>
    </row>
    <row r="200" spans="6:6">
      <c r="F200" s="6"/>
    </row>
    <row r="201" spans="6:6">
      <c r="F201" s="6"/>
    </row>
    <row r="202" spans="6:6">
      <c r="F202" s="6"/>
    </row>
    <row r="203" spans="6:6">
      <c r="F203" s="6"/>
    </row>
    <row r="204" spans="6:6">
      <c r="F204" s="6"/>
    </row>
    <row r="205" spans="6:6">
      <c r="F205" s="6"/>
    </row>
    <row r="206" spans="6:6">
      <c r="F206" s="6"/>
    </row>
    <row r="207" spans="6:6">
      <c r="F207" s="6"/>
    </row>
    <row r="208" spans="6:6">
      <c r="F208" s="6"/>
    </row>
    <row r="209" spans="6:6">
      <c r="F209" s="6"/>
    </row>
    <row r="210" spans="6:6">
      <c r="F210" s="6"/>
    </row>
    <row r="211" spans="6:6">
      <c r="F211" s="6"/>
    </row>
    <row r="212" spans="6:6">
      <c r="F212" s="6"/>
    </row>
    <row r="213" spans="6:6">
      <c r="F213" s="6"/>
    </row>
    <row r="214" spans="6:6">
      <c r="F214" s="6"/>
    </row>
    <row r="215" spans="6:6">
      <c r="F215" s="6"/>
    </row>
    <row r="216" spans="6:6">
      <c r="F216" s="6"/>
    </row>
    <row r="217" spans="6:6">
      <c r="F217" s="6"/>
    </row>
    <row r="218" spans="6:6">
      <c r="F218" s="6"/>
    </row>
    <row r="219" spans="6:6">
      <c r="F219" s="6"/>
    </row>
    <row r="220" spans="6:6">
      <c r="F220" s="6"/>
    </row>
    <row r="221" spans="6:6">
      <c r="F221" s="6"/>
    </row>
    <row r="222" spans="6:6">
      <c r="F222" s="6"/>
    </row>
    <row r="223" spans="6:6">
      <c r="F223" s="6"/>
    </row>
    <row r="224" spans="6:6">
      <c r="F224" s="6"/>
    </row>
    <row r="225" spans="6:6">
      <c r="F225" s="6"/>
    </row>
    <row r="226" spans="6:6">
      <c r="F226" s="6"/>
    </row>
    <row r="227" spans="6:6">
      <c r="F227" s="6"/>
    </row>
    <row r="228" spans="6:6">
      <c r="F228" s="6"/>
    </row>
    <row r="229" spans="6:6">
      <c r="F229" s="6"/>
    </row>
    <row r="230" spans="6:6">
      <c r="F230" s="6"/>
    </row>
    <row r="231" spans="6:6">
      <c r="F231" s="6"/>
    </row>
    <row r="232" spans="6:6">
      <c r="F232" s="6"/>
    </row>
    <row r="233" spans="6:6">
      <c r="F233" s="6"/>
    </row>
    <row r="234" spans="6:6">
      <c r="F234" s="6"/>
    </row>
    <row r="235" spans="6:6">
      <c r="F235" s="6"/>
    </row>
    <row r="236" spans="6:6">
      <c r="F236" s="6"/>
    </row>
    <row r="237" spans="6:6">
      <c r="F237" s="6"/>
    </row>
    <row r="238" spans="6:6">
      <c r="F238" s="6"/>
    </row>
    <row r="239" spans="6:6">
      <c r="F239" s="6"/>
    </row>
    <row r="240" spans="6:6">
      <c r="F240" s="6"/>
    </row>
    <row r="241" spans="6:6">
      <c r="F241" s="6"/>
    </row>
    <row r="242" spans="6:6">
      <c r="F242" s="6"/>
    </row>
    <row r="243" spans="6:6">
      <c r="F243" s="6"/>
    </row>
    <row r="244" spans="6:6">
      <c r="F244" s="6"/>
    </row>
    <row r="245" spans="6:6">
      <c r="F245" s="6"/>
    </row>
    <row r="246" spans="6:6">
      <c r="F246" s="6"/>
    </row>
    <row r="247" spans="6:6">
      <c r="F247" s="6"/>
    </row>
    <row r="248" spans="6:6">
      <c r="F248" s="6"/>
    </row>
    <row r="249" spans="6:6">
      <c r="F249" s="6"/>
    </row>
    <row r="250" spans="6:6">
      <c r="F250" s="6"/>
    </row>
    <row r="251" spans="6:6">
      <c r="F251" s="6"/>
    </row>
    <row r="252" spans="6:6">
      <c r="F252" s="6"/>
    </row>
    <row r="253" spans="6:6">
      <c r="F253" s="6"/>
    </row>
    <row r="254" spans="6:6">
      <c r="F254" s="6"/>
    </row>
    <row r="255" spans="6:6">
      <c r="F255" s="6"/>
    </row>
    <row r="256" spans="6:6">
      <c r="F256" s="6"/>
    </row>
    <row r="257" spans="6:6">
      <c r="F257" s="6"/>
    </row>
    <row r="258" spans="6:6">
      <c r="F258" s="6"/>
    </row>
    <row r="259" spans="6:6">
      <c r="F259" s="6"/>
    </row>
    <row r="260" spans="6:6">
      <c r="F260" s="6"/>
    </row>
    <row r="261" spans="6:6">
      <c r="F261" s="6"/>
    </row>
    <row r="262" spans="6:6">
      <c r="F262" s="6"/>
    </row>
    <row r="263" spans="6:6">
      <c r="F263" s="6"/>
    </row>
    <row r="264" spans="6:6">
      <c r="F264" s="6"/>
    </row>
    <row r="265" spans="6:6">
      <c r="F265" s="6"/>
    </row>
    <row r="266" spans="6:6">
      <c r="F266" s="6"/>
    </row>
    <row r="267" spans="6:6">
      <c r="F267" s="6"/>
    </row>
    <row r="268" spans="6:6">
      <c r="F268" s="6"/>
    </row>
    <row r="269" spans="6:6">
      <c r="F269" s="6"/>
    </row>
    <row r="270" spans="6:6">
      <c r="F270" s="6"/>
    </row>
    <row r="271" spans="6:6">
      <c r="F271" s="6"/>
    </row>
    <row r="272" spans="6:6">
      <c r="F272" s="6"/>
    </row>
    <row r="273" spans="6:6">
      <c r="F273" s="6"/>
    </row>
    <row r="274" spans="6:6">
      <c r="F274" s="6"/>
    </row>
    <row r="275" spans="6:6">
      <c r="F275" s="6"/>
    </row>
    <row r="276" spans="6:6">
      <c r="F276" s="6"/>
    </row>
    <row r="277" spans="6:6">
      <c r="F277" s="6"/>
    </row>
    <row r="278" spans="6:6">
      <c r="F278" s="6"/>
    </row>
    <row r="279" spans="6:6">
      <c r="F279" s="6"/>
    </row>
    <row r="280" spans="6:6">
      <c r="F280" s="6"/>
    </row>
    <row r="281" spans="6:6">
      <c r="F281" s="6"/>
    </row>
    <row r="282" spans="6:6">
      <c r="F282" s="6"/>
    </row>
    <row r="283" spans="6:6">
      <c r="F283" s="6"/>
    </row>
    <row r="284" spans="6:6">
      <c r="F284" s="6"/>
    </row>
    <row r="285" spans="6:6">
      <c r="F285" s="6"/>
    </row>
    <row r="286" spans="6:6">
      <c r="F286" s="6"/>
    </row>
    <row r="287" spans="6:6">
      <c r="F287" s="6"/>
    </row>
    <row r="288" spans="6:6">
      <c r="F288" s="6"/>
    </row>
    <row r="289" spans="6:6">
      <c r="F289" s="6"/>
    </row>
    <row r="290" spans="6:6">
      <c r="F290" s="6"/>
    </row>
    <row r="291" spans="6:6">
      <c r="F291" s="6"/>
    </row>
    <row r="292" spans="6:6">
      <c r="F292" s="6"/>
    </row>
    <row r="293" spans="6:6">
      <c r="F293" s="6"/>
    </row>
    <row r="294" spans="6:6">
      <c r="F294" s="6"/>
    </row>
    <row r="295" spans="6:6">
      <c r="F295" s="6"/>
    </row>
    <row r="296" spans="6:6">
      <c r="F296" s="6"/>
    </row>
    <row r="297" spans="6:6">
      <c r="F297" s="6"/>
    </row>
    <row r="298" spans="6:6">
      <c r="F298" s="6"/>
    </row>
    <row r="299" spans="6:6">
      <c r="F299" s="6"/>
    </row>
    <row r="300" spans="6:6">
      <c r="F300" s="6"/>
    </row>
    <row r="301" spans="6:6">
      <c r="F301" s="6"/>
    </row>
    <row r="302" spans="6:6">
      <c r="F302" s="6"/>
    </row>
    <row r="303" spans="6:6">
      <c r="F303" s="6"/>
    </row>
    <row r="304" spans="6:6">
      <c r="F304" s="6"/>
    </row>
    <row r="305" spans="6:6">
      <c r="F305" s="6"/>
    </row>
    <row r="306" spans="6:6">
      <c r="F306" s="6"/>
    </row>
    <row r="307" spans="6:6">
      <c r="F307" s="6"/>
    </row>
    <row r="308" spans="6:6">
      <c r="F308" s="6"/>
    </row>
    <row r="309" spans="6:6">
      <c r="F309" s="6"/>
    </row>
    <row r="310" spans="6:6">
      <c r="F310" s="6"/>
    </row>
    <row r="311" spans="6:6">
      <c r="F311" s="6"/>
    </row>
    <row r="312" spans="6:6">
      <c r="F312" s="6"/>
    </row>
    <row r="313" spans="6:6">
      <c r="F313" s="6"/>
    </row>
    <row r="314" spans="6:6">
      <c r="F314" s="6"/>
    </row>
    <row r="315" spans="6:6">
      <c r="F315" s="6"/>
    </row>
    <row r="316" spans="6:6">
      <c r="F316" s="6"/>
    </row>
  </sheetData>
  <pageMargins left="0.75" right="0.75" top="1" bottom="1" header="0.5" footer="0.5"/>
  <pageSetup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P95"/>
  <sheetViews>
    <sheetView topLeftCell="A56" workbookViewId="0">
      <selection activeCell="P33" sqref="P33"/>
    </sheetView>
  </sheetViews>
  <sheetFormatPr defaultRowHeight="12.75"/>
  <cols>
    <col min="3" max="3" width="2.42578125" customWidth="1"/>
    <col min="5" max="5" width="2" customWidth="1"/>
    <col min="7" max="7" width="2" customWidth="1"/>
    <col min="9" max="9" width="2" customWidth="1"/>
    <col min="11" max="11" width="2.5703125" customWidth="1"/>
    <col min="13" max="13" width="2.28515625" customWidth="1"/>
    <col min="16" max="16" width="12.28515625" customWidth="1"/>
  </cols>
  <sheetData>
    <row r="1" spans="1:15">
      <c r="A1" s="12" t="s">
        <v>0</v>
      </c>
      <c r="D1" t="s">
        <v>370</v>
      </c>
    </row>
    <row r="2" spans="1:15">
      <c r="J2" t="s">
        <v>273</v>
      </c>
    </row>
    <row r="3" spans="1:15">
      <c r="A3" t="s">
        <v>1</v>
      </c>
      <c r="B3">
        <v>2005</v>
      </c>
      <c r="D3">
        <v>2006</v>
      </c>
      <c r="F3">
        <v>2007</v>
      </c>
      <c r="H3">
        <v>2008</v>
      </c>
      <c r="J3">
        <v>2009</v>
      </c>
      <c r="L3">
        <v>2010</v>
      </c>
      <c r="N3" t="s">
        <v>295</v>
      </c>
    </row>
    <row r="4" spans="1:15">
      <c r="A4" t="s">
        <v>2</v>
      </c>
      <c r="B4">
        <v>167.72</v>
      </c>
      <c r="D4">
        <v>102.62</v>
      </c>
      <c r="F4">
        <v>97.68</v>
      </c>
      <c r="H4">
        <v>91.56</v>
      </c>
      <c r="J4">
        <v>104.87</v>
      </c>
      <c r="L4">
        <v>48.23</v>
      </c>
      <c r="N4" s="46" t="s">
        <v>250</v>
      </c>
      <c r="O4" t="s">
        <v>203</v>
      </c>
    </row>
    <row r="5" spans="1:15">
      <c r="A5" t="s">
        <v>3</v>
      </c>
      <c r="B5">
        <v>143.57</v>
      </c>
      <c r="D5">
        <v>88.5</v>
      </c>
      <c r="F5">
        <v>93.15</v>
      </c>
      <c r="H5">
        <v>124.37</v>
      </c>
      <c r="J5">
        <v>205.96</v>
      </c>
      <c r="L5">
        <v>121.21</v>
      </c>
      <c r="N5" t="s">
        <v>251</v>
      </c>
      <c r="O5" t="s">
        <v>203</v>
      </c>
    </row>
    <row r="6" spans="1:15">
      <c r="A6" t="s">
        <v>4</v>
      </c>
      <c r="B6">
        <v>0</v>
      </c>
      <c r="D6">
        <v>79.930000000000007</v>
      </c>
      <c r="F6">
        <v>73.63</v>
      </c>
      <c r="H6">
        <v>101.93</v>
      </c>
      <c r="J6">
        <v>133.68</v>
      </c>
      <c r="L6">
        <v>107.63</v>
      </c>
      <c r="N6" t="s">
        <v>204</v>
      </c>
    </row>
    <row r="7" spans="1:15">
      <c r="A7" t="s">
        <v>5</v>
      </c>
      <c r="B7">
        <v>210.42</v>
      </c>
      <c r="D7">
        <v>93.91</v>
      </c>
      <c r="F7">
        <v>75.92</v>
      </c>
      <c r="H7">
        <v>85.76</v>
      </c>
      <c r="J7">
        <v>144.54</v>
      </c>
      <c r="L7">
        <v>104.92</v>
      </c>
      <c r="N7" t="s">
        <v>294</v>
      </c>
    </row>
    <row r="8" spans="1:15">
      <c r="A8" t="s">
        <v>6</v>
      </c>
      <c r="B8">
        <v>111.63</v>
      </c>
      <c r="D8">
        <v>88.03</v>
      </c>
      <c r="F8">
        <v>72.42</v>
      </c>
      <c r="H8">
        <v>84.95</v>
      </c>
      <c r="J8">
        <v>120.2</v>
      </c>
      <c r="L8">
        <v>94.63</v>
      </c>
      <c r="N8" t="s">
        <v>323</v>
      </c>
    </row>
    <row r="9" spans="1:15">
      <c r="A9" t="s">
        <v>7</v>
      </c>
      <c r="B9">
        <v>63.07</v>
      </c>
      <c r="D9">
        <v>75.489999999999995</v>
      </c>
      <c r="F9">
        <v>77.400000000000006</v>
      </c>
      <c r="H9">
        <v>79.87</v>
      </c>
      <c r="J9">
        <v>87.61</v>
      </c>
      <c r="L9">
        <v>103.09</v>
      </c>
      <c r="N9" t="s">
        <v>322</v>
      </c>
    </row>
    <row r="10" spans="1:15">
      <c r="A10" t="s">
        <v>8</v>
      </c>
      <c r="B10">
        <v>61.91</v>
      </c>
      <c r="D10">
        <v>61.04</v>
      </c>
      <c r="F10">
        <v>79.28</v>
      </c>
      <c r="H10">
        <v>95.91</v>
      </c>
      <c r="J10">
        <v>107.35</v>
      </c>
      <c r="L10">
        <v>87.36</v>
      </c>
      <c r="N10" t="s">
        <v>224</v>
      </c>
    </row>
    <row r="11" spans="1:15">
      <c r="A11" t="s">
        <v>9</v>
      </c>
      <c r="B11">
        <v>56.34</v>
      </c>
      <c r="D11">
        <v>62.68</v>
      </c>
      <c r="F11">
        <v>93.98</v>
      </c>
      <c r="H11">
        <v>76.989999999999995</v>
      </c>
      <c r="J11">
        <v>90.51</v>
      </c>
      <c r="L11">
        <v>98.91</v>
      </c>
      <c r="N11" t="s">
        <v>322</v>
      </c>
    </row>
    <row r="12" spans="1:15">
      <c r="A12" t="s">
        <v>10</v>
      </c>
      <c r="B12">
        <v>66.83</v>
      </c>
      <c r="D12">
        <v>95.69</v>
      </c>
      <c r="F12">
        <v>92.9</v>
      </c>
      <c r="H12">
        <v>75.099999999999994</v>
      </c>
      <c r="J12">
        <v>98.06</v>
      </c>
      <c r="L12">
        <v>130.33000000000001</v>
      </c>
      <c r="N12" t="s">
        <v>403</v>
      </c>
    </row>
    <row r="13" spans="1:15">
      <c r="A13" t="s">
        <v>11</v>
      </c>
      <c r="B13">
        <v>68.069999999999993</v>
      </c>
      <c r="D13">
        <v>75.33</v>
      </c>
      <c r="F13">
        <v>95.85</v>
      </c>
      <c r="H13">
        <v>104.25</v>
      </c>
      <c r="J13">
        <v>88.4</v>
      </c>
      <c r="L13">
        <v>110.36</v>
      </c>
      <c r="N13" t="s">
        <v>429</v>
      </c>
    </row>
    <row r="14" spans="1:15">
      <c r="A14" t="s">
        <v>12</v>
      </c>
      <c r="B14">
        <v>77.17</v>
      </c>
      <c r="D14">
        <v>71.59</v>
      </c>
      <c r="F14">
        <v>87.66</v>
      </c>
      <c r="H14">
        <v>99.19</v>
      </c>
      <c r="J14">
        <v>92.35</v>
      </c>
      <c r="L14">
        <v>115.11</v>
      </c>
      <c r="N14" t="s">
        <v>322</v>
      </c>
    </row>
    <row r="15" spans="1:15">
      <c r="A15" t="s">
        <v>13</v>
      </c>
      <c r="B15">
        <v>89.35</v>
      </c>
      <c r="D15">
        <v>73.33</v>
      </c>
      <c r="F15">
        <v>88.47</v>
      </c>
      <c r="H15">
        <v>101.38</v>
      </c>
      <c r="J15">
        <v>100.99</v>
      </c>
      <c r="L15">
        <v>107.81</v>
      </c>
      <c r="N15" t="s">
        <v>473</v>
      </c>
    </row>
    <row r="16" spans="1:15" ht="13.5" thickBot="1">
      <c r="A16" s="11" t="s">
        <v>50</v>
      </c>
      <c r="B16" s="11">
        <f>SUM(B4:B15)</f>
        <v>1116.08</v>
      </c>
      <c r="C16" s="11"/>
      <c r="D16" s="11">
        <f>SUM(D4:D15)</f>
        <v>968.14</v>
      </c>
      <c r="E16" s="11"/>
      <c r="F16" s="11">
        <f>SUM(F4:F15)</f>
        <v>1028.3399999999999</v>
      </c>
      <c r="G16" s="11"/>
      <c r="H16" s="11">
        <f>SUM(H4:H15)</f>
        <v>1121.2600000000002</v>
      </c>
      <c r="I16" s="11"/>
      <c r="J16" s="11">
        <f>SUM(J4:J15)</f>
        <v>1374.5200000000002</v>
      </c>
      <c r="K16" s="11"/>
      <c r="L16" s="11">
        <f>SUM(L4:L15)</f>
        <v>1229.5899999999999</v>
      </c>
      <c r="M16" s="19"/>
    </row>
    <row r="17" spans="1:16" ht="13.5" thickTop="1">
      <c r="A17" t="s">
        <v>101</v>
      </c>
      <c r="B17">
        <f>B16/12</f>
        <v>93.006666666666661</v>
      </c>
      <c r="D17">
        <f>D16/12</f>
        <v>80.678333333333327</v>
      </c>
      <c r="F17">
        <f>F16/12</f>
        <v>85.694999999999993</v>
      </c>
      <c r="H17">
        <f>H16/12</f>
        <v>93.438333333333347</v>
      </c>
      <c r="J17">
        <f>J16/12</f>
        <v>114.54333333333335</v>
      </c>
      <c r="L17">
        <f>L16/12</f>
        <v>102.46583333333332</v>
      </c>
    </row>
    <row r="20" spans="1:16">
      <c r="A20" s="12" t="s">
        <v>21</v>
      </c>
      <c r="B20">
        <v>2005</v>
      </c>
      <c r="D20">
        <v>2006</v>
      </c>
      <c r="F20">
        <v>2007</v>
      </c>
      <c r="H20">
        <v>2008</v>
      </c>
      <c r="J20">
        <v>2009</v>
      </c>
      <c r="L20">
        <v>2010</v>
      </c>
      <c r="N20" t="s">
        <v>155</v>
      </c>
      <c r="O20" t="s">
        <v>281</v>
      </c>
      <c r="P20" t="s">
        <v>199</v>
      </c>
    </row>
    <row r="21" spans="1:16">
      <c r="A21" t="s">
        <v>2</v>
      </c>
      <c r="D21">
        <v>229.43</v>
      </c>
      <c r="F21">
        <v>291.18</v>
      </c>
      <c r="H21">
        <v>313.17</v>
      </c>
      <c r="J21">
        <v>449.99</v>
      </c>
      <c r="L21">
        <v>325.88</v>
      </c>
      <c r="N21">
        <v>165.5</v>
      </c>
      <c r="O21">
        <v>122.1</v>
      </c>
      <c r="P21">
        <f>(122.1+149.4+149.2+165.5+144.9)/5</f>
        <v>146.22</v>
      </c>
    </row>
    <row r="22" spans="1:16">
      <c r="A22" t="s">
        <v>3</v>
      </c>
      <c r="D22">
        <v>268.13</v>
      </c>
      <c r="F22">
        <v>391.36</v>
      </c>
      <c r="H22">
        <v>309.60000000000002</v>
      </c>
      <c r="J22">
        <v>360.54</v>
      </c>
      <c r="L22">
        <v>262.45999999999998</v>
      </c>
      <c r="N22">
        <v>200.8</v>
      </c>
      <c r="O22">
        <v>116.7</v>
      </c>
      <c r="P22">
        <f>(142.7+200.8+147.5+132.6+116.7)/5</f>
        <v>148.06</v>
      </c>
    </row>
    <row r="23" spans="1:16">
      <c r="A23" t="s">
        <v>4</v>
      </c>
      <c r="D23">
        <v>222.29</v>
      </c>
      <c r="F23">
        <v>205.23</v>
      </c>
      <c r="H23">
        <v>258.81</v>
      </c>
      <c r="J23">
        <v>246.89</v>
      </c>
      <c r="L23">
        <v>188.92</v>
      </c>
      <c r="N23">
        <v>123.3</v>
      </c>
      <c r="O23">
        <v>84</v>
      </c>
      <c r="P23">
        <f>(118.3+105.3+123.3+90.8+84)/5</f>
        <v>104.34</v>
      </c>
    </row>
    <row r="24" spans="1:16">
      <c r="A24" t="s">
        <v>5</v>
      </c>
      <c r="D24">
        <v>98.46</v>
      </c>
      <c r="F24">
        <v>184.38</v>
      </c>
      <c r="H24">
        <v>183.4</v>
      </c>
      <c r="J24">
        <v>106.86</v>
      </c>
      <c r="L24">
        <v>79.16</v>
      </c>
      <c r="N24">
        <v>94.6</v>
      </c>
      <c r="O24">
        <v>35.200000000000003</v>
      </c>
      <c r="P24">
        <f>(52.4+94.6+74.2+39.3+35.2)/5</f>
        <v>59.14</v>
      </c>
    </row>
    <row r="25" spans="1:16">
      <c r="A25" t="s">
        <v>6</v>
      </c>
    </row>
    <row r="26" spans="1:16">
      <c r="A26" t="s">
        <v>7</v>
      </c>
      <c r="B26">
        <v>559.53</v>
      </c>
    </row>
    <row r="27" spans="1:16">
      <c r="A27" t="s">
        <v>8</v>
      </c>
      <c r="B27">
        <v>31.95</v>
      </c>
    </row>
    <row r="28" spans="1:16">
      <c r="A28" t="s">
        <v>9</v>
      </c>
    </row>
    <row r="29" spans="1:16">
      <c r="A29" t="s">
        <v>10</v>
      </c>
      <c r="B29">
        <v>133.6</v>
      </c>
      <c r="D29">
        <v>166.05</v>
      </c>
      <c r="F29">
        <v>277.91000000000003</v>
      </c>
      <c r="H29">
        <v>280.06</v>
      </c>
      <c r="J29">
        <v>245.82</v>
      </c>
      <c r="L29">
        <v>254.65</v>
      </c>
      <c r="N29">
        <v>132.4</v>
      </c>
      <c r="O29">
        <v>71.099999999999994</v>
      </c>
      <c r="P29">
        <f>(71.1+85.2+132.4+103+109.3+99.9)/6</f>
        <v>100.15000000000002</v>
      </c>
    </row>
    <row r="30" spans="1:16">
      <c r="A30" t="s">
        <v>11</v>
      </c>
      <c r="B30">
        <v>0</v>
      </c>
    </row>
    <row r="31" spans="1:16">
      <c r="A31" t="s">
        <v>12</v>
      </c>
      <c r="B31">
        <v>394.59</v>
      </c>
      <c r="D31">
        <v>251.03</v>
      </c>
      <c r="F31">
        <v>354.1</v>
      </c>
      <c r="H31">
        <v>397.25</v>
      </c>
      <c r="J31">
        <v>285.62</v>
      </c>
      <c r="L31">
        <v>321.43</v>
      </c>
      <c r="N31">
        <v>210</v>
      </c>
      <c r="O31">
        <v>126.1</v>
      </c>
      <c r="P31">
        <f>(210+128.8+168.7+146.1+127+126.1)/6</f>
        <v>151.11666666666667</v>
      </c>
    </row>
    <row r="32" spans="1:16">
      <c r="A32" t="s">
        <v>13</v>
      </c>
      <c r="B32">
        <v>312.10000000000002</v>
      </c>
      <c r="D32">
        <v>210.88</v>
      </c>
      <c r="F32">
        <v>264.89</v>
      </c>
      <c r="H32">
        <v>336.07</v>
      </c>
      <c r="J32">
        <v>226.02</v>
      </c>
      <c r="L32">
        <v>351.51</v>
      </c>
      <c r="N32">
        <v>166.1</v>
      </c>
      <c r="O32">
        <v>100.5</v>
      </c>
      <c r="P32">
        <f>(166.1+108.2+126.2+123.6+100.5+137.9)/6</f>
        <v>127.08333333333333</v>
      </c>
    </row>
    <row r="33" spans="1:16" ht="13.5" thickBot="1">
      <c r="A33" s="11"/>
      <c r="B33" s="11">
        <f t="shared" ref="B33:P33" si="0">SUM(B21:B32)</f>
        <v>1431.77</v>
      </c>
      <c r="C33" s="11"/>
      <c r="D33" s="11">
        <f t="shared" si="0"/>
        <v>1446.27</v>
      </c>
      <c r="E33" s="11"/>
      <c r="F33" s="11">
        <f t="shared" si="0"/>
        <v>1969.0500000000002</v>
      </c>
      <c r="G33" s="11"/>
      <c r="H33" s="11">
        <f t="shared" si="0"/>
        <v>2078.36</v>
      </c>
      <c r="I33" s="11"/>
      <c r="J33" s="11">
        <f t="shared" si="0"/>
        <v>1921.7399999999998</v>
      </c>
      <c r="K33" s="11"/>
      <c r="L33" s="11">
        <f t="shared" si="0"/>
        <v>1784.01</v>
      </c>
      <c r="M33" s="11"/>
      <c r="N33" s="11">
        <f t="shared" si="0"/>
        <v>1092.7</v>
      </c>
      <c r="O33" s="11">
        <f t="shared" si="0"/>
        <v>655.7</v>
      </c>
      <c r="P33" s="11">
        <f t="shared" si="0"/>
        <v>836.11</v>
      </c>
    </row>
    <row r="34" spans="1:16" ht="13.5" thickTop="1">
      <c r="A34" t="s">
        <v>109</v>
      </c>
      <c r="B34">
        <f>B33/7</f>
        <v>204.53857142857143</v>
      </c>
      <c r="D34">
        <f>D33/12</f>
        <v>120.52249999999999</v>
      </c>
      <c r="F34">
        <f>F33/12</f>
        <v>164.08750000000001</v>
      </c>
      <c r="H34">
        <f>H33/12</f>
        <v>173.19666666666669</v>
      </c>
      <c r="J34">
        <f>J33/12</f>
        <v>160.14499999999998</v>
      </c>
      <c r="L34">
        <f>L33/12</f>
        <v>148.66749999999999</v>
      </c>
      <c r="N34">
        <f>N33/12</f>
        <v>91.058333333333337</v>
      </c>
    </row>
    <row r="35" spans="1:16">
      <c r="A35" t="s">
        <v>154</v>
      </c>
      <c r="B35">
        <f>316.3+71.1+210+166.1</f>
        <v>763.5</v>
      </c>
      <c r="D35">
        <f>122.1+142.7+118.3+52.4+85.2+128.8+108.2</f>
        <v>757.7</v>
      </c>
      <c r="F35">
        <f>149.4+200.8+105.3+94.6+132.4+168.7+126.2</f>
        <v>977.40000000000009</v>
      </c>
      <c r="H35">
        <f>149.2+147.5+123.3+74.2+103+146.1+123.6</f>
        <v>866.90000000000009</v>
      </c>
      <c r="J35">
        <f>165.5+132.6+90.8+39.3+109.3+127+100.5</f>
        <v>765</v>
      </c>
      <c r="L35">
        <f>144.9+116.7+84+35.2+99.9+126.1+137.9</f>
        <v>744.7</v>
      </c>
    </row>
    <row r="36" spans="1:16">
      <c r="A36" t="s">
        <v>162</v>
      </c>
      <c r="B36">
        <v>1.879</v>
      </c>
      <c r="D36">
        <v>1.9490000000000001</v>
      </c>
      <c r="F36">
        <v>2.0990000000000002</v>
      </c>
      <c r="H36">
        <v>2.7189999999999999</v>
      </c>
      <c r="J36">
        <v>2.2490000000000001</v>
      </c>
      <c r="L36">
        <v>2.5489999999999999</v>
      </c>
    </row>
    <row r="39" spans="1:16">
      <c r="N39" t="s">
        <v>246</v>
      </c>
    </row>
    <row r="40" spans="1:16">
      <c r="A40" s="12" t="s">
        <v>22</v>
      </c>
      <c r="B40">
        <v>2005</v>
      </c>
      <c r="D40">
        <v>2006</v>
      </c>
      <c r="F40">
        <v>2007</v>
      </c>
      <c r="H40">
        <v>2008</v>
      </c>
      <c r="J40">
        <v>2009</v>
      </c>
      <c r="L40">
        <v>2010</v>
      </c>
      <c r="N40" t="s">
        <v>282</v>
      </c>
    </row>
    <row r="42" spans="1:16">
      <c r="A42" t="s">
        <v>23</v>
      </c>
    </row>
    <row r="43" spans="1:16">
      <c r="A43" t="s">
        <v>3</v>
      </c>
    </row>
    <row r="44" spans="1:16">
      <c r="A44" t="s">
        <v>4</v>
      </c>
      <c r="D44">
        <v>53.26</v>
      </c>
      <c r="E44" t="s">
        <v>247</v>
      </c>
      <c r="F44">
        <v>53.21</v>
      </c>
      <c r="G44" t="s">
        <v>247</v>
      </c>
      <c r="H44">
        <v>94.8</v>
      </c>
      <c r="J44">
        <v>70.05</v>
      </c>
      <c r="L44">
        <v>43.65</v>
      </c>
      <c r="N44">
        <f>(1360+1340+4200+2700+1100)/5</f>
        <v>2140</v>
      </c>
    </row>
    <row r="45" spans="1:16">
      <c r="A45" t="s">
        <v>5</v>
      </c>
    </row>
    <row r="46" spans="1:16">
      <c r="A46" t="s">
        <v>6</v>
      </c>
    </row>
    <row r="47" spans="1:16">
      <c r="A47" t="s">
        <v>7</v>
      </c>
      <c r="D47">
        <v>98.16</v>
      </c>
      <c r="E47" t="s">
        <v>247</v>
      </c>
      <c r="F47">
        <v>48.56</v>
      </c>
      <c r="H47">
        <v>81.599999999999994</v>
      </c>
      <c r="I47" t="s">
        <v>247</v>
      </c>
      <c r="J47">
        <v>81.599999999999994</v>
      </c>
      <c r="L47" s="34">
        <v>126.15</v>
      </c>
      <c r="M47" t="s">
        <v>245</v>
      </c>
      <c r="N47">
        <f>(5500+1700+3400+3400+6100)/5</f>
        <v>4020</v>
      </c>
    </row>
    <row r="48" spans="1:16">
      <c r="A48" t="s">
        <v>8</v>
      </c>
    </row>
    <row r="49" spans="1:14">
      <c r="A49" t="s">
        <v>9</v>
      </c>
    </row>
    <row r="50" spans="1:14">
      <c r="A50" t="s">
        <v>10</v>
      </c>
      <c r="B50">
        <v>192.06</v>
      </c>
      <c r="C50" t="s">
        <v>247</v>
      </c>
      <c r="D50" s="34">
        <v>312.06</v>
      </c>
      <c r="E50" t="s">
        <v>247</v>
      </c>
      <c r="F50">
        <v>157.06</v>
      </c>
      <c r="H50">
        <v>103.05</v>
      </c>
      <c r="J50">
        <v>147.6</v>
      </c>
      <c r="L50">
        <v>187.2</v>
      </c>
      <c r="M50" t="s">
        <v>245</v>
      </c>
      <c r="N50">
        <f>(11700+17500+8700+4700+7400+9800)/6</f>
        <v>9966.6666666666661</v>
      </c>
    </row>
    <row r="51" spans="1:14">
      <c r="A51" t="s">
        <v>11</v>
      </c>
      <c r="E51" t="s">
        <v>249</v>
      </c>
    </row>
    <row r="52" spans="1:14">
      <c r="A52" t="s">
        <v>12</v>
      </c>
    </row>
    <row r="53" spans="1:14">
      <c r="A53" t="s">
        <v>13</v>
      </c>
      <c r="B53">
        <v>181.11</v>
      </c>
      <c r="C53" t="s">
        <v>247</v>
      </c>
      <c r="D53">
        <v>191.16</v>
      </c>
      <c r="E53" t="s">
        <v>247</v>
      </c>
      <c r="F53">
        <v>190.25</v>
      </c>
      <c r="H53">
        <v>114.6</v>
      </c>
      <c r="J53" s="34">
        <v>312.60000000000002</v>
      </c>
      <c r="K53" t="s">
        <v>245</v>
      </c>
      <c r="L53">
        <v>94.8</v>
      </c>
      <c r="N53">
        <f>(10900+11500+11500+5400+17400+4200)/6</f>
        <v>10150</v>
      </c>
    </row>
    <row r="54" spans="1:14" ht="13.5" thickBot="1">
      <c r="A54" s="11" t="s">
        <v>50</v>
      </c>
      <c r="B54" s="11">
        <f>SUM(B50:B53)</f>
        <v>373.17</v>
      </c>
      <c r="C54" s="11"/>
      <c r="D54" s="11">
        <f>SUM(D42:D53)</f>
        <v>654.64</v>
      </c>
      <c r="E54" s="11"/>
      <c r="F54" s="11">
        <f>SUM(F42:F53)</f>
        <v>449.08000000000004</v>
      </c>
      <c r="G54" s="11"/>
      <c r="H54" s="11">
        <f>SUM(H42:H53)</f>
        <v>394.04999999999995</v>
      </c>
      <c r="I54" s="11"/>
      <c r="J54" s="11">
        <f>SUM(J42:J53)</f>
        <v>611.85</v>
      </c>
      <c r="K54" s="11"/>
      <c r="L54" s="11">
        <f>SUM(L42:L53)</f>
        <v>451.8</v>
      </c>
      <c r="M54" s="11"/>
      <c r="N54" s="11">
        <f>SUM(N42:N53)</f>
        <v>26276.666666666664</v>
      </c>
    </row>
    <row r="55" spans="1:14" ht="13.5" thickTop="1">
      <c r="A55" t="s">
        <v>102</v>
      </c>
      <c r="B55">
        <f>B54/6</f>
        <v>62.195</v>
      </c>
      <c r="D55">
        <f>D54/12</f>
        <v>54.553333333333335</v>
      </c>
      <c r="F55">
        <f>F54/12</f>
        <v>37.423333333333339</v>
      </c>
      <c r="H55">
        <f>H54/12</f>
        <v>32.837499999999999</v>
      </c>
      <c r="J55">
        <f>J54/12</f>
        <v>50.987500000000004</v>
      </c>
      <c r="L55">
        <f>L54/12</f>
        <v>37.65</v>
      </c>
    </row>
    <row r="56" spans="1:14">
      <c r="A56" t="s">
        <v>154</v>
      </c>
      <c r="B56">
        <f>11700+10900</f>
        <v>22600</v>
      </c>
      <c r="C56" t="s">
        <v>247</v>
      </c>
      <c r="D56">
        <f>1360+5500+17500+11500</f>
        <v>35860</v>
      </c>
      <c r="E56" t="s">
        <v>247</v>
      </c>
      <c r="F56">
        <f>1340+1700+8700+11500</f>
        <v>23240</v>
      </c>
      <c r="H56">
        <f>4200+3400+4700+5400</f>
        <v>17700</v>
      </c>
      <c r="J56">
        <f>2700+3400+7400+17400</f>
        <v>30900</v>
      </c>
      <c r="L56">
        <f>1100+6100+9800+4200</f>
        <v>21200</v>
      </c>
    </row>
    <row r="57" spans="1:14">
      <c r="B57" t="s">
        <v>104</v>
      </c>
    </row>
    <row r="58" spans="1:14">
      <c r="B58" t="s">
        <v>248</v>
      </c>
    </row>
    <row r="59" spans="1:14">
      <c r="B59" t="s">
        <v>393</v>
      </c>
    </row>
    <row r="60" spans="1:14">
      <c r="B60" t="s">
        <v>392</v>
      </c>
    </row>
    <row r="62" spans="1:14">
      <c r="D62">
        <v>2006</v>
      </c>
      <c r="F62">
        <v>2007</v>
      </c>
      <c r="H62">
        <v>2008</v>
      </c>
      <c r="J62">
        <v>2009</v>
      </c>
      <c r="L62">
        <v>2010</v>
      </c>
    </row>
    <row r="63" spans="1:14">
      <c r="A63" s="12" t="s">
        <v>100</v>
      </c>
    </row>
    <row r="64" spans="1:14">
      <c r="A64" t="s">
        <v>2</v>
      </c>
      <c r="B64">
        <v>14.63</v>
      </c>
      <c r="H64">
        <v>35.92</v>
      </c>
      <c r="J64">
        <v>60.11</v>
      </c>
      <c r="L64">
        <v>59.85</v>
      </c>
    </row>
    <row r="65" spans="1:13">
      <c r="A65" t="s">
        <v>3</v>
      </c>
      <c r="B65">
        <v>14.63</v>
      </c>
      <c r="H65">
        <v>60.11</v>
      </c>
      <c r="J65">
        <v>60.12</v>
      </c>
      <c r="L65">
        <v>59.04</v>
      </c>
    </row>
    <row r="66" spans="1:13">
      <c r="A66" t="s">
        <v>4</v>
      </c>
      <c r="B66">
        <v>0</v>
      </c>
      <c r="H66">
        <v>60.11</v>
      </c>
      <c r="J66">
        <v>59.86</v>
      </c>
      <c r="L66">
        <v>59.04</v>
      </c>
    </row>
    <row r="67" spans="1:13">
      <c r="A67" t="s">
        <v>5</v>
      </c>
      <c r="B67">
        <v>59.15</v>
      </c>
      <c r="H67">
        <v>60.11</v>
      </c>
      <c r="J67">
        <v>59.85</v>
      </c>
      <c r="L67">
        <v>59.04</v>
      </c>
    </row>
    <row r="68" spans="1:13">
      <c r="A68" t="s">
        <v>6</v>
      </c>
      <c r="H68">
        <v>60.11</v>
      </c>
      <c r="J68">
        <v>59.85</v>
      </c>
      <c r="L68">
        <v>60.85</v>
      </c>
    </row>
    <row r="69" spans="1:13">
      <c r="A69" t="s">
        <v>7</v>
      </c>
      <c r="H69">
        <v>60.11</v>
      </c>
      <c r="J69">
        <v>59.85</v>
      </c>
      <c r="L69">
        <v>60.86</v>
      </c>
    </row>
    <row r="70" spans="1:13">
      <c r="A70" t="s">
        <v>8</v>
      </c>
      <c r="H70">
        <v>60.12</v>
      </c>
      <c r="J70">
        <v>59.85</v>
      </c>
      <c r="L70">
        <v>60.86</v>
      </c>
    </row>
    <row r="71" spans="1:13">
      <c r="A71" t="s">
        <v>9</v>
      </c>
      <c r="H71">
        <v>60.12</v>
      </c>
      <c r="J71">
        <v>59.85</v>
      </c>
      <c r="L71">
        <v>60.86</v>
      </c>
    </row>
    <row r="72" spans="1:13">
      <c r="A72" t="s">
        <v>10</v>
      </c>
      <c r="H72">
        <v>60.12</v>
      </c>
      <c r="J72">
        <v>59.85</v>
      </c>
      <c r="L72">
        <v>60.86</v>
      </c>
    </row>
    <row r="73" spans="1:13">
      <c r="A73" t="s">
        <v>11</v>
      </c>
      <c r="H73">
        <v>60.11</v>
      </c>
      <c r="J73">
        <v>59.85</v>
      </c>
      <c r="L73">
        <v>60.85</v>
      </c>
    </row>
    <row r="74" spans="1:13">
      <c r="A74" t="s">
        <v>12</v>
      </c>
      <c r="H74">
        <v>60.11</v>
      </c>
      <c r="J74">
        <v>59.85</v>
      </c>
      <c r="L74">
        <v>60.85</v>
      </c>
    </row>
    <row r="75" spans="1:13">
      <c r="A75" t="s">
        <v>13</v>
      </c>
      <c r="F75">
        <v>72.709999999999994</v>
      </c>
      <c r="H75">
        <v>60.11</v>
      </c>
      <c r="J75">
        <v>59.85</v>
      </c>
      <c r="L75">
        <v>60.85</v>
      </c>
    </row>
    <row r="76" spans="1:13" ht="13.5" thickBot="1">
      <c r="A76" s="11" t="s">
        <v>50</v>
      </c>
      <c r="B76" s="11">
        <f t="shared" ref="B76:L76" si="1">SUM(B64:B75)</f>
        <v>88.41</v>
      </c>
      <c r="C76" s="11"/>
      <c r="D76" s="11">
        <f t="shared" si="1"/>
        <v>0</v>
      </c>
      <c r="E76" s="11"/>
      <c r="F76" s="11">
        <f t="shared" si="1"/>
        <v>72.709999999999994</v>
      </c>
      <c r="G76" s="11"/>
      <c r="H76" s="11">
        <f t="shared" si="1"/>
        <v>697.16000000000008</v>
      </c>
      <c r="I76" s="11"/>
      <c r="J76" s="11">
        <f t="shared" si="1"/>
        <v>718.74000000000012</v>
      </c>
      <c r="K76" s="11"/>
      <c r="L76" s="11">
        <f t="shared" si="1"/>
        <v>723.81000000000006</v>
      </c>
      <c r="M76" s="19"/>
    </row>
    <row r="77" spans="1:13" ht="13.5" thickTop="1">
      <c r="A77" t="s">
        <v>102</v>
      </c>
      <c r="B77">
        <f>B76/12</f>
        <v>7.3674999999999997</v>
      </c>
      <c r="D77">
        <f>D76/12</f>
        <v>0</v>
      </c>
      <c r="F77">
        <f>F76/12</f>
        <v>6.0591666666666661</v>
      </c>
      <c r="H77">
        <f>H76/12</f>
        <v>58.096666666666671</v>
      </c>
      <c r="J77">
        <f>J76/12</f>
        <v>59.89500000000001</v>
      </c>
      <c r="K77">
        <f>K76/12</f>
        <v>0</v>
      </c>
    </row>
    <row r="79" spans="1:13">
      <c r="A79" s="12" t="s">
        <v>14</v>
      </c>
      <c r="D79">
        <v>2006</v>
      </c>
      <c r="F79">
        <v>2007</v>
      </c>
      <c r="H79">
        <v>2008</v>
      </c>
      <c r="J79" s="34" t="s">
        <v>161</v>
      </c>
      <c r="K79" s="34"/>
      <c r="L79" s="34"/>
      <c r="M79" s="34"/>
    </row>
    <row r="81" spans="1:8">
      <c r="A81" t="s">
        <v>2</v>
      </c>
      <c r="B81">
        <v>24.74</v>
      </c>
      <c r="D81">
        <v>57.3</v>
      </c>
      <c r="H81">
        <v>4.1399999999999997</v>
      </c>
    </row>
    <row r="82" spans="1:8">
      <c r="A82" t="s">
        <v>3</v>
      </c>
      <c r="B82">
        <v>24.81</v>
      </c>
      <c r="H82">
        <v>25.65</v>
      </c>
    </row>
    <row r="83" spans="1:8">
      <c r="A83" t="s">
        <v>4</v>
      </c>
      <c r="B83">
        <v>24.87</v>
      </c>
      <c r="H83">
        <v>25.61</v>
      </c>
    </row>
    <row r="84" spans="1:8">
      <c r="A84" t="s">
        <v>5</v>
      </c>
      <c r="B84">
        <v>0</v>
      </c>
      <c r="H84">
        <v>22.47</v>
      </c>
    </row>
    <row r="85" spans="1:8">
      <c r="A85" t="s">
        <v>6</v>
      </c>
      <c r="B85">
        <v>78.17</v>
      </c>
      <c r="H85">
        <v>0</v>
      </c>
    </row>
    <row r="86" spans="1:8">
      <c r="A86" t="s">
        <v>7</v>
      </c>
      <c r="B86">
        <v>24.63</v>
      </c>
      <c r="F86">
        <v>56.85</v>
      </c>
      <c r="H86">
        <v>1.68</v>
      </c>
    </row>
    <row r="87" spans="1:8">
      <c r="A87" t="s">
        <v>8</v>
      </c>
      <c r="B87">
        <v>113.12</v>
      </c>
      <c r="F87">
        <v>62.06</v>
      </c>
      <c r="H87">
        <v>0</v>
      </c>
    </row>
    <row r="88" spans="1:8">
      <c r="A88" t="s">
        <v>9</v>
      </c>
      <c r="B88">
        <v>59.49</v>
      </c>
      <c r="H88">
        <v>0</v>
      </c>
    </row>
    <row r="89" spans="1:8">
      <c r="A89" t="s">
        <v>10</v>
      </c>
      <c r="B89">
        <v>59.18</v>
      </c>
      <c r="H89">
        <v>0</v>
      </c>
    </row>
    <row r="90" spans="1:8">
      <c r="A90" t="s">
        <v>11</v>
      </c>
      <c r="B90">
        <v>58.13</v>
      </c>
      <c r="H90">
        <v>0</v>
      </c>
    </row>
    <row r="91" spans="1:8">
      <c r="A91" t="s">
        <v>12</v>
      </c>
      <c r="B91">
        <v>58.13</v>
      </c>
      <c r="H91">
        <v>0</v>
      </c>
    </row>
    <row r="92" spans="1:8">
      <c r="A92" t="s">
        <v>13</v>
      </c>
      <c r="B92">
        <v>57.3</v>
      </c>
      <c r="H92">
        <v>0</v>
      </c>
    </row>
    <row r="94" spans="1:8">
      <c r="B94">
        <f>SUM(B81:B92)</f>
        <v>582.57000000000005</v>
      </c>
      <c r="D94">
        <f>SUM(D81:D92)</f>
        <v>57.3</v>
      </c>
      <c r="F94">
        <f>SUM(F81:F92)</f>
        <v>118.91</v>
      </c>
      <c r="H94">
        <f>SUM(H81:H92)</f>
        <v>79.550000000000011</v>
      </c>
    </row>
    <row r="95" spans="1:8">
      <c r="B95">
        <f>B94/12</f>
        <v>48.547500000000007</v>
      </c>
      <c r="H95">
        <f>H94/6</f>
        <v>13.258333333333335</v>
      </c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6"/>
  <sheetViews>
    <sheetView topLeftCell="A8" workbookViewId="0">
      <selection activeCell="C6" sqref="C6"/>
    </sheetView>
  </sheetViews>
  <sheetFormatPr defaultRowHeight="12.75"/>
  <cols>
    <col min="1" max="1" width="23.140625" customWidth="1"/>
    <col min="2" max="2" width="18.85546875" customWidth="1"/>
    <col min="6" max="6" width="10.140625" bestFit="1" customWidth="1"/>
  </cols>
  <sheetData>
    <row r="1" spans="1:9" s="3" customFormat="1">
      <c r="A1" s="1" t="s">
        <v>15</v>
      </c>
      <c r="B1" s="4">
        <v>2010</v>
      </c>
    </row>
    <row r="2" spans="1:9" s="3" customFormat="1">
      <c r="A2" s="1" t="s">
        <v>1</v>
      </c>
      <c r="B2" s="1" t="s">
        <v>16</v>
      </c>
    </row>
    <row r="4" spans="1:9">
      <c r="A4" s="1" t="s">
        <v>18</v>
      </c>
      <c r="B4" s="5">
        <f>SUM(I5:I9)</f>
        <v>9308.17</v>
      </c>
      <c r="I4">
        <f>SUM(I5:I9)</f>
        <v>9308.17</v>
      </c>
    </row>
    <row r="5" spans="1:9">
      <c r="B5" t="s">
        <v>51</v>
      </c>
      <c r="C5">
        <v>2877.22</v>
      </c>
      <c r="D5">
        <v>2877.21</v>
      </c>
      <c r="E5">
        <v>0</v>
      </c>
      <c r="F5">
        <v>0</v>
      </c>
      <c r="G5">
        <v>0</v>
      </c>
      <c r="I5" s="3">
        <f>SUM(C5:H5)</f>
        <v>5754.43</v>
      </c>
    </row>
    <row r="6" spans="1:9">
      <c r="B6" t="s">
        <v>17</v>
      </c>
      <c r="C6">
        <v>376.47</v>
      </c>
      <c r="D6">
        <v>376.47</v>
      </c>
      <c r="I6" s="3">
        <f>SUM(C6:H6)</f>
        <v>752.94</v>
      </c>
    </row>
    <row r="7" spans="1:9">
      <c r="B7" t="s">
        <v>52</v>
      </c>
      <c r="C7">
        <v>800.37</v>
      </c>
      <c r="I7" s="3">
        <f>SUM(C7:H7)</f>
        <v>800.37</v>
      </c>
    </row>
    <row r="8" spans="1:9">
      <c r="B8" t="s">
        <v>219</v>
      </c>
      <c r="C8">
        <v>0</v>
      </c>
      <c r="I8" s="3">
        <f>SUM(C8:H8)</f>
        <v>0</v>
      </c>
    </row>
    <row r="9" spans="1:9">
      <c r="B9" t="s">
        <v>235</v>
      </c>
      <c r="C9">
        <v>2000.43</v>
      </c>
      <c r="I9" s="3">
        <f>SUM(C9:H9)</f>
        <v>2000.43</v>
      </c>
    </row>
    <row r="11" spans="1:9">
      <c r="A11" s="1" t="s">
        <v>19</v>
      </c>
      <c r="B11" s="5">
        <f>Tithe!F3</f>
        <v>980</v>
      </c>
    </row>
    <row r="14" spans="1:9">
      <c r="A14" s="1" t="s">
        <v>20</v>
      </c>
      <c r="B14" s="5">
        <f>SUM(E15:E34)</f>
        <v>2989.35</v>
      </c>
    </row>
    <row r="15" spans="1:9">
      <c r="A15" s="1"/>
      <c r="B15" t="s">
        <v>26</v>
      </c>
      <c r="C15" t="s">
        <v>27</v>
      </c>
      <c r="E15">
        <v>2000</v>
      </c>
    </row>
    <row r="16" spans="1:9">
      <c r="B16" t="s">
        <v>0</v>
      </c>
      <c r="C16" t="s">
        <v>24</v>
      </c>
      <c r="E16">
        <v>48.23</v>
      </c>
    </row>
    <row r="17" spans="2:10">
      <c r="B17" t="s">
        <v>22</v>
      </c>
      <c r="C17" t="s">
        <v>78</v>
      </c>
    </row>
    <row r="18" spans="2:10">
      <c r="B18" t="s">
        <v>21</v>
      </c>
      <c r="E18">
        <v>0</v>
      </c>
    </row>
    <row r="19" spans="2:10">
      <c r="B19" t="s">
        <v>100</v>
      </c>
      <c r="C19" t="s">
        <v>28</v>
      </c>
      <c r="E19">
        <v>59.85</v>
      </c>
    </row>
    <row r="20" spans="2:10">
      <c r="B20" t="s">
        <v>29</v>
      </c>
      <c r="E20">
        <f>100+100-75</f>
        <v>125</v>
      </c>
      <c r="F20" s="6">
        <v>40176</v>
      </c>
      <c r="G20" s="6">
        <v>40197</v>
      </c>
    </row>
    <row r="21" spans="2:10">
      <c r="B21" t="s">
        <v>30</v>
      </c>
      <c r="C21" t="s">
        <v>27</v>
      </c>
      <c r="F21" t="s">
        <v>95</v>
      </c>
    </row>
    <row r="22" spans="2:10">
      <c r="B22" t="s">
        <v>30</v>
      </c>
      <c r="C22" t="s">
        <v>231</v>
      </c>
      <c r="E22">
        <v>46.32</v>
      </c>
      <c r="F22" t="s">
        <v>106</v>
      </c>
      <c r="J22" t="s">
        <v>238</v>
      </c>
    </row>
    <row r="23" spans="2:10">
      <c r="B23" t="s">
        <v>30</v>
      </c>
      <c r="C23" t="s">
        <v>27</v>
      </c>
      <c r="E23">
        <v>434.95</v>
      </c>
      <c r="F23" t="s">
        <v>107</v>
      </c>
    </row>
    <row r="24" spans="2:10">
      <c r="B24" t="s">
        <v>96</v>
      </c>
    </row>
    <row r="25" spans="2:10">
      <c r="B25" t="s">
        <v>98</v>
      </c>
      <c r="C25" t="s">
        <v>232</v>
      </c>
      <c r="E25">
        <v>200</v>
      </c>
      <c r="F25" t="s">
        <v>233</v>
      </c>
    </row>
    <row r="26" spans="2:10">
      <c r="B26" t="s">
        <v>59</v>
      </c>
    </row>
    <row r="27" spans="2:10">
      <c r="B27" t="s">
        <v>97</v>
      </c>
    </row>
    <row r="28" spans="2:10">
      <c r="B28" t="s">
        <v>91</v>
      </c>
      <c r="C28">
        <v>0</v>
      </c>
      <c r="E28">
        <v>0</v>
      </c>
    </row>
    <row r="29" spans="2:10">
      <c r="B29" t="s">
        <v>99</v>
      </c>
      <c r="E29">
        <v>0</v>
      </c>
    </row>
    <row r="30" spans="2:10">
      <c r="B30" t="s">
        <v>221</v>
      </c>
      <c r="C30" t="s">
        <v>222</v>
      </c>
      <c r="E30">
        <v>75</v>
      </c>
      <c r="F30" t="s">
        <v>252</v>
      </c>
    </row>
    <row r="31" spans="2:10">
      <c r="E31">
        <v>0</v>
      </c>
    </row>
    <row r="32" spans="2:10">
      <c r="E32">
        <v>0</v>
      </c>
    </row>
    <row r="36" spans="1:8">
      <c r="A36" s="1" t="s">
        <v>31</v>
      </c>
      <c r="B36" s="5">
        <f>B4-B11-B14</f>
        <v>5338.82</v>
      </c>
    </row>
    <row r="37" spans="1:8">
      <c r="A37" s="1"/>
      <c r="B37" s="1"/>
    </row>
    <row r="38" spans="1:8">
      <c r="A38" s="1" t="s">
        <v>32</v>
      </c>
      <c r="B38" s="5">
        <v>600</v>
      </c>
      <c r="D38" t="s">
        <v>33</v>
      </c>
      <c r="E38" t="s">
        <v>34</v>
      </c>
      <c r="F38" t="s">
        <v>234</v>
      </c>
    </row>
    <row r="39" spans="1:8">
      <c r="A39" s="1" t="s">
        <v>90</v>
      </c>
      <c r="B39" s="1"/>
      <c r="D39" t="s">
        <v>93</v>
      </c>
    </row>
    <row r="40" spans="1:8">
      <c r="A40" s="1" t="s">
        <v>35</v>
      </c>
      <c r="B40" s="5">
        <v>4000</v>
      </c>
      <c r="D40" t="s">
        <v>26</v>
      </c>
    </row>
    <row r="41" spans="1:8">
      <c r="A41" s="1"/>
      <c r="B41" s="1"/>
    </row>
    <row r="42" spans="1:8">
      <c r="A42" s="1" t="s">
        <v>36</v>
      </c>
      <c r="B42" s="5">
        <f>B36+B38+B39-B40</f>
        <v>1938.8199999999997</v>
      </c>
    </row>
    <row r="44" spans="1:8" ht="13.5" thickBot="1"/>
    <row r="45" spans="1:8" ht="13.5" thickBot="1">
      <c r="A45" t="s">
        <v>289</v>
      </c>
      <c r="D45" s="27" t="s">
        <v>105</v>
      </c>
      <c r="E45" s="28" t="s">
        <v>146</v>
      </c>
      <c r="F45" s="28" t="s">
        <v>146</v>
      </c>
      <c r="G45" s="29" t="s">
        <v>63</v>
      </c>
    </row>
    <row r="46" spans="1:8">
      <c r="A46" t="s">
        <v>175</v>
      </c>
      <c r="B46" s="53">
        <v>40148</v>
      </c>
      <c r="D46" s="18">
        <f>E22</f>
        <v>46.32</v>
      </c>
      <c r="E46" s="19">
        <f>E23</f>
        <v>434.95</v>
      </c>
      <c r="F46" s="19">
        <f>E21</f>
        <v>0</v>
      </c>
      <c r="G46" s="20">
        <f>SUM(D46:F46)</f>
        <v>481.27</v>
      </c>
      <c r="H46" t="s">
        <v>237</v>
      </c>
    </row>
    <row r="47" spans="1:8">
      <c r="D47" s="18">
        <f>SUM(D49:D65)</f>
        <v>178.72</v>
      </c>
      <c r="E47" s="19">
        <f>SUM(E49:E65)</f>
        <v>434.98</v>
      </c>
      <c r="F47" s="19">
        <f>SUM(F49:F65)</f>
        <v>0</v>
      </c>
      <c r="G47" s="20">
        <f>SUM(D47:F47)</f>
        <v>613.70000000000005</v>
      </c>
    </row>
    <row r="48" spans="1:8" ht="13.5" thickBot="1">
      <c r="D48" s="30" t="s">
        <v>142</v>
      </c>
      <c r="E48" s="31" t="s">
        <v>143</v>
      </c>
      <c r="F48" s="31" t="s">
        <v>144</v>
      </c>
      <c r="G48" s="32"/>
    </row>
    <row r="49" spans="1:7">
      <c r="A49" t="s">
        <v>172</v>
      </c>
      <c r="B49" t="s">
        <v>173</v>
      </c>
      <c r="D49" s="15"/>
      <c r="E49" s="16">
        <f>84.8+24.01+48.37+28.84+33.09</f>
        <v>219.11</v>
      </c>
      <c r="F49" s="17"/>
      <c r="G49" s="24">
        <f>SUM(D49:F49)</f>
        <v>219.11</v>
      </c>
    </row>
    <row r="50" spans="1:7">
      <c r="A50" t="s">
        <v>174</v>
      </c>
      <c r="B50" t="s">
        <v>149</v>
      </c>
      <c r="D50" s="18">
        <v>23.98</v>
      </c>
      <c r="E50" s="19">
        <f>32.33+31.95</f>
        <v>64.28</v>
      </c>
      <c r="F50" s="20"/>
      <c r="G50" s="25">
        <f t="shared" ref="G50:G65" si="0">SUM(D50:F50)</f>
        <v>88.26</v>
      </c>
    </row>
    <row r="51" spans="1:7">
      <c r="A51" t="s">
        <v>178</v>
      </c>
      <c r="D51" s="18"/>
      <c r="E51" s="19"/>
      <c r="F51" s="20"/>
      <c r="G51" s="25">
        <f t="shared" si="0"/>
        <v>0</v>
      </c>
    </row>
    <row r="52" spans="1:7">
      <c r="A52" t="s">
        <v>179</v>
      </c>
      <c r="D52" s="18"/>
      <c r="E52" s="19"/>
      <c r="F52" s="20"/>
      <c r="G52" s="25">
        <f t="shared" si="0"/>
        <v>0</v>
      </c>
    </row>
    <row r="53" spans="1:7">
      <c r="A53" t="s">
        <v>181</v>
      </c>
      <c r="B53" s="33" t="s">
        <v>152</v>
      </c>
      <c r="D53" s="18">
        <v>31.87</v>
      </c>
      <c r="E53" s="19"/>
      <c r="F53" s="20"/>
      <c r="G53" s="25">
        <f t="shared" si="0"/>
        <v>31.87</v>
      </c>
    </row>
    <row r="54" spans="1:7">
      <c r="A54" t="s">
        <v>176</v>
      </c>
      <c r="B54" s="33"/>
      <c r="D54" s="18"/>
      <c r="E54" s="19"/>
      <c r="F54" s="20"/>
      <c r="G54" s="25">
        <f t="shared" si="0"/>
        <v>0</v>
      </c>
    </row>
    <row r="55" spans="1:7">
      <c r="A55" t="s">
        <v>54</v>
      </c>
      <c r="D55" s="18">
        <v>1.58</v>
      </c>
      <c r="E55" s="19"/>
      <c r="F55" s="20"/>
      <c r="G55" s="25">
        <f t="shared" si="0"/>
        <v>1.58</v>
      </c>
    </row>
    <row r="56" spans="1:7">
      <c r="A56" t="s">
        <v>180</v>
      </c>
      <c r="D56" s="18"/>
      <c r="E56" s="19">
        <v>39.25</v>
      </c>
      <c r="F56" s="20"/>
      <c r="G56" s="25">
        <f t="shared" si="0"/>
        <v>39.25</v>
      </c>
    </row>
    <row r="57" spans="1:7">
      <c r="A57" t="s">
        <v>53</v>
      </c>
      <c r="B57" t="s">
        <v>148</v>
      </c>
      <c r="D57" s="18">
        <v>75</v>
      </c>
      <c r="E57" s="19"/>
      <c r="F57" s="20"/>
      <c r="G57" s="25">
        <f t="shared" si="0"/>
        <v>75</v>
      </c>
    </row>
    <row r="58" spans="1:7">
      <c r="A58" t="s">
        <v>56</v>
      </c>
      <c r="B58" t="s">
        <v>151</v>
      </c>
      <c r="D58" s="18">
        <v>46.29</v>
      </c>
      <c r="E58" s="19">
        <v>112.34</v>
      </c>
      <c r="F58" s="20"/>
      <c r="G58" s="25">
        <f t="shared" si="0"/>
        <v>158.63</v>
      </c>
    </row>
    <row r="59" spans="1:7">
      <c r="A59" t="s">
        <v>187</v>
      </c>
      <c r="D59" s="18"/>
      <c r="E59" s="19"/>
      <c r="F59" s="20"/>
      <c r="G59" s="25">
        <f t="shared" si="0"/>
        <v>0</v>
      </c>
    </row>
    <row r="60" spans="1:7">
      <c r="A60" t="s">
        <v>153</v>
      </c>
      <c r="D60" s="18"/>
      <c r="E60" s="19"/>
      <c r="F60" s="20"/>
      <c r="G60" s="25">
        <f t="shared" si="0"/>
        <v>0</v>
      </c>
    </row>
    <row r="61" spans="1:7">
      <c r="A61" t="s">
        <v>183</v>
      </c>
      <c r="B61" t="s">
        <v>184</v>
      </c>
      <c r="D61" s="18"/>
      <c r="E61" s="19"/>
      <c r="F61" s="20"/>
      <c r="G61" s="25">
        <f t="shared" si="0"/>
        <v>0</v>
      </c>
    </row>
    <row r="62" spans="1:7">
      <c r="A62" t="s">
        <v>55</v>
      </c>
      <c r="B62" t="s">
        <v>57</v>
      </c>
      <c r="D62" s="18"/>
      <c r="E62" s="19"/>
      <c r="F62" s="20"/>
      <c r="G62" s="25">
        <f t="shared" si="0"/>
        <v>0</v>
      </c>
    </row>
    <row r="63" spans="1:7">
      <c r="A63" t="s">
        <v>182</v>
      </c>
      <c r="B63" t="s">
        <v>188</v>
      </c>
      <c r="D63" s="18"/>
      <c r="E63" s="19"/>
      <c r="F63" s="20"/>
      <c r="G63" s="25">
        <f t="shared" si="0"/>
        <v>0</v>
      </c>
    </row>
    <row r="64" spans="1:7">
      <c r="A64" t="s">
        <v>141</v>
      </c>
      <c r="B64" t="s">
        <v>58</v>
      </c>
      <c r="D64" s="18"/>
      <c r="E64" s="19"/>
      <c r="F64" s="20"/>
      <c r="G64" s="25">
        <f t="shared" si="0"/>
        <v>0</v>
      </c>
    </row>
    <row r="65" spans="1:8" ht="13.5" thickBot="1">
      <c r="A65" t="s">
        <v>145</v>
      </c>
      <c r="B65" t="s">
        <v>150</v>
      </c>
      <c r="D65" s="21"/>
      <c r="E65" s="22"/>
      <c r="F65" s="23"/>
      <c r="G65" s="26">
        <f t="shared" si="0"/>
        <v>0</v>
      </c>
      <c r="H65" t="s">
        <v>196</v>
      </c>
    </row>
    <row r="66" spans="1:8">
      <c r="G66">
        <f>SUM(G49:G65)</f>
        <v>613.70000000000005</v>
      </c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6"/>
  <sheetViews>
    <sheetView workbookViewId="0">
      <selection activeCell="A46" sqref="A46"/>
    </sheetView>
  </sheetViews>
  <sheetFormatPr defaultRowHeight="12.75"/>
  <cols>
    <col min="1" max="1" width="17.85546875" customWidth="1"/>
    <col min="2" max="2" width="14.7109375" customWidth="1"/>
  </cols>
  <sheetData>
    <row r="1" spans="1:9" s="3" customFormat="1">
      <c r="A1" s="1" t="s">
        <v>15</v>
      </c>
      <c r="B1" s="4">
        <v>2010</v>
      </c>
    </row>
    <row r="2" spans="1:9" s="3" customFormat="1">
      <c r="A2" s="1" t="s">
        <v>1</v>
      </c>
      <c r="B2" s="1" t="s">
        <v>37</v>
      </c>
    </row>
    <row r="4" spans="1:9">
      <c r="A4" s="1" t="s">
        <v>18</v>
      </c>
      <c r="B4" s="5">
        <f>SUM(I5:I9)</f>
        <v>8461.56</v>
      </c>
      <c r="I4">
        <f>SUM(I5:I9)</f>
        <v>8461.56</v>
      </c>
    </row>
    <row r="5" spans="1:9">
      <c r="B5" t="s">
        <v>51</v>
      </c>
      <c r="C5">
        <v>2830.38</v>
      </c>
      <c r="D5">
        <v>2830.37</v>
      </c>
      <c r="E5">
        <v>0</v>
      </c>
      <c r="F5">
        <v>0</v>
      </c>
      <c r="G5">
        <v>0</v>
      </c>
      <c r="I5" s="3">
        <f>SUM(C5:H5)</f>
        <v>5660.75</v>
      </c>
    </row>
    <row r="6" spans="1:9">
      <c r="B6" t="s">
        <v>17</v>
      </c>
      <c r="C6">
        <v>0</v>
      </c>
      <c r="I6" s="3">
        <f>SUM(C6:H6)</f>
        <v>0</v>
      </c>
    </row>
    <row r="7" spans="1:9">
      <c r="B7" t="s">
        <v>52</v>
      </c>
      <c r="C7">
        <v>800.37</v>
      </c>
      <c r="I7" s="3">
        <f>SUM(C7:H7)</f>
        <v>800.37</v>
      </c>
    </row>
    <row r="8" spans="1:9">
      <c r="B8" t="s">
        <v>219</v>
      </c>
      <c r="C8">
        <v>0</v>
      </c>
      <c r="I8" s="3">
        <f>SUM(C8:H8)</f>
        <v>0</v>
      </c>
    </row>
    <row r="9" spans="1:9">
      <c r="B9" t="s">
        <v>235</v>
      </c>
      <c r="C9">
        <v>2000.44</v>
      </c>
      <c r="I9" s="3">
        <f>SUM(C9:H9)</f>
        <v>2000.44</v>
      </c>
    </row>
    <row r="11" spans="1:9">
      <c r="A11" s="1" t="s">
        <v>19</v>
      </c>
      <c r="B11" s="5">
        <f>Tithe!F4</f>
        <v>1045</v>
      </c>
    </row>
    <row r="14" spans="1:9">
      <c r="A14" s="1" t="s">
        <v>20</v>
      </c>
      <c r="B14" s="5">
        <f>SUM(E15:E34)</f>
        <v>6573.77</v>
      </c>
    </row>
    <row r="15" spans="1:9">
      <c r="A15" s="1"/>
      <c r="B15" t="s">
        <v>26</v>
      </c>
      <c r="C15" t="s">
        <v>27</v>
      </c>
      <c r="E15">
        <v>2000</v>
      </c>
    </row>
    <row r="16" spans="1:9">
      <c r="B16" t="s">
        <v>0</v>
      </c>
      <c r="C16" t="s">
        <v>24</v>
      </c>
      <c r="E16">
        <v>121.21</v>
      </c>
    </row>
    <row r="17" spans="2:7">
      <c r="B17" t="s">
        <v>22</v>
      </c>
      <c r="C17" t="s">
        <v>78</v>
      </c>
    </row>
    <row r="18" spans="2:7">
      <c r="B18" t="s">
        <v>21</v>
      </c>
    </row>
    <row r="19" spans="2:7">
      <c r="B19" t="s">
        <v>100</v>
      </c>
      <c r="C19" t="s">
        <v>28</v>
      </c>
      <c r="E19">
        <v>59.04</v>
      </c>
    </row>
    <row r="20" spans="2:7">
      <c r="B20" t="s">
        <v>29</v>
      </c>
      <c r="E20">
        <f>100+100</f>
        <v>200</v>
      </c>
      <c r="F20" s="6">
        <v>40214</v>
      </c>
      <c r="G20" s="6">
        <v>40221</v>
      </c>
    </row>
    <row r="21" spans="2:7">
      <c r="B21" t="s">
        <v>30</v>
      </c>
      <c r="C21" t="s">
        <v>27</v>
      </c>
      <c r="F21" t="s">
        <v>95</v>
      </c>
    </row>
    <row r="22" spans="2:7">
      <c r="B22" t="s">
        <v>30</v>
      </c>
      <c r="C22" t="s">
        <v>105</v>
      </c>
      <c r="E22">
        <v>1446.05</v>
      </c>
      <c r="F22" t="s">
        <v>106</v>
      </c>
    </row>
    <row r="23" spans="2:7">
      <c r="B23" t="s">
        <v>30</v>
      </c>
      <c r="C23" t="s">
        <v>27</v>
      </c>
      <c r="E23">
        <v>2150.0700000000002</v>
      </c>
      <c r="F23" t="s">
        <v>107</v>
      </c>
    </row>
    <row r="24" spans="2:7">
      <c r="B24" t="s">
        <v>96</v>
      </c>
      <c r="C24" t="s">
        <v>202</v>
      </c>
      <c r="D24" t="s">
        <v>201</v>
      </c>
      <c r="E24">
        <v>214</v>
      </c>
      <c r="F24" t="s">
        <v>254</v>
      </c>
    </row>
    <row r="25" spans="2:7">
      <c r="B25" t="s">
        <v>98</v>
      </c>
    </row>
    <row r="26" spans="2:7">
      <c r="B26" t="s">
        <v>59</v>
      </c>
      <c r="E26">
        <f>56.5+73.2+78.5+100.2</f>
        <v>308.39999999999998</v>
      </c>
      <c r="F26" t="s">
        <v>244</v>
      </c>
    </row>
    <row r="27" spans="2:7">
      <c r="B27" t="s">
        <v>97</v>
      </c>
    </row>
    <row r="28" spans="2:7">
      <c r="B28" t="s">
        <v>91</v>
      </c>
    </row>
    <row r="29" spans="2:7">
      <c r="B29" t="s">
        <v>99</v>
      </c>
    </row>
    <row r="30" spans="2:7">
      <c r="B30" t="s">
        <v>221</v>
      </c>
      <c r="C30" t="s">
        <v>222</v>
      </c>
      <c r="E30">
        <v>75</v>
      </c>
      <c r="F30" t="s">
        <v>253</v>
      </c>
    </row>
    <row r="36" spans="1:7">
      <c r="A36" s="1" t="s">
        <v>31</v>
      </c>
      <c r="B36" s="5">
        <f>B4-B11-B14</f>
        <v>842.78999999999905</v>
      </c>
    </row>
    <row r="37" spans="1:7">
      <c r="A37" s="1"/>
      <c r="B37" s="1"/>
    </row>
    <row r="38" spans="1:7">
      <c r="A38" s="1" t="s">
        <v>32</v>
      </c>
      <c r="B38" s="5">
        <v>600</v>
      </c>
      <c r="D38" t="s">
        <v>33</v>
      </c>
      <c r="E38" t="s">
        <v>34</v>
      </c>
      <c r="F38" t="s">
        <v>234</v>
      </c>
    </row>
    <row r="39" spans="1:7">
      <c r="A39" s="1" t="s">
        <v>90</v>
      </c>
      <c r="B39" s="1"/>
      <c r="D39" t="s">
        <v>93</v>
      </c>
    </row>
    <row r="40" spans="1:7">
      <c r="A40" s="1" t="s">
        <v>35</v>
      </c>
      <c r="B40" s="5">
        <v>2000</v>
      </c>
      <c r="D40" t="s">
        <v>26</v>
      </c>
    </row>
    <row r="41" spans="1:7">
      <c r="A41" s="1"/>
      <c r="B41" s="1"/>
    </row>
    <row r="42" spans="1:7">
      <c r="A42" s="1" t="s">
        <v>36</v>
      </c>
      <c r="B42" s="5">
        <f>B36+B38+B39-B40</f>
        <v>-557.21000000000095</v>
      </c>
    </row>
    <row r="44" spans="1:7" ht="13.5" thickBot="1"/>
    <row r="45" spans="1:7" ht="13.5" thickBot="1">
      <c r="A45" t="s">
        <v>289</v>
      </c>
      <c r="D45" s="27" t="s">
        <v>105</v>
      </c>
      <c r="E45" s="28" t="s">
        <v>146</v>
      </c>
      <c r="F45" s="28" t="s">
        <v>146</v>
      </c>
      <c r="G45" s="29" t="s">
        <v>63</v>
      </c>
    </row>
    <row r="46" spans="1:7">
      <c r="A46" t="s">
        <v>175</v>
      </c>
      <c r="B46" t="s">
        <v>16</v>
      </c>
      <c r="D46" s="18">
        <f>E22</f>
        <v>1446.05</v>
      </c>
      <c r="E46" s="19">
        <f>E23</f>
        <v>2150.0700000000002</v>
      </c>
      <c r="F46" s="19">
        <f>E21</f>
        <v>0</v>
      </c>
      <c r="G46" s="20">
        <f>SUM(D46:F46)</f>
        <v>3596.12</v>
      </c>
    </row>
    <row r="47" spans="1:7">
      <c r="D47" s="18">
        <f>SUM(D49:D65)</f>
        <v>1446.05</v>
      </c>
      <c r="E47" s="19">
        <f>SUM(E49:E65)</f>
        <v>2150.0700000000002</v>
      </c>
      <c r="F47" s="19">
        <f>SUM(F49:F65)</f>
        <v>0</v>
      </c>
      <c r="G47" s="20">
        <f>SUM(D47:F47)</f>
        <v>3596.12</v>
      </c>
    </row>
    <row r="48" spans="1:7" ht="13.5" thickBot="1">
      <c r="D48" s="30" t="s">
        <v>142</v>
      </c>
      <c r="E48" s="31" t="s">
        <v>143</v>
      </c>
      <c r="F48" s="31" t="s">
        <v>144</v>
      </c>
      <c r="G48" s="32"/>
    </row>
    <row r="49" spans="1:13">
      <c r="A49" t="s">
        <v>172</v>
      </c>
      <c r="B49" t="s">
        <v>173</v>
      </c>
      <c r="D49" s="15">
        <f>55.79+58.68+43.78+2.5</f>
        <v>160.75</v>
      </c>
      <c r="E49" s="16">
        <f>36.18+26.78+41.76+30.4+17.73+24.8</f>
        <v>177.65</v>
      </c>
      <c r="F49" s="17"/>
      <c r="G49" s="24">
        <f>SUM(D49:F49)</f>
        <v>338.4</v>
      </c>
    </row>
    <row r="50" spans="1:13">
      <c r="A50" t="s">
        <v>174</v>
      </c>
      <c r="B50" t="s">
        <v>259</v>
      </c>
      <c r="D50" s="18">
        <f>43.82</f>
        <v>43.82</v>
      </c>
      <c r="E50" s="19">
        <f>86.28</f>
        <v>86.28</v>
      </c>
      <c r="F50" s="20"/>
      <c r="G50" s="25">
        <f t="shared" ref="G50:G65" si="0">SUM(D50:F50)</f>
        <v>130.1</v>
      </c>
    </row>
    <row r="51" spans="1:13">
      <c r="A51" t="s">
        <v>178</v>
      </c>
      <c r="D51" s="18"/>
      <c r="E51" s="19"/>
      <c r="F51" s="20"/>
      <c r="G51" s="25">
        <f t="shared" si="0"/>
        <v>0</v>
      </c>
    </row>
    <row r="52" spans="1:13">
      <c r="A52" t="s">
        <v>179</v>
      </c>
      <c r="D52" s="18"/>
      <c r="E52" s="19"/>
      <c r="F52" s="20"/>
      <c r="G52" s="25">
        <f t="shared" si="0"/>
        <v>0</v>
      </c>
    </row>
    <row r="53" spans="1:13">
      <c r="A53" t="s">
        <v>181</v>
      </c>
      <c r="B53" s="33" t="s">
        <v>152</v>
      </c>
      <c r="D53" s="18">
        <f>699.89+59.95+14.99</f>
        <v>774.83</v>
      </c>
      <c r="E53" s="19">
        <f>33.29</f>
        <v>33.29</v>
      </c>
      <c r="F53" s="20"/>
      <c r="G53" s="25">
        <f t="shared" si="0"/>
        <v>808.12</v>
      </c>
      <c r="H53" t="s">
        <v>239</v>
      </c>
      <c r="K53" t="s">
        <v>258</v>
      </c>
    </row>
    <row r="54" spans="1:13">
      <c r="A54" t="s">
        <v>176</v>
      </c>
      <c r="B54" s="33"/>
      <c r="D54" s="18"/>
      <c r="E54" s="19">
        <v>1098.9000000000001</v>
      </c>
      <c r="F54" s="20"/>
      <c r="G54" s="25">
        <f t="shared" si="0"/>
        <v>1098.9000000000001</v>
      </c>
      <c r="H54" t="s">
        <v>257</v>
      </c>
    </row>
    <row r="55" spans="1:13">
      <c r="A55" t="s">
        <v>54</v>
      </c>
      <c r="D55" s="18">
        <f>1.77+3.59+58.18+7.39+6.79+3.14+11.43+1.81+3.59</f>
        <v>97.69</v>
      </c>
      <c r="E55" s="19">
        <f>34</f>
        <v>34</v>
      </c>
      <c r="F55" s="20"/>
      <c r="G55" s="25">
        <f t="shared" si="0"/>
        <v>131.69</v>
      </c>
      <c r="H55" s="34" t="s">
        <v>263</v>
      </c>
    </row>
    <row r="56" spans="1:13">
      <c r="A56" t="s">
        <v>180</v>
      </c>
      <c r="D56" s="18">
        <f>47.72+29.53+26.31</f>
        <v>103.56</v>
      </c>
      <c r="E56" s="19">
        <v>41.76</v>
      </c>
      <c r="F56" s="20"/>
      <c r="G56" s="25">
        <f t="shared" si="0"/>
        <v>145.32</v>
      </c>
    </row>
    <row r="57" spans="1:13">
      <c r="A57" t="s">
        <v>53</v>
      </c>
      <c r="B57" t="s">
        <v>148</v>
      </c>
      <c r="D57" s="18">
        <f>75+75+20</f>
        <v>170</v>
      </c>
      <c r="E57" s="19"/>
      <c r="F57" s="20"/>
      <c r="G57" s="25">
        <f t="shared" si="0"/>
        <v>170</v>
      </c>
    </row>
    <row r="58" spans="1:13">
      <c r="A58" t="s">
        <v>56</v>
      </c>
      <c r="B58" t="s">
        <v>151</v>
      </c>
      <c r="D58" s="18">
        <v>46.54</v>
      </c>
      <c r="E58" s="19">
        <f>38.06</f>
        <v>38.06</v>
      </c>
      <c r="F58" s="20"/>
      <c r="G58" s="25">
        <f t="shared" si="0"/>
        <v>84.6</v>
      </c>
    </row>
    <row r="59" spans="1:13">
      <c r="A59" t="s">
        <v>87</v>
      </c>
      <c r="D59" s="18"/>
      <c r="E59" s="19">
        <f>491.13+112+37</f>
        <v>640.13</v>
      </c>
      <c r="F59" s="20"/>
      <c r="G59" s="25">
        <f t="shared" si="0"/>
        <v>640.13</v>
      </c>
      <c r="H59" t="s">
        <v>256</v>
      </c>
      <c r="M59" t="s">
        <v>264</v>
      </c>
    </row>
    <row r="60" spans="1:13">
      <c r="A60" t="s">
        <v>153</v>
      </c>
      <c r="D60" s="18"/>
      <c r="E60" s="19"/>
      <c r="F60" s="20"/>
      <c r="G60" s="25">
        <f t="shared" si="0"/>
        <v>0</v>
      </c>
    </row>
    <row r="61" spans="1:13">
      <c r="A61" t="s">
        <v>200</v>
      </c>
      <c r="B61" t="s">
        <v>184</v>
      </c>
      <c r="D61" s="18"/>
      <c r="E61" s="19"/>
      <c r="F61" s="20"/>
      <c r="G61" s="25">
        <f t="shared" si="0"/>
        <v>0</v>
      </c>
    </row>
    <row r="62" spans="1:13">
      <c r="A62" t="s">
        <v>55</v>
      </c>
      <c r="B62" t="s">
        <v>57</v>
      </c>
      <c r="D62" s="18">
        <f>49.16+13.4-20.93-12.76</f>
        <v>28.869999999999997</v>
      </c>
      <c r="E62" s="19"/>
      <c r="F62" s="20"/>
      <c r="G62" s="25">
        <f t="shared" si="0"/>
        <v>28.869999999999997</v>
      </c>
      <c r="H62" t="s">
        <v>260</v>
      </c>
    </row>
    <row r="63" spans="1:13">
      <c r="A63" t="s">
        <v>182</v>
      </c>
      <c r="D63" s="18"/>
      <c r="E63" s="19"/>
      <c r="F63" s="20"/>
      <c r="G63" s="25">
        <f t="shared" si="0"/>
        <v>0</v>
      </c>
    </row>
    <row r="64" spans="1:13">
      <c r="A64" t="s">
        <v>141</v>
      </c>
      <c r="B64" t="s">
        <v>58</v>
      </c>
      <c r="D64" s="18"/>
      <c r="E64" s="19"/>
      <c r="F64" s="20"/>
      <c r="G64" s="25">
        <f t="shared" si="0"/>
        <v>0</v>
      </c>
    </row>
    <row r="65" spans="1:8" ht="13.5" thickBot="1">
      <c r="A65" t="s">
        <v>145</v>
      </c>
      <c r="B65" t="s">
        <v>150</v>
      </c>
      <c r="D65" s="21">
        <v>19.989999999999998</v>
      </c>
      <c r="E65" s="22"/>
      <c r="F65" s="23"/>
      <c r="G65" s="26">
        <f t="shared" si="0"/>
        <v>19.989999999999998</v>
      </c>
      <c r="H65" t="s">
        <v>197</v>
      </c>
    </row>
    <row r="66" spans="1:8">
      <c r="G66">
        <f>SUM(G49:G65)</f>
        <v>3596.12</v>
      </c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6"/>
  <sheetViews>
    <sheetView workbookViewId="0">
      <selection activeCell="S41" sqref="S41"/>
    </sheetView>
  </sheetViews>
  <sheetFormatPr defaultRowHeight="12.75"/>
  <cols>
    <col min="1" max="1" width="17.85546875" customWidth="1"/>
    <col min="2" max="2" width="14.7109375" customWidth="1"/>
  </cols>
  <sheetData>
    <row r="1" spans="1:10" s="3" customFormat="1">
      <c r="A1" s="1" t="s">
        <v>15</v>
      </c>
      <c r="B1" s="4">
        <v>2010</v>
      </c>
    </row>
    <row r="2" spans="1:10" s="3" customFormat="1">
      <c r="A2" s="1" t="s">
        <v>1</v>
      </c>
      <c r="B2" s="1" t="s">
        <v>41</v>
      </c>
    </row>
    <row r="4" spans="1:10">
      <c r="A4" s="1" t="s">
        <v>18</v>
      </c>
      <c r="B4" s="5">
        <f>SUM(I5:I9)</f>
        <v>21035.03</v>
      </c>
      <c r="I4">
        <f>SUM(I5:I9)</f>
        <v>21035.03</v>
      </c>
    </row>
    <row r="5" spans="1:10">
      <c r="B5" t="s">
        <v>51</v>
      </c>
      <c r="C5">
        <v>2813.44</v>
      </c>
      <c r="D5">
        <v>2813.43</v>
      </c>
      <c r="E5">
        <v>12607.36</v>
      </c>
      <c r="F5">
        <v>0</v>
      </c>
      <c r="G5">
        <v>0</v>
      </c>
      <c r="I5" s="3">
        <f>SUM(C5:H5)</f>
        <v>18234.23</v>
      </c>
      <c r="J5" t="s">
        <v>272</v>
      </c>
    </row>
    <row r="6" spans="1:10">
      <c r="B6" t="s">
        <v>17</v>
      </c>
      <c r="C6">
        <v>0</v>
      </c>
      <c r="D6">
        <v>0</v>
      </c>
      <c r="I6" s="3">
        <f>SUM(C6:H6)</f>
        <v>0</v>
      </c>
    </row>
    <row r="7" spans="1:10">
      <c r="B7" t="s">
        <v>52</v>
      </c>
      <c r="C7">
        <v>800.37</v>
      </c>
      <c r="I7" s="3">
        <f>SUM(C7:H7)</f>
        <v>800.37</v>
      </c>
    </row>
    <row r="8" spans="1:10">
      <c r="B8" t="s">
        <v>219</v>
      </c>
      <c r="C8">
        <v>0</v>
      </c>
      <c r="I8" s="3">
        <f>SUM(C8:H8)</f>
        <v>0</v>
      </c>
    </row>
    <row r="9" spans="1:10">
      <c r="B9" t="s">
        <v>235</v>
      </c>
      <c r="C9">
        <v>2000.43</v>
      </c>
      <c r="I9" s="3">
        <f>SUM(C9:H9)</f>
        <v>2000.43</v>
      </c>
    </row>
    <row r="11" spans="1:10">
      <c r="A11" s="1" t="s">
        <v>19</v>
      </c>
      <c r="B11" s="5">
        <f>Tithe!F5</f>
        <v>1210</v>
      </c>
    </row>
    <row r="14" spans="1:10">
      <c r="A14" s="1" t="s">
        <v>20</v>
      </c>
      <c r="B14" s="5">
        <f>SUM(E15:E34)</f>
        <v>3703.9500000000003</v>
      </c>
    </row>
    <row r="15" spans="1:10">
      <c r="A15" s="1"/>
      <c r="B15" t="s">
        <v>26</v>
      </c>
      <c r="C15" t="s">
        <v>27</v>
      </c>
      <c r="E15">
        <v>2000</v>
      </c>
    </row>
    <row r="16" spans="1:10">
      <c r="B16" t="s">
        <v>0</v>
      </c>
      <c r="C16" t="s">
        <v>24</v>
      </c>
      <c r="E16">
        <v>107.63</v>
      </c>
    </row>
    <row r="17" spans="2:10">
      <c r="B17" t="s">
        <v>22</v>
      </c>
      <c r="C17" t="s">
        <v>78</v>
      </c>
      <c r="E17">
        <v>43.65</v>
      </c>
      <c r="F17" t="s">
        <v>255</v>
      </c>
    </row>
    <row r="18" spans="2:10">
      <c r="B18" t="s">
        <v>21</v>
      </c>
      <c r="E18">
        <v>0</v>
      </c>
    </row>
    <row r="19" spans="2:10">
      <c r="B19" t="s">
        <v>100</v>
      </c>
      <c r="C19" t="s">
        <v>28</v>
      </c>
      <c r="E19">
        <v>59.04</v>
      </c>
    </row>
    <row r="20" spans="2:10">
      <c r="B20" t="s">
        <v>29</v>
      </c>
      <c r="E20">
        <v>250</v>
      </c>
      <c r="F20" s="6">
        <v>40238</v>
      </c>
    </row>
    <row r="21" spans="2:10">
      <c r="B21" t="s">
        <v>30</v>
      </c>
      <c r="C21" t="s">
        <v>27</v>
      </c>
      <c r="F21" t="s">
        <v>95</v>
      </c>
    </row>
    <row r="22" spans="2:10">
      <c r="B22" t="s">
        <v>30</v>
      </c>
      <c r="C22" t="s">
        <v>105</v>
      </c>
      <c r="E22">
        <v>579.69000000000005</v>
      </c>
      <c r="F22" t="s">
        <v>207</v>
      </c>
    </row>
    <row r="23" spans="2:10">
      <c r="B23" t="s">
        <v>30</v>
      </c>
      <c r="C23" t="s">
        <v>27</v>
      </c>
      <c r="E23">
        <v>588.94000000000005</v>
      </c>
      <c r="F23" t="s">
        <v>107</v>
      </c>
      <c r="J23" t="s">
        <v>265</v>
      </c>
    </row>
    <row r="24" spans="2:10">
      <c r="B24" t="s">
        <v>96</v>
      </c>
    </row>
    <row r="25" spans="2:10">
      <c r="B25" t="s">
        <v>98</v>
      </c>
    </row>
    <row r="26" spans="2:10">
      <c r="B26" t="s">
        <v>59</v>
      </c>
    </row>
    <row r="27" spans="2:10">
      <c r="B27" t="s">
        <v>97</v>
      </c>
    </row>
    <row r="28" spans="2:10">
      <c r="B28" t="s">
        <v>91</v>
      </c>
      <c r="E28">
        <v>0</v>
      </c>
    </row>
    <row r="29" spans="2:10">
      <c r="B29" t="s">
        <v>99</v>
      </c>
      <c r="E29">
        <v>0</v>
      </c>
    </row>
    <row r="30" spans="2:10">
      <c r="B30" t="s">
        <v>221</v>
      </c>
      <c r="C30" t="s">
        <v>222</v>
      </c>
      <c r="E30">
        <v>75</v>
      </c>
      <c r="F30" t="s">
        <v>271</v>
      </c>
    </row>
    <row r="36" spans="1:8">
      <c r="A36" s="1" t="s">
        <v>31</v>
      </c>
      <c r="B36" s="5">
        <f>B4-B11-B14</f>
        <v>16121.079999999998</v>
      </c>
    </row>
    <row r="37" spans="1:8">
      <c r="A37" s="1"/>
      <c r="B37" s="1"/>
    </row>
    <row r="38" spans="1:8">
      <c r="A38" s="1" t="s">
        <v>32</v>
      </c>
      <c r="B38" s="5">
        <v>600</v>
      </c>
      <c r="D38" t="s">
        <v>33</v>
      </c>
      <c r="E38" t="s">
        <v>34</v>
      </c>
      <c r="F38" t="s">
        <v>234</v>
      </c>
    </row>
    <row r="39" spans="1:8">
      <c r="A39" s="1" t="s">
        <v>90</v>
      </c>
      <c r="B39" s="1"/>
      <c r="D39" t="s">
        <v>93</v>
      </c>
    </row>
    <row r="40" spans="1:8">
      <c r="A40" s="1" t="s">
        <v>35</v>
      </c>
      <c r="B40" s="5">
        <v>15000</v>
      </c>
      <c r="D40" t="s">
        <v>26</v>
      </c>
    </row>
    <row r="41" spans="1:8">
      <c r="A41" s="1"/>
      <c r="B41" s="1"/>
    </row>
    <row r="42" spans="1:8">
      <c r="A42" s="1" t="s">
        <v>36</v>
      </c>
      <c r="B42" s="5">
        <f>B36+B38+B39-B40</f>
        <v>1721.0799999999981</v>
      </c>
    </row>
    <row r="44" spans="1:8" ht="13.5" thickBot="1"/>
    <row r="45" spans="1:8" ht="13.5" thickBot="1">
      <c r="A45" t="s">
        <v>289</v>
      </c>
      <c r="D45" s="27" t="s">
        <v>105</v>
      </c>
      <c r="E45" s="28" t="s">
        <v>146</v>
      </c>
      <c r="F45" s="28" t="s">
        <v>146</v>
      </c>
      <c r="G45" s="29" t="s">
        <v>63</v>
      </c>
    </row>
    <row r="46" spans="1:8">
      <c r="A46" t="s">
        <v>175</v>
      </c>
      <c r="B46" t="s">
        <v>37</v>
      </c>
      <c r="D46" s="18">
        <f>E22</f>
        <v>579.69000000000005</v>
      </c>
      <c r="E46" s="19">
        <f>E23</f>
        <v>588.94000000000005</v>
      </c>
      <c r="F46" s="19">
        <f>E21</f>
        <v>0</v>
      </c>
      <c r="G46" s="20">
        <f>SUM(D46:F46)</f>
        <v>1168.6300000000001</v>
      </c>
      <c r="H46" t="s">
        <v>268</v>
      </c>
    </row>
    <row r="47" spans="1:8">
      <c r="D47" s="18">
        <f>SUM(D49:D65)</f>
        <v>579.68999999999994</v>
      </c>
      <c r="E47" s="19">
        <f>SUM(E49:E65)</f>
        <v>713.93999999999994</v>
      </c>
      <c r="F47" s="19">
        <f>SUM(F49:F65)</f>
        <v>0</v>
      </c>
      <c r="G47" s="20">
        <f>SUM(D47:F47)</f>
        <v>1293.6299999999999</v>
      </c>
    </row>
    <row r="48" spans="1:8" ht="13.5" thickBot="1">
      <c r="D48" s="30" t="s">
        <v>142</v>
      </c>
      <c r="E48" s="31" t="s">
        <v>143</v>
      </c>
      <c r="F48" s="31" t="s">
        <v>144</v>
      </c>
      <c r="G48" s="32"/>
    </row>
    <row r="49" spans="1:8">
      <c r="A49" t="s">
        <v>172</v>
      </c>
      <c r="B49" t="s">
        <v>173</v>
      </c>
      <c r="D49" s="15"/>
      <c r="E49" s="16">
        <f>61.42+46.43+21.76+34.12+54.57+64.37+52.11+38.87+34.28+47.05+41.02-16.08</f>
        <v>479.91999999999996</v>
      </c>
      <c r="F49" s="17"/>
      <c r="G49" s="24">
        <f>SUM(D49:F49)</f>
        <v>479.91999999999996</v>
      </c>
    </row>
    <row r="50" spans="1:8">
      <c r="A50" t="s">
        <v>174</v>
      </c>
      <c r="B50" t="s">
        <v>261</v>
      </c>
      <c r="D50" s="18"/>
      <c r="E50" s="19">
        <f>107.35-64.37+16.08</f>
        <v>59.059999999999988</v>
      </c>
      <c r="F50" s="20"/>
      <c r="G50" s="25">
        <f t="shared" ref="G50:G65" si="0">SUM(D50:F50)</f>
        <v>59.059999999999988</v>
      </c>
    </row>
    <row r="51" spans="1:8">
      <c r="A51" t="s">
        <v>178</v>
      </c>
      <c r="D51" s="18"/>
      <c r="E51" s="19">
        <v>90.97</v>
      </c>
      <c r="F51" s="20"/>
      <c r="G51" s="25">
        <f t="shared" si="0"/>
        <v>90.97</v>
      </c>
      <c r="H51" t="s">
        <v>262</v>
      </c>
    </row>
    <row r="52" spans="1:8">
      <c r="A52" t="s">
        <v>179</v>
      </c>
      <c r="D52" s="18"/>
      <c r="E52" s="19"/>
      <c r="F52" s="20"/>
      <c r="G52" s="25">
        <f t="shared" si="0"/>
        <v>0</v>
      </c>
    </row>
    <row r="53" spans="1:8">
      <c r="A53" t="s">
        <v>267</v>
      </c>
      <c r="B53" s="33" t="s">
        <v>152</v>
      </c>
      <c r="D53" s="18">
        <v>4.99</v>
      </c>
      <c r="E53" s="19">
        <v>25.77</v>
      </c>
      <c r="F53" s="20"/>
      <c r="G53" s="25">
        <f t="shared" si="0"/>
        <v>30.759999999999998</v>
      </c>
      <c r="H53" t="s">
        <v>266</v>
      </c>
    </row>
    <row r="54" spans="1:8">
      <c r="A54" t="s">
        <v>176</v>
      </c>
      <c r="B54" s="33"/>
      <c r="D54" s="18"/>
      <c r="E54" s="19"/>
      <c r="F54" s="20"/>
      <c r="G54" s="25">
        <f t="shared" si="0"/>
        <v>0</v>
      </c>
    </row>
    <row r="55" spans="1:8">
      <c r="A55" t="s">
        <v>54</v>
      </c>
      <c r="D55" s="18">
        <f>5.77+25.5+40.43+1.87+1.77+16.45+6+1.87+17</f>
        <v>116.66000000000001</v>
      </c>
      <c r="E55" s="19"/>
      <c r="F55" s="20"/>
      <c r="G55" s="25">
        <f t="shared" si="0"/>
        <v>116.66000000000001</v>
      </c>
    </row>
    <row r="56" spans="1:8">
      <c r="A56" t="s">
        <v>180</v>
      </c>
      <c r="D56" s="18">
        <f>23.57+41.95+26.44+46.36</f>
        <v>138.32</v>
      </c>
      <c r="F56" s="20"/>
      <c r="G56" s="25">
        <f t="shared" si="0"/>
        <v>138.32</v>
      </c>
    </row>
    <row r="57" spans="1:8">
      <c r="A57" t="s">
        <v>53</v>
      </c>
      <c r="B57" t="s">
        <v>148</v>
      </c>
      <c r="D57" s="18">
        <f>75+20+75+75+20</f>
        <v>265</v>
      </c>
      <c r="F57" s="20"/>
      <c r="G57" s="25">
        <f t="shared" si="0"/>
        <v>265</v>
      </c>
    </row>
    <row r="58" spans="1:8">
      <c r="A58" t="s">
        <v>56</v>
      </c>
      <c r="B58" t="s">
        <v>151</v>
      </c>
      <c r="D58" s="18">
        <v>46.54</v>
      </c>
      <c r="E58" s="19">
        <f>38.22</f>
        <v>38.22</v>
      </c>
      <c r="F58" s="20"/>
      <c r="G58" s="25">
        <f t="shared" si="0"/>
        <v>84.759999999999991</v>
      </c>
    </row>
    <row r="59" spans="1:8">
      <c r="A59" t="s">
        <v>87</v>
      </c>
      <c r="D59" s="18"/>
      <c r="E59" s="19"/>
      <c r="F59" s="20"/>
      <c r="G59" s="25">
        <f t="shared" si="0"/>
        <v>0</v>
      </c>
    </row>
    <row r="60" spans="1:8">
      <c r="A60" t="s">
        <v>153</v>
      </c>
      <c r="D60" s="18"/>
      <c r="E60" s="19"/>
      <c r="F60" s="20"/>
      <c r="G60" s="25">
        <f t="shared" si="0"/>
        <v>0</v>
      </c>
    </row>
    <row r="61" spans="1:8">
      <c r="A61" t="s">
        <v>206</v>
      </c>
      <c r="B61" t="s">
        <v>184</v>
      </c>
      <c r="D61" s="18"/>
      <c r="E61" s="19"/>
      <c r="F61" s="20"/>
      <c r="G61" s="25">
        <f t="shared" si="0"/>
        <v>0</v>
      </c>
    </row>
    <row r="62" spans="1:8">
      <c r="A62" t="s">
        <v>55</v>
      </c>
      <c r="B62" t="s">
        <v>57</v>
      </c>
      <c r="D62" s="18"/>
      <c r="E62" s="19"/>
      <c r="F62" s="20"/>
      <c r="G62" s="25">
        <f t="shared" si="0"/>
        <v>0</v>
      </c>
    </row>
    <row r="63" spans="1:8">
      <c r="A63" t="s">
        <v>182</v>
      </c>
      <c r="D63" s="18"/>
      <c r="E63" s="19"/>
      <c r="F63" s="20"/>
      <c r="G63" s="25">
        <f t="shared" si="0"/>
        <v>0</v>
      </c>
    </row>
    <row r="64" spans="1:8">
      <c r="A64" t="s">
        <v>141</v>
      </c>
      <c r="B64" t="s">
        <v>58</v>
      </c>
      <c r="D64" s="18"/>
      <c r="E64" s="19"/>
      <c r="F64" s="20"/>
      <c r="G64" s="25">
        <f t="shared" si="0"/>
        <v>0</v>
      </c>
    </row>
    <row r="65" spans="1:7" ht="13.5" thickBot="1">
      <c r="A65" t="s">
        <v>145</v>
      </c>
      <c r="B65" t="s">
        <v>205</v>
      </c>
      <c r="D65" s="21">
        <f>3.59+4.59</f>
        <v>8.18</v>
      </c>
      <c r="E65" s="22">
        <v>20</v>
      </c>
      <c r="F65" s="23"/>
      <c r="G65" s="26">
        <f t="shared" si="0"/>
        <v>28.18</v>
      </c>
    </row>
    <row r="66" spans="1:7">
      <c r="G66">
        <f>SUM(G49:G65)</f>
        <v>1293.6299999999999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6"/>
  <sheetViews>
    <sheetView workbookViewId="0">
      <selection activeCell="D63" sqref="D63"/>
    </sheetView>
  </sheetViews>
  <sheetFormatPr defaultRowHeight="12.75"/>
  <cols>
    <col min="1" max="1" width="17.85546875" customWidth="1"/>
    <col min="2" max="2" width="14.7109375" customWidth="1"/>
  </cols>
  <sheetData>
    <row r="1" spans="1:9" s="3" customFormat="1">
      <c r="A1" s="1" t="s">
        <v>15</v>
      </c>
      <c r="B1" s="4">
        <v>2010</v>
      </c>
    </row>
    <row r="2" spans="1:9" s="3" customFormat="1">
      <c r="A2" s="1" t="s">
        <v>1</v>
      </c>
      <c r="B2" s="1" t="s">
        <v>42</v>
      </c>
    </row>
    <row r="4" spans="1:9">
      <c r="A4" s="1" t="s">
        <v>18</v>
      </c>
      <c r="B4" s="5">
        <f>SUM(I5:I9)</f>
        <v>9842.2800000000007</v>
      </c>
      <c r="I4">
        <f>SUM(I5:I9)</f>
        <v>9842.2800000000007</v>
      </c>
    </row>
    <row r="5" spans="1:9">
      <c r="B5" t="s">
        <v>51</v>
      </c>
      <c r="C5">
        <v>2813.44</v>
      </c>
      <c r="D5">
        <v>2872.78</v>
      </c>
      <c r="E5">
        <v>0</v>
      </c>
      <c r="F5">
        <v>0</v>
      </c>
      <c r="G5">
        <v>0</v>
      </c>
      <c r="I5" s="3">
        <f>SUM(C5:H5)</f>
        <v>5686.22</v>
      </c>
    </row>
    <row r="6" spans="1:9">
      <c r="B6" t="s">
        <v>17</v>
      </c>
      <c r="C6">
        <v>677.62</v>
      </c>
      <c r="D6">
        <v>677.63</v>
      </c>
      <c r="I6" s="3">
        <f>SUM(C6:H6)</f>
        <v>1355.25</v>
      </c>
    </row>
    <row r="7" spans="1:9">
      <c r="B7" t="s">
        <v>52</v>
      </c>
      <c r="C7">
        <v>800.37</v>
      </c>
      <c r="I7" s="3">
        <f>SUM(C7:H7)</f>
        <v>800.37</v>
      </c>
    </row>
    <row r="8" spans="1:9">
      <c r="B8" t="s">
        <v>219</v>
      </c>
      <c r="C8">
        <v>0</v>
      </c>
      <c r="I8" s="3">
        <f>SUM(C8:H8)</f>
        <v>0</v>
      </c>
    </row>
    <row r="9" spans="1:9">
      <c r="B9" t="s">
        <v>235</v>
      </c>
      <c r="C9">
        <v>2000.44</v>
      </c>
      <c r="I9" s="3">
        <f>SUM(C9:H9)</f>
        <v>2000.44</v>
      </c>
    </row>
    <row r="11" spans="1:9">
      <c r="A11" s="1" t="s">
        <v>19</v>
      </c>
      <c r="B11" s="5">
        <f>Tithe!F6</f>
        <v>1300</v>
      </c>
    </row>
    <row r="14" spans="1:9">
      <c r="A14" s="1" t="s">
        <v>20</v>
      </c>
      <c r="B14" s="5">
        <f>SUM(E15:E34)</f>
        <v>4689.91</v>
      </c>
    </row>
    <row r="15" spans="1:9">
      <c r="A15" s="1"/>
      <c r="B15" t="s">
        <v>26</v>
      </c>
      <c r="C15" t="s">
        <v>27</v>
      </c>
      <c r="E15">
        <v>2000</v>
      </c>
    </row>
    <row r="16" spans="1:9">
      <c r="B16" t="s">
        <v>0</v>
      </c>
      <c r="C16" t="s">
        <v>24</v>
      </c>
      <c r="E16">
        <v>104.92</v>
      </c>
    </row>
    <row r="17" spans="2:7">
      <c r="B17" t="s">
        <v>22</v>
      </c>
      <c r="C17" t="s">
        <v>78</v>
      </c>
    </row>
    <row r="18" spans="2:7">
      <c r="B18" t="s">
        <v>21</v>
      </c>
      <c r="E18">
        <v>0</v>
      </c>
    </row>
    <row r="19" spans="2:7">
      <c r="B19" t="s">
        <v>100</v>
      </c>
      <c r="C19" t="s">
        <v>28</v>
      </c>
      <c r="E19">
        <v>59.04</v>
      </c>
    </row>
    <row r="20" spans="2:7">
      <c r="B20" t="s">
        <v>29</v>
      </c>
      <c r="E20">
        <v>200</v>
      </c>
      <c r="F20" s="6">
        <v>40263</v>
      </c>
      <c r="G20" s="6"/>
    </row>
    <row r="21" spans="2:7">
      <c r="B21" t="s">
        <v>30</v>
      </c>
      <c r="C21" t="s">
        <v>27</v>
      </c>
      <c r="F21" t="s">
        <v>95</v>
      </c>
    </row>
    <row r="22" spans="2:7">
      <c r="B22" t="s">
        <v>30</v>
      </c>
      <c r="C22" t="s">
        <v>105</v>
      </c>
      <c r="E22">
        <v>1408.67</v>
      </c>
      <c r="F22" t="s">
        <v>106</v>
      </c>
    </row>
    <row r="23" spans="2:7">
      <c r="B23" t="s">
        <v>30</v>
      </c>
      <c r="C23" t="s">
        <v>27</v>
      </c>
      <c r="E23">
        <v>697.28</v>
      </c>
      <c r="F23" t="s">
        <v>107</v>
      </c>
    </row>
    <row r="24" spans="2:7">
      <c r="B24" t="s">
        <v>96</v>
      </c>
    </row>
    <row r="25" spans="2:7">
      <c r="B25" t="s">
        <v>98</v>
      </c>
    </row>
    <row r="26" spans="2:7">
      <c r="B26" t="s">
        <v>59</v>
      </c>
    </row>
    <row r="27" spans="2:7">
      <c r="B27" t="s">
        <v>97</v>
      </c>
      <c r="E27">
        <v>145</v>
      </c>
      <c r="F27" t="s">
        <v>300</v>
      </c>
    </row>
    <row r="28" spans="2:7">
      <c r="B28" t="s">
        <v>91</v>
      </c>
      <c r="E28">
        <v>0</v>
      </c>
    </row>
    <row r="29" spans="2:7">
      <c r="B29" t="s">
        <v>99</v>
      </c>
      <c r="E29">
        <v>0</v>
      </c>
    </row>
    <row r="30" spans="2:7">
      <c r="B30" t="s">
        <v>221</v>
      </c>
      <c r="C30" t="s">
        <v>222</v>
      </c>
      <c r="E30">
        <v>75</v>
      </c>
      <c r="F30" t="s">
        <v>279</v>
      </c>
    </row>
    <row r="36" spans="1:7">
      <c r="A36" s="1" t="s">
        <v>31</v>
      </c>
      <c r="B36" s="5">
        <f>B4-B11-B14</f>
        <v>3852.3700000000008</v>
      </c>
    </row>
    <row r="37" spans="1:7">
      <c r="A37" s="1"/>
      <c r="B37" s="1"/>
    </row>
    <row r="38" spans="1:7">
      <c r="A38" s="1" t="s">
        <v>32</v>
      </c>
      <c r="B38" s="5"/>
      <c r="D38" t="s">
        <v>33</v>
      </c>
      <c r="E38" t="s">
        <v>34</v>
      </c>
      <c r="F38" t="s">
        <v>269</v>
      </c>
    </row>
    <row r="39" spans="1:7">
      <c r="A39" s="1" t="s">
        <v>90</v>
      </c>
      <c r="B39" s="1"/>
      <c r="D39" t="s">
        <v>93</v>
      </c>
    </row>
    <row r="40" spans="1:7">
      <c r="A40" s="1" t="s">
        <v>35</v>
      </c>
      <c r="B40" s="5">
        <v>7000</v>
      </c>
      <c r="D40" t="s">
        <v>26</v>
      </c>
    </row>
    <row r="41" spans="1:7">
      <c r="A41" s="1"/>
      <c r="B41" s="1"/>
    </row>
    <row r="42" spans="1:7">
      <c r="A42" s="1" t="s">
        <v>36</v>
      </c>
      <c r="B42" s="5">
        <f>B36+B38+B39-B40</f>
        <v>-3147.6299999999992</v>
      </c>
    </row>
    <row r="44" spans="1:7" ht="13.5" thickBot="1"/>
    <row r="45" spans="1:7" ht="13.5" thickBot="1">
      <c r="A45" t="s">
        <v>289</v>
      </c>
      <c r="D45" s="27" t="s">
        <v>105</v>
      </c>
      <c r="E45" s="28" t="s">
        <v>146</v>
      </c>
      <c r="F45" s="28" t="s">
        <v>146</v>
      </c>
      <c r="G45" s="29" t="s">
        <v>63</v>
      </c>
    </row>
    <row r="46" spans="1:7">
      <c r="A46" t="s">
        <v>175</v>
      </c>
      <c r="B46" t="s">
        <v>41</v>
      </c>
      <c r="D46" s="18">
        <f>E22</f>
        <v>1408.67</v>
      </c>
      <c r="E46" s="19">
        <f>E23</f>
        <v>697.28</v>
      </c>
      <c r="F46" s="19">
        <f>E21</f>
        <v>0</v>
      </c>
      <c r="G46" s="20">
        <f>SUM(D46:F46)</f>
        <v>2105.9499999999998</v>
      </c>
    </row>
    <row r="47" spans="1:7">
      <c r="D47" s="18">
        <f>SUM(D49:D65)</f>
        <v>1408.6699999999998</v>
      </c>
      <c r="E47" s="19">
        <f>SUM(E49:E65)</f>
        <v>697.28000000000009</v>
      </c>
      <c r="F47" s="19">
        <f>SUM(F49:F65)</f>
        <v>0</v>
      </c>
      <c r="G47" s="20">
        <f>SUM(D47:F47)</f>
        <v>2105.9499999999998</v>
      </c>
    </row>
    <row r="48" spans="1:7" ht="13.5" thickBot="1">
      <c r="D48" s="30" t="s">
        <v>142</v>
      </c>
      <c r="E48" s="31" t="s">
        <v>143</v>
      </c>
      <c r="F48" s="31" t="s">
        <v>144</v>
      </c>
      <c r="G48" s="32"/>
    </row>
    <row r="49" spans="1:10">
      <c r="A49" t="s">
        <v>172</v>
      </c>
      <c r="B49" t="s">
        <v>270</v>
      </c>
      <c r="D49" s="15">
        <f>11.17+6.97+12.76</f>
        <v>30.9</v>
      </c>
      <c r="E49" s="16">
        <f>34.86+14.55+23.27+44.03+42.49+65.49+2.18+25.29+11.44+51.97+44.18+27.41</f>
        <v>387.16000000000008</v>
      </c>
      <c r="F49" s="17"/>
      <c r="G49" s="24">
        <f>SUM(D49:F49)</f>
        <v>418.06000000000006</v>
      </c>
    </row>
    <row r="50" spans="1:10">
      <c r="A50" t="s">
        <v>174</v>
      </c>
      <c r="B50" t="s">
        <v>261</v>
      </c>
      <c r="D50" s="18">
        <f>79.88</f>
        <v>79.88</v>
      </c>
      <c r="E50" s="19"/>
      <c r="F50" s="20"/>
      <c r="G50" s="25">
        <f t="shared" ref="G50:G65" si="0">SUM(D50:F50)</f>
        <v>79.88</v>
      </c>
    </row>
    <row r="51" spans="1:10">
      <c r="A51" t="s">
        <v>178</v>
      </c>
      <c r="D51" s="18">
        <f>4.24</f>
        <v>4.24</v>
      </c>
      <c r="E51" s="19">
        <f>45.91-3-9-2.18-8.73</f>
        <v>22.999999999999996</v>
      </c>
      <c r="F51" s="20"/>
      <c r="G51" s="25">
        <f t="shared" si="0"/>
        <v>27.239999999999995</v>
      </c>
      <c r="H51" t="s">
        <v>278</v>
      </c>
    </row>
    <row r="52" spans="1:10">
      <c r="A52" t="s">
        <v>179</v>
      </c>
      <c r="D52" s="18"/>
      <c r="E52" s="19"/>
      <c r="F52" s="20"/>
      <c r="G52" s="25">
        <f t="shared" si="0"/>
        <v>0</v>
      </c>
    </row>
    <row r="53" spans="1:10">
      <c r="A53" t="s">
        <v>267</v>
      </c>
      <c r="B53" s="33" t="s">
        <v>152</v>
      </c>
      <c r="D53" s="18">
        <f>299.98+116.96</f>
        <v>416.94</v>
      </c>
      <c r="E53" s="19">
        <f>34.98+25.97+3+9</f>
        <v>72.949999999999989</v>
      </c>
      <c r="F53" s="20"/>
      <c r="G53" s="25">
        <f t="shared" si="0"/>
        <v>489.89</v>
      </c>
      <c r="H53" t="s">
        <v>285</v>
      </c>
      <c r="J53" t="s">
        <v>277</v>
      </c>
    </row>
    <row r="54" spans="1:10">
      <c r="A54" t="s">
        <v>176</v>
      </c>
      <c r="B54" s="33"/>
      <c r="D54" s="18"/>
      <c r="E54" s="19">
        <f>0.88+2.97+2.44+2.44</f>
        <v>8.73</v>
      </c>
      <c r="F54" s="20"/>
      <c r="G54" s="25">
        <f t="shared" si="0"/>
        <v>8.73</v>
      </c>
    </row>
    <row r="55" spans="1:10">
      <c r="A55" t="s">
        <v>54</v>
      </c>
      <c r="D55" s="18">
        <f>14.37+3.57+2.99+6.64+20.11+1.5+2.74</f>
        <v>51.92</v>
      </c>
      <c r="E55" s="19">
        <f>21.8+23.61+33.17</f>
        <v>78.58</v>
      </c>
      <c r="F55" s="20"/>
      <c r="G55" s="25">
        <f t="shared" si="0"/>
        <v>130.5</v>
      </c>
    </row>
    <row r="56" spans="1:10">
      <c r="A56" t="s">
        <v>180</v>
      </c>
      <c r="D56" s="18">
        <f>27.13+27.98</f>
        <v>55.11</v>
      </c>
      <c r="E56" s="19">
        <v>47.64</v>
      </c>
      <c r="F56" s="20"/>
      <c r="G56" s="25">
        <f t="shared" si="0"/>
        <v>102.75</v>
      </c>
    </row>
    <row r="57" spans="1:10">
      <c r="A57" t="s">
        <v>53</v>
      </c>
      <c r="B57" t="s">
        <v>148</v>
      </c>
      <c r="D57" s="18">
        <f>75+20</f>
        <v>95</v>
      </c>
      <c r="E57" s="19">
        <v>41</v>
      </c>
      <c r="F57" s="20"/>
      <c r="G57" s="25">
        <f t="shared" si="0"/>
        <v>136</v>
      </c>
    </row>
    <row r="58" spans="1:10">
      <c r="A58" t="s">
        <v>56</v>
      </c>
      <c r="B58" t="s">
        <v>151</v>
      </c>
      <c r="D58" s="18"/>
      <c r="E58" s="19">
        <v>38.22</v>
      </c>
      <c r="F58" s="20"/>
      <c r="G58" s="25">
        <f t="shared" si="0"/>
        <v>38.22</v>
      </c>
    </row>
    <row r="59" spans="1:10">
      <c r="A59" t="s">
        <v>87</v>
      </c>
      <c r="D59" s="18"/>
      <c r="E59" s="19"/>
      <c r="F59" s="20"/>
      <c r="G59" s="25">
        <f t="shared" si="0"/>
        <v>0</v>
      </c>
    </row>
    <row r="60" spans="1:10">
      <c r="A60" t="s">
        <v>153</v>
      </c>
      <c r="D60" s="18">
        <f>30.17+149.29+390.15</f>
        <v>569.6099999999999</v>
      </c>
      <c r="E60" s="19"/>
      <c r="F60" s="20"/>
      <c r="G60" s="25">
        <f t="shared" si="0"/>
        <v>569.6099999999999</v>
      </c>
      <c r="H60" t="s">
        <v>280</v>
      </c>
    </row>
    <row r="61" spans="1:10">
      <c r="A61" t="s">
        <v>206</v>
      </c>
      <c r="B61" t="s">
        <v>184</v>
      </c>
      <c r="D61" s="18"/>
      <c r="E61" s="19"/>
      <c r="F61" s="20"/>
      <c r="G61" s="25">
        <f t="shared" si="0"/>
        <v>0</v>
      </c>
    </row>
    <row r="62" spans="1:10">
      <c r="A62" t="s">
        <v>55</v>
      </c>
      <c r="B62" t="s">
        <v>57</v>
      </c>
      <c r="D62" s="18">
        <f>4.97</f>
        <v>4.97</v>
      </c>
      <c r="E62" s="19"/>
      <c r="F62" s="20"/>
      <c r="G62" s="25">
        <f t="shared" si="0"/>
        <v>4.97</v>
      </c>
    </row>
    <row r="63" spans="1:10">
      <c r="A63" t="s">
        <v>182</v>
      </c>
      <c r="B63" t="s">
        <v>274</v>
      </c>
      <c r="D63" s="18">
        <f>28.97+19.68+12.62+24</f>
        <v>85.27</v>
      </c>
      <c r="E63" s="19"/>
      <c r="F63" s="20"/>
      <c r="G63" s="25">
        <f t="shared" si="0"/>
        <v>85.27</v>
      </c>
    </row>
    <row r="64" spans="1:10">
      <c r="A64" t="s">
        <v>141</v>
      </c>
      <c r="B64" t="s">
        <v>58</v>
      </c>
      <c r="D64" s="18"/>
      <c r="E64" s="19"/>
      <c r="F64" s="20"/>
      <c r="G64" s="25">
        <f t="shared" si="0"/>
        <v>0</v>
      </c>
    </row>
    <row r="65" spans="1:8" ht="13.5" thickBot="1">
      <c r="A65" t="s">
        <v>145</v>
      </c>
      <c r="B65" t="s">
        <v>205</v>
      </c>
      <c r="D65" s="21">
        <v>14.83</v>
      </c>
      <c r="E65" s="22"/>
      <c r="F65" s="23"/>
      <c r="G65" s="26">
        <f t="shared" si="0"/>
        <v>14.83</v>
      </c>
      <c r="H65" t="s">
        <v>286</v>
      </c>
    </row>
    <row r="66" spans="1:8">
      <c r="G66">
        <f>SUM(G49:G65)</f>
        <v>2105.9500000000003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N66"/>
  <sheetViews>
    <sheetView workbookViewId="0">
      <selection activeCell="D63" sqref="D63"/>
    </sheetView>
  </sheetViews>
  <sheetFormatPr defaultRowHeight="12.75"/>
  <cols>
    <col min="1" max="1" width="17.85546875" customWidth="1"/>
    <col min="2" max="2" width="14.7109375" customWidth="1"/>
  </cols>
  <sheetData>
    <row r="1" spans="1:9" s="3" customFormat="1">
      <c r="A1" s="1" t="s">
        <v>15</v>
      </c>
      <c r="B1" s="4">
        <v>2010</v>
      </c>
    </row>
    <row r="2" spans="1:9" s="3" customFormat="1">
      <c r="A2" s="1" t="s">
        <v>1</v>
      </c>
      <c r="B2" s="1" t="s">
        <v>6</v>
      </c>
    </row>
    <row r="4" spans="1:9">
      <c r="A4" s="1" t="s">
        <v>18</v>
      </c>
      <c r="B4" s="5">
        <f>SUM(I5:I9)</f>
        <v>7761.88</v>
      </c>
      <c r="I4">
        <f>SUM(I5:I9)</f>
        <v>7761.88</v>
      </c>
    </row>
    <row r="5" spans="1:9">
      <c r="B5" t="s">
        <v>51</v>
      </c>
      <c r="C5">
        <v>2872.79</v>
      </c>
      <c r="D5">
        <v>2869</v>
      </c>
      <c r="E5">
        <v>0</v>
      </c>
      <c r="F5">
        <v>0</v>
      </c>
      <c r="G5">
        <v>0</v>
      </c>
      <c r="I5" s="3">
        <f>SUM(C5:H5)</f>
        <v>5741.79</v>
      </c>
    </row>
    <row r="6" spans="1:9">
      <c r="B6" t="s">
        <v>17</v>
      </c>
      <c r="C6">
        <v>542.1</v>
      </c>
      <c r="D6">
        <v>677.62</v>
      </c>
      <c r="I6" s="3">
        <f>SUM(C6:H6)</f>
        <v>1219.72</v>
      </c>
    </row>
    <row r="7" spans="1:9">
      <c r="B7" t="s">
        <v>52</v>
      </c>
      <c r="C7">
        <v>800.37</v>
      </c>
      <c r="I7" s="3">
        <f>SUM(C7:H7)</f>
        <v>800.37</v>
      </c>
    </row>
    <row r="8" spans="1:9">
      <c r="B8" t="s">
        <v>219</v>
      </c>
      <c r="C8">
        <v>0</v>
      </c>
      <c r="I8" s="3">
        <f>SUM(C8:H8)</f>
        <v>0</v>
      </c>
    </row>
    <row r="9" spans="1:9">
      <c r="B9" t="s">
        <v>235</v>
      </c>
      <c r="C9">
        <v>0</v>
      </c>
      <c r="I9" s="3">
        <f>SUM(C9:H9)</f>
        <v>0</v>
      </c>
    </row>
    <row r="11" spans="1:9">
      <c r="A11" s="1" t="s">
        <v>19</v>
      </c>
      <c r="B11" s="5">
        <f>Tithe!F7</f>
        <v>675</v>
      </c>
    </row>
    <row r="14" spans="1:9">
      <c r="A14" s="1" t="s">
        <v>20</v>
      </c>
      <c r="B14" s="5">
        <f>SUM(E15:E34)</f>
        <v>7800.82</v>
      </c>
    </row>
    <row r="15" spans="1:9">
      <c r="A15" s="1"/>
      <c r="B15" t="s">
        <v>26</v>
      </c>
      <c r="C15" t="s">
        <v>27</v>
      </c>
      <c r="E15">
        <v>2000</v>
      </c>
    </row>
    <row r="16" spans="1:9">
      <c r="B16" t="s">
        <v>0</v>
      </c>
      <c r="C16" t="s">
        <v>24</v>
      </c>
      <c r="E16">
        <v>94.63</v>
      </c>
    </row>
    <row r="17" spans="2:11">
      <c r="B17" t="s">
        <v>22</v>
      </c>
      <c r="C17" t="s">
        <v>78</v>
      </c>
    </row>
    <row r="18" spans="2:11">
      <c r="B18" t="s">
        <v>21</v>
      </c>
      <c r="E18">
        <v>1673.96</v>
      </c>
      <c r="F18" t="s">
        <v>303</v>
      </c>
    </row>
    <row r="19" spans="2:11">
      <c r="B19" t="s">
        <v>100</v>
      </c>
      <c r="C19" t="s">
        <v>28</v>
      </c>
      <c r="E19">
        <v>60.85</v>
      </c>
    </row>
    <row r="20" spans="2:11">
      <c r="B20" t="s">
        <v>29</v>
      </c>
      <c r="E20">
        <v>125</v>
      </c>
      <c r="F20" s="6">
        <v>40294</v>
      </c>
      <c r="G20" s="6"/>
      <c r="H20" s="6"/>
    </row>
    <row r="21" spans="2:11">
      <c r="B21" t="s">
        <v>30</v>
      </c>
      <c r="C21" t="s">
        <v>27</v>
      </c>
      <c r="F21" t="s">
        <v>95</v>
      </c>
    </row>
    <row r="22" spans="2:11">
      <c r="B22" t="s">
        <v>30</v>
      </c>
      <c r="C22" t="s">
        <v>105</v>
      </c>
      <c r="E22">
        <v>2290.6</v>
      </c>
      <c r="F22" t="s">
        <v>106</v>
      </c>
    </row>
    <row r="23" spans="2:11">
      <c r="B23" t="s">
        <v>30</v>
      </c>
      <c r="C23" t="s">
        <v>27</v>
      </c>
      <c r="E23">
        <v>900.78</v>
      </c>
      <c r="F23" t="s">
        <v>107</v>
      </c>
    </row>
    <row r="24" spans="2:11">
      <c r="B24" t="s">
        <v>96</v>
      </c>
    </row>
    <row r="25" spans="2:11">
      <c r="B25" t="s">
        <v>98</v>
      </c>
      <c r="C25" t="s">
        <v>212</v>
      </c>
    </row>
    <row r="26" spans="2:11">
      <c r="B26" t="s">
        <v>59</v>
      </c>
    </row>
    <row r="27" spans="2:11">
      <c r="B27" t="s">
        <v>97</v>
      </c>
    </row>
    <row r="28" spans="2:11">
      <c r="B28" t="s">
        <v>91</v>
      </c>
      <c r="C28" t="s">
        <v>301</v>
      </c>
      <c r="E28">
        <f>80+120+200</f>
        <v>400</v>
      </c>
      <c r="F28" t="s">
        <v>302</v>
      </c>
      <c r="K28" t="s">
        <v>308</v>
      </c>
    </row>
    <row r="29" spans="2:11">
      <c r="B29" t="s">
        <v>99</v>
      </c>
    </row>
    <row r="30" spans="2:11">
      <c r="B30" t="s">
        <v>221</v>
      </c>
      <c r="C30" t="s">
        <v>222</v>
      </c>
      <c r="E30">
        <v>75</v>
      </c>
      <c r="F30" t="s">
        <v>309</v>
      </c>
    </row>
    <row r="31" spans="2:11">
      <c r="B31" t="s">
        <v>319</v>
      </c>
      <c r="E31">
        <v>180</v>
      </c>
    </row>
    <row r="36" spans="1:7">
      <c r="A36" s="1" t="s">
        <v>31</v>
      </c>
      <c r="B36" s="5">
        <f>B4-B11-B14</f>
        <v>-713.9399999999996</v>
      </c>
    </row>
    <row r="37" spans="1:7">
      <c r="A37" s="1"/>
      <c r="B37" s="1"/>
    </row>
    <row r="38" spans="1:7">
      <c r="A38" s="1" t="s">
        <v>32</v>
      </c>
      <c r="B38" s="5">
        <v>680</v>
      </c>
      <c r="D38" t="s">
        <v>33</v>
      </c>
      <c r="E38" t="s">
        <v>34</v>
      </c>
      <c r="F38" t="s">
        <v>310</v>
      </c>
    </row>
    <row r="39" spans="1:7">
      <c r="A39" s="1" t="s">
        <v>90</v>
      </c>
      <c r="B39" s="44"/>
    </row>
    <row r="40" spans="1:7">
      <c r="A40" s="1" t="s">
        <v>35</v>
      </c>
      <c r="B40" s="5"/>
      <c r="D40" t="s">
        <v>26</v>
      </c>
    </row>
    <row r="41" spans="1:7">
      <c r="A41" s="1"/>
      <c r="B41" s="1"/>
    </row>
    <row r="42" spans="1:7">
      <c r="A42" s="1" t="s">
        <v>36</v>
      </c>
      <c r="B42" s="5">
        <f>B36+B38+B39-B40</f>
        <v>-33.9399999999996</v>
      </c>
    </row>
    <row r="44" spans="1:7" ht="13.5" thickBot="1"/>
    <row r="45" spans="1:7" ht="13.5" thickBot="1">
      <c r="A45" t="s">
        <v>289</v>
      </c>
      <c r="D45" s="27" t="s">
        <v>105</v>
      </c>
      <c r="E45" s="28" t="s">
        <v>146</v>
      </c>
      <c r="F45" s="28" t="s">
        <v>146</v>
      </c>
      <c r="G45" s="29" t="s">
        <v>63</v>
      </c>
    </row>
    <row r="46" spans="1:7">
      <c r="A46" t="s">
        <v>175</v>
      </c>
      <c r="B46" t="s">
        <v>42</v>
      </c>
      <c r="D46" s="18">
        <f>E22</f>
        <v>2290.6</v>
      </c>
      <c r="E46" s="19">
        <f>E23</f>
        <v>900.78</v>
      </c>
      <c r="F46" s="19">
        <f>E21</f>
        <v>0</v>
      </c>
      <c r="G46" s="20">
        <f>SUM(D46:F46)</f>
        <v>3191.38</v>
      </c>
    </row>
    <row r="47" spans="1:7">
      <c r="D47" s="18">
        <f>SUM(D49:D65)</f>
        <v>2290.6</v>
      </c>
      <c r="E47" s="19">
        <f>SUM(E49:E65)</f>
        <v>900.78</v>
      </c>
      <c r="F47" s="19">
        <f>SUM(F49:F65)</f>
        <v>0</v>
      </c>
      <c r="G47" s="20">
        <f>SUM(D47:F47)</f>
        <v>3191.38</v>
      </c>
    </row>
    <row r="48" spans="1:7" ht="13.5" thickBot="1">
      <c r="D48" s="30" t="s">
        <v>142</v>
      </c>
      <c r="E48" s="31" t="s">
        <v>143</v>
      </c>
      <c r="F48" s="31" t="s">
        <v>144</v>
      </c>
      <c r="G48" s="32"/>
    </row>
    <row r="49" spans="1:14">
      <c r="A49" t="s">
        <v>172</v>
      </c>
      <c r="B49" t="s">
        <v>173</v>
      </c>
      <c r="D49" s="15">
        <f>16.8</f>
        <v>16.8</v>
      </c>
      <c r="E49" s="16">
        <f>61.42-13.05-12.94+83.55-5.94+51.04+37.28+42.95+28.98+22.29+4.25+35.44+27.28+74.6+38.36+24.09+19.22</f>
        <v>518.82000000000005</v>
      </c>
      <c r="F49" s="17"/>
      <c r="G49" s="24">
        <f>SUM(D49:F49)</f>
        <v>535.62</v>
      </c>
      <c r="H49" t="s">
        <v>306</v>
      </c>
    </row>
    <row r="50" spans="1:14">
      <c r="A50" t="s">
        <v>174</v>
      </c>
      <c r="B50" t="s">
        <v>261</v>
      </c>
      <c r="D50" s="18">
        <v>50</v>
      </c>
      <c r="E50" s="19">
        <f>13.05+5.94+5+30.25-10-4.25+80.77-35.44-5.97-13.42+50.58</f>
        <v>116.50999999999999</v>
      </c>
      <c r="F50" s="20"/>
      <c r="G50" s="25">
        <f t="shared" ref="G50:G65" si="0">SUM(D50:F50)</f>
        <v>166.51</v>
      </c>
    </row>
    <row r="51" spans="1:14">
      <c r="A51" t="s">
        <v>178</v>
      </c>
      <c r="D51" s="18"/>
      <c r="E51" s="19">
        <f>10</f>
        <v>10</v>
      </c>
      <c r="F51" s="20"/>
      <c r="G51" s="25">
        <f t="shared" si="0"/>
        <v>10</v>
      </c>
    </row>
    <row r="52" spans="1:14">
      <c r="A52" t="s">
        <v>179</v>
      </c>
      <c r="D52" s="18"/>
      <c r="E52" s="19">
        <f>16.95+5.97</f>
        <v>22.919999999999998</v>
      </c>
      <c r="F52" s="20"/>
      <c r="G52" s="25">
        <f t="shared" si="0"/>
        <v>22.919999999999998</v>
      </c>
      <c r="H52" t="s">
        <v>292</v>
      </c>
    </row>
    <row r="53" spans="1:14">
      <c r="A53" t="s">
        <v>267</v>
      </c>
      <c r="B53" s="33" t="s">
        <v>152</v>
      </c>
      <c r="D53" s="18">
        <f>-14.99+3.18+6.04+51.7+42.96</f>
        <v>88.89</v>
      </c>
      <c r="E53" s="19"/>
      <c r="F53" s="20"/>
      <c r="G53" s="25">
        <f t="shared" si="0"/>
        <v>88.89</v>
      </c>
    </row>
    <row r="54" spans="1:14">
      <c r="A54" t="s">
        <v>176</v>
      </c>
      <c r="B54" s="33"/>
      <c r="D54" s="18"/>
      <c r="E54" s="19"/>
      <c r="F54" s="20"/>
      <c r="G54" s="25">
        <f t="shared" si="0"/>
        <v>0</v>
      </c>
    </row>
    <row r="55" spans="1:14">
      <c r="A55" t="s">
        <v>54</v>
      </c>
      <c r="D55" s="18">
        <f>6.2+22.98+1.44+3.95+4.8+21.8+7.05+3.24+3.08+5.95+1.77+5.95+1.02+45.7+9.68+19.28+6</f>
        <v>169.89000000000001</v>
      </c>
      <c r="E55" s="19">
        <f>21.8+23.12+31.21</f>
        <v>76.13</v>
      </c>
      <c r="F55" s="20"/>
      <c r="G55" s="25">
        <f t="shared" si="0"/>
        <v>246.02</v>
      </c>
    </row>
    <row r="56" spans="1:14">
      <c r="A56" t="s">
        <v>180</v>
      </c>
      <c r="D56" s="18">
        <f>48.52+29.27+49.79</f>
        <v>127.58000000000001</v>
      </c>
      <c r="E56" s="19"/>
      <c r="F56" s="20"/>
      <c r="G56" s="25">
        <f t="shared" si="0"/>
        <v>127.58000000000001</v>
      </c>
    </row>
    <row r="57" spans="1:14">
      <c r="A57" t="s">
        <v>53</v>
      </c>
      <c r="B57" t="s">
        <v>148</v>
      </c>
      <c r="D57" s="18">
        <f>20+75+75</f>
        <v>170</v>
      </c>
      <c r="E57" s="19"/>
      <c r="F57" s="20"/>
      <c r="G57" s="25">
        <f t="shared" si="0"/>
        <v>170</v>
      </c>
    </row>
    <row r="58" spans="1:14">
      <c r="A58" t="s">
        <v>56</v>
      </c>
      <c r="B58" t="s">
        <v>151</v>
      </c>
      <c r="D58" s="18">
        <f>46.54+123.04</f>
        <v>169.58</v>
      </c>
      <c r="E58" s="19">
        <v>38.22</v>
      </c>
      <c r="F58" s="20"/>
      <c r="G58" s="25">
        <f t="shared" si="0"/>
        <v>207.8</v>
      </c>
    </row>
    <row r="59" spans="1:14">
      <c r="A59" t="s">
        <v>87</v>
      </c>
      <c r="D59" s="18"/>
      <c r="E59" s="19">
        <v>13.42</v>
      </c>
      <c r="F59" s="20"/>
      <c r="G59" s="25">
        <f t="shared" si="0"/>
        <v>13.42</v>
      </c>
    </row>
    <row r="60" spans="1:14">
      <c r="A60" t="s">
        <v>153</v>
      </c>
      <c r="D60" s="18"/>
      <c r="E60" s="19"/>
      <c r="F60" s="20"/>
      <c r="G60" s="25">
        <f t="shared" si="0"/>
        <v>0</v>
      </c>
    </row>
    <row r="61" spans="1:14">
      <c r="A61" t="s">
        <v>206</v>
      </c>
      <c r="B61" t="s">
        <v>184</v>
      </c>
      <c r="D61" s="18"/>
      <c r="E61" s="19"/>
      <c r="F61" s="20"/>
      <c r="G61" s="25">
        <f t="shared" si="0"/>
        <v>0</v>
      </c>
    </row>
    <row r="62" spans="1:14">
      <c r="A62" t="s">
        <v>55</v>
      </c>
      <c r="B62" t="s">
        <v>57</v>
      </c>
      <c r="D62" s="18">
        <f>393.78-144+249.01+479.55+33.49+123.97+76.27-181.19+40</f>
        <v>1070.8799999999999</v>
      </c>
      <c r="E62" s="19">
        <f>12.94+24.92</f>
        <v>37.86</v>
      </c>
      <c r="F62" s="20"/>
      <c r="G62" s="25">
        <f t="shared" si="0"/>
        <v>1108.7399999999998</v>
      </c>
      <c r="H62" t="s">
        <v>299</v>
      </c>
      <c r="N62" t="s">
        <v>298</v>
      </c>
    </row>
    <row r="63" spans="1:14">
      <c r="A63" t="s">
        <v>290</v>
      </c>
      <c r="D63" s="18">
        <f>49+367.98</f>
        <v>416.98</v>
      </c>
      <c r="E63" s="19">
        <f>48-5+23.9</f>
        <v>66.900000000000006</v>
      </c>
      <c r="F63" s="20"/>
      <c r="G63" s="25">
        <f t="shared" si="0"/>
        <v>483.88</v>
      </c>
      <c r="H63" t="s">
        <v>291</v>
      </c>
      <c r="K63" t="s">
        <v>305</v>
      </c>
    </row>
    <row r="64" spans="1:14">
      <c r="A64" t="s">
        <v>141</v>
      </c>
      <c r="B64" t="s">
        <v>58</v>
      </c>
      <c r="D64" s="18"/>
      <c r="E64" s="19"/>
      <c r="F64" s="20"/>
      <c r="G64" s="25">
        <f t="shared" si="0"/>
        <v>0</v>
      </c>
    </row>
    <row r="65" spans="1:8" ht="13.5" thickBot="1">
      <c r="A65" t="s">
        <v>145</v>
      </c>
      <c r="B65" t="s">
        <v>205</v>
      </c>
      <c r="D65" s="21">
        <v>10</v>
      </c>
      <c r="E65" s="22"/>
      <c r="F65" s="23"/>
      <c r="G65" s="26">
        <f t="shared" si="0"/>
        <v>10</v>
      </c>
      <c r="H65" t="s">
        <v>211</v>
      </c>
    </row>
    <row r="66" spans="1:8">
      <c r="G66">
        <f>SUM(G49:G65)</f>
        <v>3191.38</v>
      </c>
    </row>
  </sheetData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YTD Net</vt:lpstr>
      <vt:lpstr>Budget</vt:lpstr>
      <vt:lpstr>Tithe</vt:lpstr>
      <vt:lpstr>Utilities</vt:lpstr>
      <vt:lpstr>Jan</vt:lpstr>
      <vt:lpstr>Feb</vt:lpstr>
      <vt:lpstr>Mar</vt:lpstr>
      <vt:lpstr>Apr</vt:lpstr>
      <vt:lpstr>May</vt:lpstr>
      <vt:lpstr>Jun</vt:lpstr>
      <vt:lpstr>July</vt:lpstr>
      <vt:lpstr>Aug</vt:lpstr>
      <vt:lpstr>Sep</vt:lpstr>
      <vt:lpstr>Oct</vt:lpstr>
      <vt:lpstr>Nov</vt:lpstr>
      <vt:lpstr>Dec</vt:lpstr>
      <vt:lpstr>4</vt:lpstr>
    </vt:vector>
  </TitlesOfParts>
  <Company>Freeseabird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Kuo</dc:creator>
  <cp:lastModifiedBy>frances</cp:lastModifiedBy>
  <dcterms:created xsi:type="dcterms:W3CDTF">2007-02-06T20:33:45Z</dcterms:created>
  <dcterms:modified xsi:type="dcterms:W3CDTF">2013-12-06T16:48:25Z</dcterms:modified>
</cp:coreProperties>
</file>