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5600" windowHeight="8190" tabRatio="544"/>
  </bookViews>
  <sheets>
    <sheet name="Summary" sheetId="1" r:id="rId1"/>
    <sheet name="Budgeting" sheetId="2" r:id="rId2"/>
    <sheet name="Tithe" sheetId="3" r:id="rId3"/>
    <sheet name="Utilities" sheetId="4" r:id="rId4"/>
    <sheet name="Jan" sheetId="5" r:id="rId5"/>
    <sheet name="Feb" sheetId="6" r:id="rId6"/>
    <sheet name="Mar" sheetId="7" r:id="rId7"/>
    <sheet name="Apr" sheetId="8" r:id="rId8"/>
    <sheet name="May" sheetId="9" r:id="rId9"/>
    <sheet name="Jun" sheetId="10" r:id="rId10"/>
    <sheet name="July" sheetId="11" r:id="rId11"/>
    <sheet name="Aug" sheetId="12" r:id="rId12"/>
    <sheet name="Sep" sheetId="13" r:id="rId13"/>
    <sheet name="Oct" sheetId="14" r:id="rId14"/>
    <sheet name="Nov" sheetId="15" r:id="rId15"/>
    <sheet name="Dec" sheetId="16" r:id="rId16"/>
    <sheet name="Saving" sheetId="17" r:id="rId17"/>
    <sheet name="Tax 2106-EZ" sheetId="18" r:id="rId18"/>
    <sheet name="Sheet2" sheetId="19" r:id="rId19"/>
  </sheets>
  <definedNames>
    <definedName name="_xlnm.Print_Area" localSheetId="2">Tithe!$A$23:$G$42</definedName>
  </definedNames>
  <calcPr calcId="125725"/>
</workbook>
</file>

<file path=xl/calcChain.xml><?xml version="1.0" encoding="utf-8"?>
<calcChain xmlns="http://schemas.openxmlformats.org/spreadsheetml/2006/main">
  <c r="C68" i="18"/>
  <c r="C27"/>
  <c r="C23"/>
  <c r="H31"/>
  <c r="C125"/>
  <c r="C124"/>
  <c r="C123"/>
  <c r="C122"/>
  <c r="E121" s="1"/>
  <c r="E112"/>
  <c r="E98"/>
  <c r="E83"/>
  <c r="E69"/>
  <c r="C45"/>
  <c r="H32" s="1"/>
  <c r="C55" l="1"/>
  <c r="C22"/>
  <c r="C128"/>
  <c r="E128" s="1"/>
  <c r="E44" i="1"/>
  <c r="C20" i="18" l="1"/>
  <c r="H33" i="1"/>
  <c r="G33"/>
  <c r="E33" l="1"/>
  <c r="F39"/>
  <c r="G39"/>
  <c r="G42" s="1"/>
  <c r="H39"/>
  <c r="I39"/>
  <c r="E39"/>
  <c r="E42"/>
  <c r="K35"/>
  <c r="J35"/>
  <c r="J36"/>
  <c r="J37"/>
  <c r="J33"/>
  <c r="J39" s="1"/>
  <c r="I33"/>
  <c r="F33"/>
  <c r="B46" i="17"/>
  <c r="O49"/>
  <c r="M46"/>
  <c r="F23" i="1"/>
  <c r="F21"/>
  <c r="F20"/>
  <c r="F19"/>
  <c r="F18"/>
  <c r="F17"/>
  <c r="F16"/>
  <c r="F15"/>
  <c r="F14"/>
  <c r="F13"/>
  <c r="F12"/>
  <c r="F11"/>
  <c r="F10"/>
  <c r="C25"/>
  <c r="L60" i="16"/>
  <c r="K73"/>
  <c r="K85"/>
  <c r="K76"/>
  <c r="L91"/>
  <c r="K33" i="1" l="1"/>
  <c r="K39" s="1"/>
  <c r="AQ25" i="4"/>
  <c r="AQ26"/>
  <c r="AT115" l="1"/>
  <c r="AT29"/>
  <c r="K54" i="16"/>
  <c r="K63"/>
  <c r="K60"/>
  <c r="L55"/>
  <c r="L51"/>
  <c r="J62" i="17" l="1"/>
  <c r="O61"/>
  <c r="L95" i="16"/>
  <c r="N65" i="17"/>
  <c r="N48"/>
  <c r="N53"/>
  <c r="M65"/>
  <c r="O52"/>
  <c r="O40"/>
  <c r="M53"/>
  <c r="C53"/>
  <c r="H53"/>
  <c r="K53"/>
  <c r="L53"/>
  <c r="K98" i="16"/>
  <c r="K76" i="15"/>
  <c r="C57" i="17" l="1"/>
  <c r="C62" s="1"/>
  <c r="D57"/>
  <c r="D62" s="1"/>
  <c r="E57"/>
  <c r="E62" s="1"/>
  <c r="F57"/>
  <c r="F62" s="1"/>
  <c r="G57"/>
  <c r="G62" s="1"/>
  <c r="H57"/>
  <c r="H62" s="1"/>
  <c r="I57"/>
  <c r="I62" s="1"/>
  <c r="K57"/>
  <c r="L57"/>
  <c r="M57"/>
  <c r="N57"/>
  <c r="N62" s="1"/>
  <c r="F46"/>
  <c r="F53" s="1"/>
  <c r="O48"/>
  <c r="O50"/>
  <c r="B53"/>
  <c r="J46"/>
  <c r="J53" s="1"/>
  <c r="O25"/>
  <c r="L60" i="15"/>
  <c r="AV25" i="4"/>
  <c r="AV24"/>
  <c r="K72" i="15"/>
  <c r="P27" i="4"/>
  <c r="R24" l="1"/>
  <c r="O51" i="17"/>
  <c r="M10"/>
  <c r="L10"/>
  <c r="K10"/>
  <c r="K60" i="15"/>
  <c r="L69"/>
  <c r="S53" i="4"/>
  <c r="P56"/>
  <c r="O47" i="17"/>
  <c r="M58"/>
  <c r="M62" s="1"/>
  <c r="L58"/>
  <c r="L62" s="1"/>
  <c r="P25" i="4"/>
  <c r="N38" i="15"/>
  <c r="K95"/>
  <c r="K98"/>
  <c r="G46" i="17"/>
  <c r="G53" s="1"/>
  <c r="B177" i="3"/>
  <c r="K72" i="14"/>
  <c r="K73"/>
  <c r="K76"/>
  <c r="L95"/>
  <c r="L60"/>
  <c r="R23" i="4" l="1"/>
  <c r="L62" i="14"/>
  <c r="L1"/>
  <c r="L54"/>
  <c r="AL130" i="4"/>
  <c r="AJ130"/>
  <c r="AV18" l="1"/>
  <c r="AO27"/>
  <c r="N35" i="14"/>
  <c r="N27" i="4"/>
  <c r="K74" i="14" l="1"/>
  <c r="L28"/>
  <c r="L61"/>
  <c r="L92"/>
  <c r="L91"/>
  <c r="BC27" i="4"/>
  <c r="BA27"/>
  <c r="BB26"/>
  <c r="BD26"/>
  <c r="BD25"/>
  <c r="BB25"/>
  <c r="BB24"/>
  <c r="AZ27"/>
  <c r="BD23"/>
  <c r="BD22"/>
  <c r="BD21"/>
  <c r="BD20"/>
  <c r="BD19"/>
  <c r="BD18"/>
  <c r="BB18"/>
  <c r="BD17"/>
  <c r="BB17"/>
  <c r="BD16"/>
  <c r="BB16"/>
  <c r="BD15"/>
  <c r="BB15"/>
  <c r="BB27" s="1"/>
  <c r="AU27"/>
  <c r="K72" i="13"/>
  <c r="L50" i="14"/>
  <c r="L62" i="13"/>
  <c r="L60"/>
  <c r="L50"/>
  <c r="K73"/>
  <c r="K76"/>
  <c r="F60"/>
  <c r="K85"/>
  <c r="R22" i="4"/>
  <c r="K65" i="17"/>
  <c r="B13" i="13"/>
  <c r="L85"/>
  <c r="L80"/>
  <c r="J65" i="17"/>
  <c r="J82" i="13"/>
  <c r="L69"/>
  <c r="F69" s="1"/>
  <c r="K86"/>
  <c r="J62" i="12"/>
  <c r="J60"/>
  <c r="J73"/>
  <c r="J81"/>
  <c r="R20" i="4"/>
  <c r="R21"/>
  <c r="B65" i="17"/>
  <c r="O65" s="1"/>
  <c r="B42"/>
  <c r="O57"/>
  <c r="B57"/>
  <c r="K76" i="12"/>
  <c r="K85"/>
  <c r="J85"/>
  <c r="J64"/>
  <c r="L64"/>
  <c r="L60"/>
  <c r="I46" i="17"/>
  <c r="I53" s="1"/>
  <c r="P55" i="4"/>
  <c r="S50"/>
  <c r="G61" i="2"/>
  <c r="F60" i="12"/>
  <c r="K86"/>
  <c r="T12"/>
  <c r="T13"/>
  <c r="T11"/>
  <c r="K73"/>
  <c r="L63"/>
  <c r="R6"/>
  <c r="R2"/>
  <c r="N3"/>
  <c r="R3"/>
  <c r="T4"/>
  <c r="R4"/>
  <c r="L87"/>
  <c r="L85"/>
  <c r="L86"/>
  <c r="R5"/>
  <c r="K50"/>
  <c r="L19" i="11"/>
  <c r="J81"/>
  <c r="B11"/>
  <c r="E11" s="1"/>
  <c r="J73"/>
  <c r="J59"/>
  <c r="N3"/>
  <c r="K50"/>
  <c r="L62"/>
  <c r="N5"/>
  <c r="R2"/>
  <c r="K85"/>
  <c r="L69"/>
  <c r="L60"/>
  <c r="K74"/>
  <c r="T10" i="12"/>
  <c r="N4"/>
  <c r="L85" i="11"/>
  <c r="L80"/>
  <c r="K76"/>
  <c r="J81" i="10"/>
  <c r="N3" i="8"/>
  <c r="L1"/>
  <c r="G5"/>
  <c r="B4"/>
  <c r="G6"/>
  <c r="G7"/>
  <c r="G8"/>
  <c r="B13"/>
  <c r="L16"/>
  <c r="L13"/>
  <c r="E21"/>
  <c r="B21"/>
  <c r="E22"/>
  <c r="J27"/>
  <c r="F30"/>
  <c r="G30"/>
  <c r="H30"/>
  <c r="C32"/>
  <c r="F33"/>
  <c r="B32"/>
  <c r="F34"/>
  <c r="H34"/>
  <c r="F35"/>
  <c r="H35"/>
  <c r="F36"/>
  <c r="H36"/>
  <c r="B38"/>
  <c r="C38"/>
  <c r="D38"/>
  <c r="F39"/>
  <c r="H39"/>
  <c r="F40"/>
  <c r="H40"/>
  <c r="C42"/>
  <c r="F43"/>
  <c r="B42"/>
  <c r="F44"/>
  <c r="H44"/>
  <c r="F45"/>
  <c r="H45"/>
  <c r="C47"/>
  <c r="F48"/>
  <c r="H48"/>
  <c r="F49"/>
  <c r="H49"/>
  <c r="K50"/>
  <c r="K27"/>
  <c r="L26"/>
  <c r="F51"/>
  <c r="H51"/>
  <c r="F54"/>
  <c r="G54"/>
  <c r="G27"/>
  <c r="F55"/>
  <c r="L56"/>
  <c r="L27"/>
  <c r="C58"/>
  <c r="F59"/>
  <c r="L60"/>
  <c r="F60"/>
  <c r="H60"/>
  <c r="L61"/>
  <c r="F61"/>
  <c r="H61"/>
  <c r="L62"/>
  <c r="F62"/>
  <c r="H62"/>
  <c r="F63"/>
  <c r="H63"/>
  <c r="F64"/>
  <c r="H64"/>
  <c r="C66"/>
  <c r="F67"/>
  <c r="B66"/>
  <c r="F68"/>
  <c r="H68"/>
  <c r="F69"/>
  <c r="H69"/>
  <c r="F72"/>
  <c r="H72"/>
  <c r="F73"/>
  <c r="G73"/>
  <c r="C71"/>
  <c r="F74"/>
  <c r="F75"/>
  <c r="H75"/>
  <c r="K76"/>
  <c r="F76"/>
  <c r="H76"/>
  <c r="F79"/>
  <c r="B78"/>
  <c r="G79"/>
  <c r="H79"/>
  <c r="F80"/>
  <c r="H80"/>
  <c r="F81"/>
  <c r="G81"/>
  <c r="C78"/>
  <c r="D78"/>
  <c r="F82"/>
  <c r="H82"/>
  <c r="C84"/>
  <c r="K85"/>
  <c r="F85"/>
  <c r="K86"/>
  <c r="F86"/>
  <c r="H86"/>
  <c r="L87"/>
  <c r="F87"/>
  <c r="H87"/>
  <c r="F88"/>
  <c r="H88"/>
  <c r="B90"/>
  <c r="C90"/>
  <c r="D90"/>
  <c r="F91"/>
  <c r="H91"/>
  <c r="F92"/>
  <c r="H92"/>
  <c r="C94"/>
  <c r="L95"/>
  <c r="F95"/>
  <c r="C97"/>
  <c r="K98"/>
  <c r="F98"/>
  <c r="G5" i="12"/>
  <c r="G6"/>
  <c r="G7"/>
  <c r="E22"/>
  <c r="G8"/>
  <c r="B13"/>
  <c r="J27"/>
  <c r="L27"/>
  <c r="F30"/>
  <c r="G30"/>
  <c r="H30"/>
  <c r="C32"/>
  <c r="F33"/>
  <c r="B32"/>
  <c r="F34"/>
  <c r="H34"/>
  <c r="F35"/>
  <c r="H35"/>
  <c r="F36"/>
  <c r="H36"/>
  <c r="C38"/>
  <c r="F39"/>
  <c r="F40"/>
  <c r="H40"/>
  <c r="C42"/>
  <c r="F43"/>
  <c r="B42"/>
  <c r="D42"/>
  <c r="F44"/>
  <c r="H44"/>
  <c r="F45"/>
  <c r="H45"/>
  <c r="C47"/>
  <c r="F48"/>
  <c r="H48"/>
  <c r="F49"/>
  <c r="H49"/>
  <c r="F50"/>
  <c r="F51"/>
  <c r="B47"/>
  <c r="F54"/>
  <c r="G54"/>
  <c r="C53"/>
  <c r="F55"/>
  <c r="B53"/>
  <c r="F56"/>
  <c r="H56"/>
  <c r="C58"/>
  <c r="F59"/>
  <c r="F61"/>
  <c r="H61"/>
  <c r="F62"/>
  <c r="H62"/>
  <c r="F63"/>
  <c r="H63"/>
  <c r="F64"/>
  <c r="H64" s="1"/>
  <c r="C66"/>
  <c r="D66"/>
  <c r="F67"/>
  <c r="B66"/>
  <c r="F68"/>
  <c r="H68"/>
  <c r="F69"/>
  <c r="H69"/>
  <c r="C71"/>
  <c r="F72"/>
  <c r="F73"/>
  <c r="G73"/>
  <c r="H73"/>
  <c r="F74"/>
  <c r="H74" s="1"/>
  <c r="F75"/>
  <c r="H75" s="1"/>
  <c r="F76"/>
  <c r="H76" s="1"/>
  <c r="F79"/>
  <c r="G79"/>
  <c r="H79"/>
  <c r="F80"/>
  <c r="B78" s="1"/>
  <c r="D78" s="1"/>
  <c r="F81"/>
  <c r="G81"/>
  <c r="G27"/>
  <c r="F82"/>
  <c r="H82"/>
  <c r="C84"/>
  <c r="F85"/>
  <c r="H85" s="1"/>
  <c r="F86"/>
  <c r="F87"/>
  <c r="H87"/>
  <c r="F88"/>
  <c r="H88"/>
  <c r="C90"/>
  <c r="F91"/>
  <c r="F92"/>
  <c r="B90" s="1"/>
  <c r="D90" s="1"/>
  <c r="B94"/>
  <c r="C94"/>
  <c r="D94"/>
  <c r="F95"/>
  <c r="H95"/>
  <c r="C97"/>
  <c r="F98"/>
  <c r="B97"/>
  <c r="D97"/>
  <c r="D8" i="2"/>
  <c r="E8"/>
  <c r="E10"/>
  <c r="E9"/>
  <c r="D18"/>
  <c r="E18"/>
  <c r="E20"/>
  <c r="D19"/>
  <c r="D20"/>
  <c r="D26"/>
  <c r="E26"/>
  <c r="B30"/>
  <c r="D30"/>
  <c r="D37"/>
  <c r="B31"/>
  <c r="D31"/>
  <c r="D32"/>
  <c r="D33"/>
  <c r="D34"/>
  <c r="B35"/>
  <c r="D35"/>
  <c r="B36"/>
  <c r="D36"/>
  <c r="D41"/>
  <c r="D42"/>
  <c r="D43"/>
  <c r="E43"/>
  <c r="G64"/>
  <c r="G65"/>
  <c r="G66"/>
  <c r="G67"/>
  <c r="G70"/>
  <c r="G71"/>
  <c r="G74"/>
  <c r="G75"/>
  <c r="G76"/>
  <c r="G79"/>
  <c r="G80"/>
  <c r="G81"/>
  <c r="G82"/>
  <c r="I85"/>
  <c r="G85"/>
  <c r="G86"/>
  <c r="G87"/>
  <c r="G90"/>
  <c r="G91"/>
  <c r="G92"/>
  <c r="G93"/>
  <c r="G94"/>
  <c r="G95"/>
  <c r="G98"/>
  <c r="G99"/>
  <c r="G100"/>
  <c r="G103"/>
  <c r="I104"/>
  <c r="G105"/>
  <c r="G106"/>
  <c r="G107"/>
  <c r="G110"/>
  <c r="I110"/>
  <c r="G111"/>
  <c r="I112"/>
  <c r="G112"/>
  <c r="G113"/>
  <c r="G116"/>
  <c r="G117"/>
  <c r="G118"/>
  <c r="G119"/>
  <c r="G122"/>
  <c r="G123"/>
  <c r="C125"/>
  <c r="G126"/>
  <c r="C128"/>
  <c r="G129"/>
  <c r="G5" i="16"/>
  <c r="E21" s="1"/>
  <c r="G6"/>
  <c r="C35" i="1" s="1"/>
  <c r="G7" i="16"/>
  <c r="G8"/>
  <c r="B13"/>
  <c r="J27"/>
  <c r="K27"/>
  <c r="L27"/>
  <c r="F30"/>
  <c r="G30"/>
  <c r="H30"/>
  <c r="C32"/>
  <c r="F33"/>
  <c r="F34"/>
  <c r="H34"/>
  <c r="F35"/>
  <c r="H35"/>
  <c r="F36"/>
  <c r="H36"/>
  <c r="C38"/>
  <c r="D38" s="1"/>
  <c r="F39"/>
  <c r="B38" s="1"/>
  <c r="F40"/>
  <c r="H40" s="1"/>
  <c r="C42"/>
  <c r="F43"/>
  <c r="F44"/>
  <c r="H44" s="1"/>
  <c r="F45"/>
  <c r="H45" s="1"/>
  <c r="C47"/>
  <c r="F48"/>
  <c r="H48"/>
  <c r="F49"/>
  <c r="H49"/>
  <c r="F50"/>
  <c r="H50"/>
  <c r="F51"/>
  <c r="B47" s="1"/>
  <c r="F54"/>
  <c r="G54"/>
  <c r="G27" s="1"/>
  <c r="F55"/>
  <c r="H55" s="1"/>
  <c r="F56"/>
  <c r="H56" s="1"/>
  <c r="C58"/>
  <c r="F59"/>
  <c r="F60"/>
  <c r="H60" s="1"/>
  <c r="F61"/>
  <c r="H61" s="1"/>
  <c r="F62"/>
  <c r="H62" s="1"/>
  <c r="F63"/>
  <c r="H63" s="1"/>
  <c r="F64"/>
  <c r="H64"/>
  <c r="C66"/>
  <c r="F67"/>
  <c r="H67" s="1"/>
  <c r="F68"/>
  <c r="H68" s="1"/>
  <c r="F69"/>
  <c r="B66" s="1"/>
  <c r="D66" s="1"/>
  <c r="F72"/>
  <c r="F73"/>
  <c r="F104" i="2" s="1"/>
  <c r="H104" s="1"/>
  <c r="G73" i="16"/>
  <c r="C71" s="1"/>
  <c r="F74"/>
  <c r="H74" s="1"/>
  <c r="F75"/>
  <c r="H75" s="1"/>
  <c r="F76"/>
  <c r="H76" s="1"/>
  <c r="F79"/>
  <c r="G79"/>
  <c r="H79" s="1"/>
  <c r="F80"/>
  <c r="H80" s="1"/>
  <c r="F81"/>
  <c r="G81"/>
  <c r="F82"/>
  <c r="H82" s="1"/>
  <c r="C84"/>
  <c r="F85"/>
  <c r="F86"/>
  <c r="F117" i="2" s="1"/>
  <c r="H117" s="1"/>
  <c r="F87" i="16"/>
  <c r="F118" i="2" s="1"/>
  <c r="H118" s="1"/>
  <c r="F88" i="16"/>
  <c r="F119" i="2" s="1"/>
  <c r="C90" i="16"/>
  <c r="F91"/>
  <c r="F92"/>
  <c r="H92" s="1"/>
  <c r="C94"/>
  <c r="F95"/>
  <c r="B94" s="1"/>
  <c r="C97"/>
  <c r="F98"/>
  <c r="L1" i="6"/>
  <c r="G5"/>
  <c r="G6"/>
  <c r="G7"/>
  <c r="E22"/>
  <c r="G8"/>
  <c r="B13"/>
  <c r="E21"/>
  <c r="B21"/>
  <c r="B30"/>
  <c r="F30"/>
  <c r="G30"/>
  <c r="C32"/>
  <c r="F33"/>
  <c r="H33"/>
  <c r="F34"/>
  <c r="H34"/>
  <c r="F35"/>
  <c r="H35"/>
  <c r="F36"/>
  <c r="H36"/>
  <c r="C38"/>
  <c r="F39"/>
  <c r="F40"/>
  <c r="H40"/>
  <c r="B42"/>
  <c r="C42"/>
  <c r="D42"/>
  <c r="F43"/>
  <c r="H43"/>
  <c r="F44"/>
  <c r="H44"/>
  <c r="F45"/>
  <c r="H45"/>
  <c r="C47"/>
  <c r="K48"/>
  <c r="L49"/>
  <c r="F50"/>
  <c r="H50"/>
  <c r="F51"/>
  <c r="H51"/>
  <c r="J51"/>
  <c r="C53"/>
  <c r="F54"/>
  <c r="G54"/>
  <c r="H54"/>
  <c r="K54"/>
  <c r="L55"/>
  <c r="F55"/>
  <c r="H55"/>
  <c r="F56"/>
  <c r="H56"/>
  <c r="C58"/>
  <c r="F59"/>
  <c r="J59"/>
  <c r="J60"/>
  <c r="L60"/>
  <c r="L61"/>
  <c r="F61"/>
  <c r="H61"/>
  <c r="H62"/>
  <c r="L62"/>
  <c r="F62"/>
  <c r="F63"/>
  <c r="H63"/>
  <c r="L63"/>
  <c r="F64"/>
  <c r="H64"/>
  <c r="C66"/>
  <c r="F67"/>
  <c r="F68"/>
  <c r="H68"/>
  <c r="J68"/>
  <c r="F69"/>
  <c r="H69"/>
  <c r="C71"/>
  <c r="K72"/>
  <c r="F72"/>
  <c r="G73"/>
  <c r="K73"/>
  <c r="F73"/>
  <c r="F74"/>
  <c r="H74"/>
  <c r="K75"/>
  <c r="F75"/>
  <c r="H75"/>
  <c r="K76"/>
  <c r="F76"/>
  <c r="H76"/>
  <c r="C78"/>
  <c r="F79"/>
  <c r="G79"/>
  <c r="H79"/>
  <c r="L80"/>
  <c r="F80"/>
  <c r="H80"/>
  <c r="F81"/>
  <c r="G81"/>
  <c r="H81"/>
  <c r="F82"/>
  <c r="H82"/>
  <c r="C84"/>
  <c r="K85"/>
  <c r="F85"/>
  <c r="F86"/>
  <c r="H86"/>
  <c r="F87"/>
  <c r="H87"/>
  <c r="F88"/>
  <c r="H88"/>
  <c r="C90"/>
  <c r="F91"/>
  <c r="F92"/>
  <c r="H92"/>
  <c r="C94"/>
  <c r="K95"/>
  <c r="F95"/>
  <c r="H95"/>
  <c r="L95"/>
  <c r="C97"/>
  <c r="L98"/>
  <c r="F98"/>
  <c r="M1" i="5"/>
  <c r="G5"/>
  <c r="G6"/>
  <c r="E22"/>
  <c r="B21"/>
  <c r="G7"/>
  <c r="G8"/>
  <c r="B13"/>
  <c r="E21"/>
  <c r="K26"/>
  <c r="L26"/>
  <c r="J27"/>
  <c r="L27"/>
  <c r="B30"/>
  <c r="F30"/>
  <c r="G30"/>
  <c r="B32"/>
  <c r="C32"/>
  <c r="D32"/>
  <c r="F33"/>
  <c r="H33"/>
  <c r="F34"/>
  <c r="H34"/>
  <c r="F35"/>
  <c r="H35"/>
  <c r="F36"/>
  <c r="H36"/>
  <c r="C38"/>
  <c r="F39"/>
  <c r="F40"/>
  <c r="G40"/>
  <c r="H40"/>
  <c r="K40"/>
  <c r="B42"/>
  <c r="C42"/>
  <c r="D42"/>
  <c r="F43"/>
  <c r="H43"/>
  <c r="F44"/>
  <c r="H44"/>
  <c r="F45"/>
  <c r="H45"/>
  <c r="G48"/>
  <c r="K48"/>
  <c r="M48"/>
  <c r="F48"/>
  <c r="F49"/>
  <c r="G49"/>
  <c r="H49"/>
  <c r="F50"/>
  <c r="G50"/>
  <c r="H50"/>
  <c r="F51"/>
  <c r="G51"/>
  <c r="H51"/>
  <c r="G54"/>
  <c r="K54"/>
  <c r="F54"/>
  <c r="F55"/>
  <c r="G55"/>
  <c r="H55"/>
  <c r="F56"/>
  <c r="G56"/>
  <c r="H56"/>
  <c r="K56"/>
  <c r="F59"/>
  <c r="H59"/>
  <c r="G60"/>
  <c r="K60"/>
  <c r="F60"/>
  <c r="N60"/>
  <c r="N27"/>
  <c r="F61"/>
  <c r="G61"/>
  <c r="H61"/>
  <c r="G62"/>
  <c r="K62"/>
  <c r="F62"/>
  <c r="N62"/>
  <c r="F63"/>
  <c r="G63"/>
  <c r="H63"/>
  <c r="F64"/>
  <c r="G64"/>
  <c r="H64"/>
  <c r="B66"/>
  <c r="C66"/>
  <c r="D66"/>
  <c r="F67"/>
  <c r="H67"/>
  <c r="F68"/>
  <c r="H68"/>
  <c r="F69"/>
  <c r="H69"/>
  <c r="F72"/>
  <c r="G72"/>
  <c r="H72"/>
  <c r="K72"/>
  <c r="G73"/>
  <c r="K73"/>
  <c r="M73"/>
  <c r="F73"/>
  <c r="G74"/>
  <c r="H74"/>
  <c r="M74"/>
  <c r="F74"/>
  <c r="G75"/>
  <c r="H75"/>
  <c r="K75"/>
  <c r="F75"/>
  <c r="G76"/>
  <c r="H76"/>
  <c r="K76"/>
  <c r="F76"/>
  <c r="M76"/>
  <c r="F79"/>
  <c r="G79"/>
  <c r="F80"/>
  <c r="F81"/>
  <c r="G81"/>
  <c r="H81"/>
  <c r="F82"/>
  <c r="H82"/>
  <c r="G85"/>
  <c r="K85"/>
  <c r="M85"/>
  <c r="M27"/>
  <c r="N26"/>
  <c r="F86"/>
  <c r="G86"/>
  <c r="H86"/>
  <c r="F87"/>
  <c r="G87"/>
  <c r="H87"/>
  <c r="F88"/>
  <c r="G88"/>
  <c r="H88"/>
  <c r="C90"/>
  <c r="K91"/>
  <c r="F91"/>
  <c r="K92"/>
  <c r="F92"/>
  <c r="C94"/>
  <c r="F95"/>
  <c r="K95"/>
  <c r="C97"/>
  <c r="K98"/>
  <c r="F98"/>
  <c r="G5" i="11"/>
  <c r="E21"/>
  <c r="G6"/>
  <c r="G7"/>
  <c r="E22"/>
  <c r="G8"/>
  <c r="B13"/>
  <c r="J27"/>
  <c r="F30"/>
  <c r="G30"/>
  <c r="H30"/>
  <c r="C32"/>
  <c r="F33"/>
  <c r="F34"/>
  <c r="H34"/>
  <c r="F35"/>
  <c r="H35"/>
  <c r="F36"/>
  <c r="H36"/>
  <c r="C38"/>
  <c r="F39"/>
  <c r="F40"/>
  <c r="H40"/>
  <c r="C42"/>
  <c r="F43"/>
  <c r="F44"/>
  <c r="H44"/>
  <c r="F45"/>
  <c r="H45"/>
  <c r="C47"/>
  <c r="F48"/>
  <c r="H48"/>
  <c r="F49"/>
  <c r="H49"/>
  <c r="F50"/>
  <c r="F51"/>
  <c r="H51"/>
  <c r="C53"/>
  <c r="D53"/>
  <c r="F54"/>
  <c r="B53"/>
  <c r="G54"/>
  <c r="H54"/>
  <c r="F55"/>
  <c r="H55"/>
  <c r="F56"/>
  <c r="H56"/>
  <c r="C58"/>
  <c r="F59"/>
  <c r="F60"/>
  <c r="H60"/>
  <c r="L27"/>
  <c r="F61"/>
  <c r="H61"/>
  <c r="F62"/>
  <c r="F63"/>
  <c r="H63"/>
  <c r="F64"/>
  <c r="H64"/>
  <c r="C66"/>
  <c r="F67"/>
  <c r="F68"/>
  <c r="H68"/>
  <c r="F69"/>
  <c r="H69"/>
  <c r="F72"/>
  <c r="H72"/>
  <c r="F73"/>
  <c r="G73"/>
  <c r="F74"/>
  <c r="H74"/>
  <c r="F75"/>
  <c r="H75"/>
  <c r="F76"/>
  <c r="H76"/>
  <c r="K27"/>
  <c r="K26"/>
  <c r="C78"/>
  <c r="F79"/>
  <c r="G79"/>
  <c r="H79"/>
  <c r="F80"/>
  <c r="H80"/>
  <c r="F81"/>
  <c r="G81"/>
  <c r="H81"/>
  <c r="F82"/>
  <c r="H82"/>
  <c r="C84"/>
  <c r="F85"/>
  <c r="H85"/>
  <c r="F86"/>
  <c r="H86"/>
  <c r="F87"/>
  <c r="H87"/>
  <c r="F88"/>
  <c r="H88"/>
  <c r="B90"/>
  <c r="C90"/>
  <c r="D90"/>
  <c r="F91"/>
  <c r="H91"/>
  <c r="F92"/>
  <c r="H92"/>
  <c r="C94"/>
  <c r="F95"/>
  <c r="C97"/>
  <c r="K98"/>
  <c r="F98"/>
  <c r="H98"/>
  <c r="N3" i="10"/>
  <c r="N4"/>
  <c r="G5"/>
  <c r="B4"/>
  <c r="G6"/>
  <c r="G7"/>
  <c r="G8"/>
  <c r="D15"/>
  <c r="B13"/>
  <c r="D16"/>
  <c r="E21"/>
  <c r="E22"/>
  <c r="B21"/>
  <c r="K26"/>
  <c r="J27"/>
  <c r="F30"/>
  <c r="G30"/>
  <c r="H30"/>
  <c r="C32"/>
  <c r="F33"/>
  <c r="F34"/>
  <c r="H34"/>
  <c r="F35"/>
  <c r="H35"/>
  <c r="F36"/>
  <c r="H36"/>
  <c r="B38"/>
  <c r="C38"/>
  <c r="D38"/>
  <c r="F39"/>
  <c r="H39"/>
  <c r="F40"/>
  <c r="H40"/>
  <c r="C42"/>
  <c r="F43"/>
  <c r="F44"/>
  <c r="H44"/>
  <c r="F45"/>
  <c r="H45"/>
  <c r="C47"/>
  <c r="F48"/>
  <c r="H48"/>
  <c r="F49"/>
  <c r="H49"/>
  <c r="K50"/>
  <c r="L50"/>
  <c r="F51"/>
  <c r="H51"/>
  <c r="C53"/>
  <c r="D53"/>
  <c r="F54"/>
  <c r="B53"/>
  <c r="G54"/>
  <c r="H54"/>
  <c r="F55"/>
  <c r="H55"/>
  <c r="F56"/>
  <c r="H56"/>
  <c r="C58"/>
  <c r="F59"/>
  <c r="F60"/>
  <c r="H60"/>
  <c r="K60"/>
  <c r="L60"/>
  <c r="F61"/>
  <c r="H61"/>
  <c r="F62"/>
  <c r="H62"/>
  <c r="L62"/>
  <c r="H63"/>
  <c r="K63"/>
  <c r="F63"/>
  <c r="F64"/>
  <c r="H64"/>
  <c r="C66"/>
  <c r="F67"/>
  <c r="H67"/>
  <c r="F68"/>
  <c r="H68"/>
  <c r="H69"/>
  <c r="K69"/>
  <c r="F69"/>
  <c r="B66"/>
  <c r="D66"/>
  <c r="F72"/>
  <c r="H72"/>
  <c r="G73"/>
  <c r="K73"/>
  <c r="F73"/>
  <c r="F74"/>
  <c r="H74"/>
  <c r="F75"/>
  <c r="H75"/>
  <c r="K76"/>
  <c r="L76"/>
  <c r="L27"/>
  <c r="C78"/>
  <c r="F79"/>
  <c r="G79"/>
  <c r="H79"/>
  <c r="K80"/>
  <c r="F80"/>
  <c r="H80"/>
  <c r="F81"/>
  <c r="G81"/>
  <c r="H81"/>
  <c r="F82"/>
  <c r="H82"/>
  <c r="C84"/>
  <c r="K85"/>
  <c r="F85"/>
  <c r="L85"/>
  <c r="F86"/>
  <c r="H86"/>
  <c r="K86"/>
  <c r="H87"/>
  <c r="K87"/>
  <c r="F87"/>
  <c r="F88"/>
  <c r="H88"/>
  <c r="K88"/>
  <c r="C90"/>
  <c r="F91"/>
  <c r="F92"/>
  <c r="H92"/>
  <c r="B94"/>
  <c r="C94"/>
  <c r="D94"/>
  <c r="F95"/>
  <c r="H95"/>
  <c r="C97"/>
  <c r="D97"/>
  <c r="F98"/>
  <c r="B97"/>
  <c r="H98"/>
  <c r="L1" i="7"/>
  <c r="G5"/>
  <c r="G6"/>
  <c r="B4"/>
  <c r="G7"/>
  <c r="G8"/>
  <c r="B13"/>
  <c r="E21"/>
  <c r="E22"/>
  <c r="B21"/>
  <c r="B30"/>
  <c r="F30"/>
  <c r="G30"/>
  <c r="G27"/>
  <c r="C32"/>
  <c r="F33"/>
  <c r="H33"/>
  <c r="F34"/>
  <c r="H34"/>
  <c r="L35"/>
  <c r="L27"/>
  <c r="F36"/>
  <c r="F67" i="2"/>
  <c r="H67" s="1"/>
  <c r="B38" i="7"/>
  <c r="C38"/>
  <c r="D38"/>
  <c r="F39"/>
  <c r="H39"/>
  <c r="F40"/>
  <c r="H40"/>
  <c r="C42"/>
  <c r="F43"/>
  <c r="B42"/>
  <c r="F44"/>
  <c r="H44"/>
  <c r="F45"/>
  <c r="H45"/>
  <c r="B47"/>
  <c r="C47"/>
  <c r="D47"/>
  <c r="F48"/>
  <c r="H48"/>
  <c r="F49"/>
  <c r="H49"/>
  <c r="F50"/>
  <c r="H50"/>
  <c r="F51"/>
  <c r="H51"/>
  <c r="C53"/>
  <c r="D53"/>
  <c r="F54"/>
  <c r="B53"/>
  <c r="G54"/>
  <c r="H54"/>
  <c r="F55"/>
  <c r="H55"/>
  <c r="F56"/>
  <c r="H56"/>
  <c r="C58"/>
  <c r="F59"/>
  <c r="K60"/>
  <c r="K27"/>
  <c r="L26"/>
  <c r="L60"/>
  <c r="L61"/>
  <c r="F61"/>
  <c r="H61"/>
  <c r="L62"/>
  <c r="F62"/>
  <c r="H62"/>
  <c r="L63"/>
  <c r="F63"/>
  <c r="H63"/>
  <c r="F64"/>
  <c r="F95" i="2"/>
  <c r="H95" s="1"/>
  <c r="H64" i="7"/>
  <c r="C66"/>
  <c r="L67"/>
  <c r="F67"/>
  <c r="F68"/>
  <c r="H68"/>
  <c r="F69"/>
  <c r="H69"/>
  <c r="C71"/>
  <c r="F72"/>
  <c r="F73"/>
  <c r="G73"/>
  <c r="H73"/>
  <c r="K73"/>
  <c r="K74"/>
  <c r="F74"/>
  <c r="H74"/>
  <c r="F75"/>
  <c r="H75"/>
  <c r="K76"/>
  <c r="F76"/>
  <c r="H76"/>
  <c r="F79"/>
  <c r="G79"/>
  <c r="C78"/>
  <c r="F80"/>
  <c r="H80"/>
  <c r="F81"/>
  <c r="G81"/>
  <c r="H81"/>
  <c r="F82"/>
  <c r="H82"/>
  <c r="C84"/>
  <c r="K85"/>
  <c r="F85"/>
  <c r="F86"/>
  <c r="H86"/>
  <c r="J87"/>
  <c r="J27"/>
  <c r="F88"/>
  <c r="H88"/>
  <c r="B90"/>
  <c r="C90"/>
  <c r="D90"/>
  <c r="F91"/>
  <c r="H91"/>
  <c r="F92"/>
  <c r="H92"/>
  <c r="C94"/>
  <c r="D94"/>
  <c r="F95"/>
  <c r="B94"/>
  <c r="C97"/>
  <c r="K98"/>
  <c r="F98"/>
  <c r="M2" i="9"/>
  <c r="O3"/>
  <c r="N4"/>
  <c r="G5"/>
  <c r="B4"/>
  <c r="G6"/>
  <c r="G7"/>
  <c r="G8"/>
  <c r="B13"/>
  <c r="D19"/>
  <c r="E21"/>
  <c r="E22"/>
  <c r="B21"/>
  <c r="B30"/>
  <c r="F30"/>
  <c r="G30"/>
  <c r="G27"/>
  <c r="B32"/>
  <c r="C32"/>
  <c r="D32"/>
  <c r="F33"/>
  <c r="H33"/>
  <c r="F34"/>
  <c r="H34"/>
  <c r="F35"/>
  <c r="H35"/>
  <c r="F36"/>
  <c r="H36"/>
  <c r="C38"/>
  <c r="F39"/>
  <c r="B38"/>
  <c r="F40"/>
  <c r="H40"/>
  <c r="B42"/>
  <c r="C42"/>
  <c r="D42"/>
  <c r="F43"/>
  <c r="H43"/>
  <c r="F44"/>
  <c r="H44"/>
  <c r="F45"/>
  <c r="H45"/>
  <c r="C47"/>
  <c r="F48"/>
  <c r="F49"/>
  <c r="H49"/>
  <c r="F50"/>
  <c r="H50"/>
  <c r="J51"/>
  <c r="J27"/>
  <c r="C53"/>
  <c r="D53"/>
  <c r="F54"/>
  <c r="B53"/>
  <c r="G54"/>
  <c r="H54"/>
  <c r="F55"/>
  <c r="H55"/>
  <c r="F56"/>
  <c r="H56"/>
  <c r="C58"/>
  <c r="F59"/>
  <c r="L60"/>
  <c r="L27"/>
  <c r="F61"/>
  <c r="H61"/>
  <c r="L62"/>
  <c r="F62"/>
  <c r="H62"/>
  <c r="K63"/>
  <c r="K27"/>
  <c r="K26"/>
  <c r="K24"/>
  <c r="L63"/>
  <c r="F64"/>
  <c r="H64"/>
  <c r="B66"/>
  <c r="C66"/>
  <c r="D66"/>
  <c r="F67"/>
  <c r="H67"/>
  <c r="F68"/>
  <c r="H68"/>
  <c r="F69"/>
  <c r="H69"/>
  <c r="C71"/>
  <c r="F72"/>
  <c r="F73"/>
  <c r="G73"/>
  <c r="H73"/>
  <c r="K73"/>
  <c r="J74"/>
  <c r="F74"/>
  <c r="H74"/>
  <c r="F75"/>
  <c r="H75"/>
  <c r="K76"/>
  <c r="F76"/>
  <c r="H76"/>
  <c r="F79"/>
  <c r="G79"/>
  <c r="C78"/>
  <c r="F80"/>
  <c r="H80"/>
  <c r="F81"/>
  <c r="G81"/>
  <c r="H81"/>
  <c r="J81"/>
  <c r="F82"/>
  <c r="H82"/>
  <c r="C84"/>
  <c r="K85"/>
  <c r="F85"/>
  <c r="K86"/>
  <c r="F86"/>
  <c r="H86"/>
  <c r="J87"/>
  <c r="F87"/>
  <c r="H87"/>
  <c r="J88"/>
  <c r="F88"/>
  <c r="H88"/>
  <c r="C90"/>
  <c r="K91"/>
  <c r="F91"/>
  <c r="K92"/>
  <c r="F92"/>
  <c r="H92"/>
  <c r="L92"/>
  <c r="C94"/>
  <c r="F95"/>
  <c r="B94"/>
  <c r="B97"/>
  <c r="C97"/>
  <c r="D97"/>
  <c r="F98"/>
  <c r="H98"/>
  <c r="G5" i="15"/>
  <c r="G6"/>
  <c r="G7"/>
  <c r="E22" s="1"/>
  <c r="G8"/>
  <c r="B13"/>
  <c r="J27"/>
  <c r="K27"/>
  <c r="L27"/>
  <c r="F30"/>
  <c r="G30"/>
  <c r="H30"/>
  <c r="C32"/>
  <c r="F33"/>
  <c r="F34"/>
  <c r="B32" s="1"/>
  <c r="D32" s="1"/>
  <c r="F35"/>
  <c r="H35"/>
  <c r="F36"/>
  <c r="H36"/>
  <c r="C38"/>
  <c r="F39"/>
  <c r="B38" s="1"/>
  <c r="D38" s="1"/>
  <c r="F40"/>
  <c r="H40"/>
  <c r="C42"/>
  <c r="F43"/>
  <c r="B42"/>
  <c r="F44"/>
  <c r="H44"/>
  <c r="F45"/>
  <c r="H45"/>
  <c r="C47"/>
  <c r="F48"/>
  <c r="H48"/>
  <c r="F49"/>
  <c r="F50"/>
  <c r="H50" s="1"/>
  <c r="F51"/>
  <c r="H51"/>
  <c r="C53"/>
  <c r="F54"/>
  <c r="B53" s="1"/>
  <c r="D53" s="1"/>
  <c r="G54"/>
  <c r="F55"/>
  <c r="H55"/>
  <c r="F56"/>
  <c r="H56"/>
  <c r="C58"/>
  <c r="F59"/>
  <c r="F60"/>
  <c r="F61"/>
  <c r="H61"/>
  <c r="F62"/>
  <c r="H62"/>
  <c r="F63"/>
  <c r="H63" s="1"/>
  <c r="F64"/>
  <c r="H64"/>
  <c r="C66"/>
  <c r="F67"/>
  <c r="H67"/>
  <c r="F68"/>
  <c r="H68"/>
  <c r="F69"/>
  <c r="B66" s="1"/>
  <c r="D66" s="1"/>
  <c r="C71"/>
  <c r="F72"/>
  <c r="F73"/>
  <c r="G73"/>
  <c r="H73"/>
  <c r="F74"/>
  <c r="H74" s="1"/>
  <c r="F75"/>
  <c r="H75"/>
  <c r="F76"/>
  <c r="H76" s="1"/>
  <c r="F79"/>
  <c r="G79"/>
  <c r="H79"/>
  <c r="F80"/>
  <c r="F81"/>
  <c r="G81"/>
  <c r="H81"/>
  <c r="F82"/>
  <c r="H82"/>
  <c r="C84"/>
  <c r="F85"/>
  <c r="B84" s="1"/>
  <c r="D84" s="1"/>
  <c r="F86"/>
  <c r="H86"/>
  <c r="F87"/>
  <c r="H87"/>
  <c r="F88"/>
  <c r="H88"/>
  <c r="C90"/>
  <c r="F91"/>
  <c r="B90"/>
  <c r="F92"/>
  <c r="H92"/>
  <c r="B94"/>
  <c r="C94"/>
  <c r="D94"/>
  <c r="F95"/>
  <c r="H95"/>
  <c r="C97"/>
  <c r="F98"/>
  <c r="G5" i="14"/>
  <c r="E21" s="1"/>
  <c r="G6"/>
  <c r="G7"/>
  <c r="G8"/>
  <c r="B4" s="1"/>
  <c r="B13"/>
  <c r="E22"/>
  <c r="J27"/>
  <c r="K27"/>
  <c r="L27"/>
  <c r="B30"/>
  <c r="F30"/>
  <c r="G27"/>
  <c r="C32"/>
  <c r="F33"/>
  <c r="B32" s="1"/>
  <c r="D32" s="1"/>
  <c r="F34"/>
  <c r="H34"/>
  <c r="F35"/>
  <c r="H35"/>
  <c r="F36"/>
  <c r="H36"/>
  <c r="C38"/>
  <c r="F39"/>
  <c r="F40"/>
  <c r="H40" s="1"/>
  <c r="B42"/>
  <c r="C42"/>
  <c r="D42"/>
  <c r="F43"/>
  <c r="H43"/>
  <c r="F44"/>
  <c r="H44"/>
  <c r="F45"/>
  <c r="H45"/>
  <c r="C47"/>
  <c r="F48"/>
  <c r="F49"/>
  <c r="H49"/>
  <c r="F50"/>
  <c r="B47" s="1"/>
  <c r="D47" s="1"/>
  <c r="F51"/>
  <c r="H51"/>
  <c r="F54"/>
  <c r="F85" i="2" s="1"/>
  <c r="H85" s="1"/>
  <c r="G54" i="14"/>
  <c r="C53"/>
  <c r="F55"/>
  <c r="H55"/>
  <c r="F56"/>
  <c r="H56" s="1"/>
  <c r="C58"/>
  <c r="F59"/>
  <c r="H59" s="1"/>
  <c r="F60"/>
  <c r="H60" s="1"/>
  <c r="F61"/>
  <c r="H61" s="1"/>
  <c r="F62"/>
  <c r="H62"/>
  <c r="F63"/>
  <c r="F64"/>
  <c r="H64"/>
  <c r="C66"/>
  <c r="F67"/>
  <c r="B66"/>
  <c r="D66" s="1"/>
  <c r="F68"/>
  <c r="H68"/>
  <c r="F69"/>
  <c r="H69"/>
  <c r="F72"/>
  <c r="H72" s="1"/>
  <c r="F73"/>
  <c r="G73"/>
  <c r="C71"/>
  <c r="F74"/>
  <c r="H74" s="1"/>
  <c r="F75"/>
  <c r="H75"/>
  <c r="F76"/>
  <c r="H76" s="1"/>
  <c r="F79"/>
  <c r="G79"/>
  <c r="C78"/>
  <c r="F80"/>
  <c r="H80" s="1"/>
  <c r="F81"/>
  <c r="G81"/>
  <c r="H81"/>
  <c r="F82"/>
  <c r="H82"/>
  <c r="C84"/>
  <c r="F85"/>
  <c r="B84" s="1"/>
  <c r="D84" s="1"/>
  <c r="F86"/>
  <c r="H86"/>
  <c r="F87"/>
  <c r="H87"/>
  <c r="F88"/>
  <c r="H88"/>
  <c r="C90"/>
  <c r="F91"/>
  <c r="H91"/>
  <c r="F92"/>
  <c r="H92"/>
  <c r="C94"/>
  <c r="F95"/>
  <c r="B94" s="1"/>
  <c r="D94" s="1"/>
  <c r="C97"/>
  <c r="F98"/>
  <c r="B97" s="1"/>
  <c r="D97" s="1"/>
  <c r="C9" i="17"/>
  <c r="D9"/>
  <c r="E9"/>
  <c r="F9"/>
  <c r="G9"/>
  <c r="H9"/>
  <c r="I9"/>
  <c r="J9"/>
  <c r="K9"/>
  <c r="K11" s="1"/>
  <c r="L9"/>
  <c r="L11" s="1"/>
  <c r="M9"/>
  <c r="M11" s="1"/>
  <c r="N9"/>
  <c r="N11" s="1"/>
  <c r="C10"/>
  <c r="C11" s="1"/>
  <c r="D10"/>
  <c r="D11" s="1"/>
  <c r="E10"/>
  <c r="F10"/>
  <c r="F11" s="1"/>
  <c r="G10"/>
  <c r="H10"/>
  <c r="I10"/>
  <c r="I11" s="1"/>
  <c r="J10"/>
  <c r="B11"/>
  <c r="C14"/>
  <c r="D14"/>
  <c r="E14"/>
  <c r="F14"/>
  <c r="G14"/>
  <c r="H14"/>
  <c r="I14"/>
  <c r="J14"/>
  <c r="K14"/>
  <c r="L14"/>
  <c r="M14"/>
  <c r="N14"/>
  <c r="C15"/>
  <c r="D15"/>
  <c r="E15"/>
  <c r="G15"/>
  <c r="H15"/>
  <c r="H16" s="1"/>
  <c r="I15"/>
  <c r="J15"/>
  <c r="K15"/>
  <c r="L15"/>
  <c r="L16" s="1"/>
  <c r="N15"/>
  <c r="B16"/>
  <c r="C19"/>
  <c r="D19"/>
  <c r="D21" s="1"/>
  <c r="E19"/>
  <c r="E21" s="1"/>
  <c r="F19"/>
  <c r="F21" s="1"/>
  <c r="G19"/>
  <c r="G21" s="1"/>
  <c r="H19"/>
  <c r="H21" s="1"/>
  <c r="I19"/>
  <c r="I21" s="1"/>
  <c r="J19"/>
  <c r="J21" s="1"/>
  <c r="K19"/>
  <c r="K21" s="1"/>
  <c r="L19"/>
  <c r="L21" s="1"/>
  <c r="M19"/>
  <c r="M21" s="1"/>
  <c r="N19"/>
  <c r="N21" s="1"/>
  <c r="O20"/>
  <c r="B21"/>
  <c r="C21"/>
  <c r="C24"/>
  <c r="C26" s="1"/>
  <c r="D24"/>
  <c r="E24"/>
  <c r="E26" s="1"/>
  <c r="F24"/>
  <c r="F26" s="1"/>
  <c r="G24"/>
  <c r="G26" s="1"/>
  <c r="H24"/>
  <c r="H26" s="1"/>
  <c r="I24"/>
  <c r="I26" s="1"/>
  <c r="J24"/>
  <c r="J26" s="1"/>
  <c r="K24"/>
  <c r="K26" s="1"/>
  <c r="L24"/>
  <c r="L26" s="1"/>
  <c r="M24"/>
  <c r="M26" s="1"/>
  <c r="N24"/>
  <c r="N26" s="1"/>
  <c r="B26"/>
  <c r="D26"/>
  <c r="C32"/>
  <c r="D32"/>
  <c r="E32"/>
  <c r="F32"/>
  <c r="G32"/>
  <c r="H32"/>
  <c r="I32"/>
  <c r="J32"/>
  <c r="K32"/>
  <c r="L32"/>
  <c r="M32"/>
  <c r="N32"/>
  <c r="D46"/>
  <c r="D53" s="1"/>
  <c r="P53" s="1"/>
  <c r="E46"/>
  <c r="E53" s="1"/>
  <c r="O46"/>
  <c r="O53" s="1"/>
  <c r="B59"/>
  <c r="O59" s="1"/>
  <c r="B60"/>
  <c r="O60" s="1"/>
  <c r="B66"/>
  <c r="G66"/>
  <c r="G67" s="1"/>
  <c r="C67"/>
  <c r="D67"/>
  <c r="E67"/>
  <c r="F67"/>
  <c r="H67"/>
  <c r="I67"/>
  <c r="J67"/>
  <c r="K67"/>
  <c r="L67"/>
  <c r="M67"/>
  <c r="M69" s="1"/>
  <c r="N67"/>
  <c r="N69" s="1"/>
  <c r="B81"/>
  <c r="G5" i="13"/>
  <c r="G6"/>
  <c r="G7"/>
  <c r="G8"/>
  <c r="E21"/>
  <c r="J27"/>
  <c r="K27"/>
  <c r="L27"/>
  <c r="F30"/>
  <c r="B30" s="1"/>
  <c r="G30"/>
  <c r="G27"/>
  <c r="C32"/>
  <c r="F33"/>
  <c r="H33"/>
  <c r="F34"/>
  <c r="B32" s="1"/>
  <c r="D32" s="1"/>
  <c r="F35"/>
  <c r="H35"/>
  <c r="F36"/>
  <c r="H36"/>
  <c r="C38"/>
  <c r="F39"/>
  <c r="F40"/>
  <c r="C42"/>
  <c r="F43"/>
  <c r="H43"/>
  <c r="F44"/>
  <c r="H44"/>
  <c r="F45"/>
  <c r="B42" s="1"/>
  <c r="D42" s="1"/>
  <c r="H45"/>
  <c r="C47"/>
  <c r="F48"/>
  <c r="F49"/>
  <c r="H49"/>
  <c r="F50"/>
  <c r="B47" s="1"/>
  <c r="D47" s="1"/>
  <c r="F51"/>
  <c r="H51"/>
  <c r="F54"/>
  <c r="G54"/>
  <c r="C53"/>
  <c r="F55"/>
  <c r="H55"/>
  <c r="F56"/>
  <c r="H56"/>
  <c r="C58"/>
  <c r="F59"/>
  <c r="H59"/>
  <c r="F61"/>
  <c r="H61"/>
  <c r="F62"/>
  <c r="F93" i="2" s="1"/>
  <c r="H93" s="1"/>
  <c r="H62" i="13"/>
  <c r="F63"/>
  <c r="H63"/>
  <c r="F64"/>
  <c r="H64"/>
  <c r="C66"/>
  <c r="F67"/>
  <c r="F68"/>
  <c r="H68"/>
  <c r="F72"/>
  <c r="H72" s="1"/>
  <c r="F73"/>
  <c r="G73"/>
  <c r="C71"/>
  <c r="F74"/>
  <c r="H74"/>
  <c r="F75"/>
  <c r="H75"/>
  <c r="F76"/>
  <c r="H76" s="1"/>
  <c r="F79"/>
  <c r="G79"/>
  <c r="C78"/>
  <c r="F80"/>
  <c r="H80" s="1"/>
  <c r="F81"/>
  <c r="G81"/>
  <c r="H81"/>
  <c r="F82"/>
  <c r="H82" s="1"/>
  <c r="C84"/>
  <c r="F85"/>
  <c r="B84" s="1"/>
  <c r="D84" s="1"/>
  <c r="F86"/>
  <c r="H86"/>
  <c r="F87"/>
  <c r="H87"/>
  <c r="F88"/>
  <c r="H88"/>
  <c r="C90"/>
  <c r="F91"/>
  <c r="H91"/>
  <c r="F92"/>
  <c r="B90" s="1"/>
  <c r="D90" s="1"/>
  <c r="C94"/>
  <c r="D94"/>
  <c r="F95"/>
  <c r="B94"/>
  <c r="C97"/>
  <c r="F98"/>
  <c r="B97" s="1"/>
  <c r="D97" s="1"/>
  <c r="D10" i="1"/>
  <c r="D11"/>
  <c r="D12"/>
  <c r="D13"/>
  <c r="E13"/>
  <c r="D14"/>
  <c r="D15"/>
  <c r="E15"/>
  <c r="D16"/>
  <c r="H16"/>
  <c r="D17"/>
  <c r="D18"/>
  <c r="D19"/>
  <c r="D20"/>
  <c r="D21"/>
  <c r="D33"/>
  <c r="B9" i="3"/>
  <c r="C9" s="1"/>
  <c r="H25"/>
  <c r="E25"/>
  <c r="H26"/>
  <c r="E26"/>
  <c r="H27"/>
  <c r="E27"/>
  <c r="H28"/>
  <c r="E28"/>
  <c r="H29"/>
  <c r="E29"/>
  <c r="E30"/>
  <c r="E31"/>
  <c r="E32"/>
  <c r="H35"/>
  <c r="E35"/>
  <c r="A44"/>
  <c r="B49"/>
  <c r="D6"/>
  <c r="B63"/>
  <c r="D7"/>
  <c r="B77"/>
  <c r="D8"/>
  <c r="B91"/>
  <c r="D9"/>
  <c r="B105"/>
  <c r="D10"/>
  <c r="B119"/>
  <c r="D11"/>
  <c r="B133"/>
  <c r="D12"/>
  <c r="B149"/>
  <c r="D13"/>
  <c r="B163"/>
  <c r="D14" s="1"/>
  <c r="D15"/>
  <c r="B191"/>
  <c r="D16" s="1"/>
  <c r="B205"/>
  <c r="D17" s="1"/>
  <c r="F218"/>
  <c r="R13" i="4"/>
  <c r="R14"/>
  <c r="R25"/>
  <c r="R15"/>
  <c r="AR15"/>
  <c r="AV15"/>
  <c r="AX15"/>
  <c r="BK15"/>
  <c r="R16"/>
  <c r="AR16"/>
  <c r="AV16"/>
  <c r="AX16"/>
  <c r="BG16"/>
  <c r="BK16"/>
  <c r="R17"/>
  <c r="AR17"/>
  <c r="AV17"/>
  <c r="AX17" s="1"/>
  <c r="BK17"/>
  <c r="R18"/>
  <c r="AR18"/>
  <c r="AX18"/>
  <c r="BG18"/>
  <c r="BK18"/>
  <c r="R19"/>
  <c r="AR19"/>
  <c r="AX19"/>
  <c r="AR20"/>
  <c r="AX20"/>
  <c r="AR21"/>
  <c r="AX21"/>
  <c r="AR22"/>
  <c r="AX22"/>
  <c r="AR23"/>
  <c r="AX23"/>
  <c r="BK23"/>
  <c r="AP24"/>
  <c r="AR24"/>
  <c r="AX24"/>
  <c r="BG24"/>
  <c r="B25"/>
  <c r="D25"/>
  <c r="F25"/>
  <c r="H25"/>
  <c r="J25"/>
  <c r="L25"/>
  <c r="N25"/>
  <c r="P26"/>
  <c r="S25"/>
  <c r="T25"/>
  <c r="AP25"/>
  <c r="AR25" s="1"/>
  <c r="AX25"/>
  <c r="BK25"/>
  <c r="B26"/>
  <c r="D26"/>
  <c r="F26"/>
  <c r="H26"/>
  <c r="J26"/>
  <c r="L26"/>
  <c r="N26"/>
  <c r="AP26"/>
  <c r="AR26" s="1"/>
  <c r="AT26"/>
  <c r="AT27" s="1"/>
  <c r="AV26"/>
  <c r="BG26"/>
  <c r="BK26"/>
  <c r="D27"/>
  <c r="F27"/>
  <c r="H27"/>
  <c r="J27"/>
  <c r="L27"/>
  <c r="R27"/>
  <c r="S27"/>
  <c r="T27"/>
  <c r="AB27"/>
  <c r="AD27"/>
  <c r="AD28"/>
  <c r="AF27"/>
  <c r="AH27"/>
  <c r="AJ27"/>
  <c r="AL27"/>
  <c r="AN27"/>
  <c r="AP27"/>
  <c r="AQ27"/>
  <c r="AW27"/>
  <c r="BI27"/>
  <c r="BJ27"/>
  <c r="BK27"/>
  <c r="D28"/>
  <c r="F28"/>
  <c r="H28"/>
  <c r="J28"/>
  <c r="L28"/>
  <c r="N28"/>
  <c r="P28"/>
  <c r="AB28"/>
  <c r="AF28"/>
  <c r="AJ28"/>
  <c r="AN28"/>
  <c r="BI28"/>
  <c r="BJ28"/>
  <c r="BK28"/>
  <c r="AB29"/>
  <c r="AD29"/>
  <c r="AF29"/>
  <c r="AH29"/>
  <c r="AJ29"/>
  <c r="AL29"/>
  <c r="AN29"/>
  <c r="BI30"/>
  <c r="BJ30"/>
  <c r="BJ29"/>
  <c r="AB31"/>
  <c r="AF31"/>
  <c r="AJ31"/>
  <c r="AN31"/>
  <c r="AF43"/>
  <c r="AJ43"/>
  <c r="AN43"/>
  <c r="S44"/>
  <c r="S47"/>
  <c r="AB52"/>
  <c r="AC52"/>
  <c r="AE52"/>
  <c r="AE54"/>
  <c r="AF52"/>
  <c r="AJ52"/>
  <c r="AN52"/>
  <c r="B54"/>
  <c r="B55"/>
  <c r="D54"/>
  <c r="F54"/>
  <c r="F55"/>
  <c r="H54"/>
  <c r="J54"/>
  <c r="J55"/>
  <c r="L54"/>
  <c r="N54"/>
  <c r="N55"/>
  <c r="P54"/>
  <c r="S54"/>
  <c r="AB54"/>
  <c r="AC54"/>
  <c r="AC55"/>
  <c r="AF54"/>
  <c r="AJ54"/>
  <c r="AN54"/>
  <c r="D55"/>
  <c r="H55"/>
  <c r="L55"/>
  <c r="AB55"/>
  <c r="AF55"/>
  <c r="AJ55"/>
  <c r="B56"/>
  <c r="D56"/>
  <c r="F56"/>
  <c r="H56"/>
  <c r="J56"/>
  <c r="L56"/>
  <c r="N56"/>
  <c r="AB59"/>
  <c r="AD59"/>
  <c r="AF59"/>
  <c r="AH59"/>
  <c r="AJ59"/>
  <c r="AL59"/>
  <c r="AN59"/>
  <c r="AB64"/>
  <c r="AC64"/>
  <c r="AD64"/>
  <c r="AE64"/>
  <c r="AF64"/>
  <c r="AH64"/>
  <c r="AJ64"/>
  <c r="AL64"/>
  <c r="AN64"/>
  <c r="AB65"/>
  <c r="AF65"/>
  <c r="AJ65"/>
  <c r="AN65"/>
  <c r="AB73"/>
  <c r="AC73"/>
  <c r="AD73"/>
  <c r="AE73"/>
  <c r="AF73"/>
  <c r="AH73"/>
  <c r="AJ73"/>
  <c r="AL73"/>
  <c r="AN73"/>
  <c r="AP73"/>
  <c r="AB75"/>
  <c r="AC75"/>
  <c r="AC86"/>
  <c r="AD75"/>
  <c r="AE75"/>
  <c r="AE86"/>
  <c r="AF75"/>
  <c r="AH75"/>
  <c r="AH86"/>
  <c r="AJ75"/>
  <c r="AL75"/>
  <c r="AL86"/>
  <c r="AN75"/>
  <c r="AP75"/>
  <c r="AP86"/>
  <c r="AB76"/>
  <c r="AC76"/>
  <c r="AD76"/>
  <c r="AE76"/>
  <c r="AF76"/>
  <c r="AH76"/>
  <c r="AJ76"/>
  <c r="AL76"/>
  <c r="AN76"/>
  <c r="AP76"/>
  <c r="AB80"/>
  <c r="AD80"/>
  <c r="AF80"/>
  <c r="AH80"/>
  <c r="AJ80"/>
  <c r="AL80"/>
  <c r="AN80"/>
  <c r="AB85"/>
  <c r="AC85"/>
  <c r="AD85"/>
  <c r="AD86"/>
  <c r="AE85"/>
  <c r="AF85"/>
  <c r="AH85"/>
  <c r="AJ85"/>
  <c r="AJ86"/>
  <c r="AL85"/>
  <c r="AN85"/>
  <c r="AP85"/>
  <c r="AB86"/>
  <c r="AF86"/>
  <c r="AN86"/>
  <c r="AF104"/>
  <c r="AF107"/>
  <c r="AF108"/>
  <c r="AR108"/>
  <c r="AT108"/>
  <c r="AH114"/>
  <c r="AJ114"/>
  <c r="AT114"/>
  <c r="AH115"/>
  <c r="AJ115"/>
  <c r="AJ127"/>
  <c r="AL127"/>
  <c r="AJ129"/>
  <c r="AL129"/>
  <c r="AJ133"/>
  <c r="AL133"/>
  <c r="AE55"/>
  <c r="AE65"/>
  <c r="AL28"/>
  <c r="AH28"/>
  <c r="B11" i="9"/>
  <c r="H14" i="1" s="1"/>
  <c r="B11" i="7"/>
  <c r="B11" i="5"/>
  <c r="H10" i="1" s="1"/>
  <c r="H6" i="3"/>
  <c r="B90" i="9"/>
  <c r="H91"/>
  <c r="H85" i="7"/>
  <c r="B66"/>
  <c r="D66"/>
  <c r="H67"/>
  <c r="F98" i="2"/>
  <c r="E12" i="1"/>
  <c r="B8" i="3"/>
  <c r="C8" s="1"/>
  <c r="F123" i="2"/>
  <c r="H123" s="1"/>
  <c r="H92" i="5"/>
  <c r="H73"/>
  <c r="B97" i="6"/>
  <c r="H98"/>
  <c r="B84"/>
  <c r="H85"/>
  <c r="B71"/>
  <c r="H72"/>
  <c r="B11" i="10"/>
  <c r="E11" s="1"/>
  <c r="B11" i="8"/>
  <c r="H13" i="1" s="1"/>
  <c r="F9" i="3"/>
  <c r="B11" i="6"/>
  <c r="H11" i="1" s="1"/>
  <c r="B84" i="9"/>
  <c r="D84"/>
  <c r="H85"/>
  <c r="E14" i="1"/>
  <c r="B10" i="3"/>
  <c r="C10" s="1"/>
  <c r="B97" i="7"/>
  <c r="D97"/>
  <c r="H98"/>
  <c r="B84" i="10"/>
  <c r="N2"/>
  <c r="L1"/>
  <c r="H85"/>
  <c r="B97" i="5"/>
  <c r="D97"/>
  <c r="H98"/>
  <c r="B47"/>
  <c r="H48"/>
  <c r="BI29" i="4"/>
  <c r="H42" i="3"/>
  <c r="D53" i="13"/>
  <c r="D78" i="7"/>
  <c r="B71"/>
  <c r="AC65" i="4"/>
  <c r="AL31"/>
  <c r="AL52"/>
  <c r="AL54"/>
  <c r="AL65"/>
  <c r="AH31"/>
  <c r="AH52"/>
  <c r="AH54"/>
  <c r="AH65"/>
  <c r="AD31"/>
  <c r="AD52"/>
  <c r="AD54"/>
  <c r="BK30"/>
  <c r="BK29"/>
  <c r="AV27"/>
  <c r="D90" i="15"/>
  <c r="D42"/>
  <c r="D94" i="9"/>
  <c r="D90"/>
  <c r="B71"/>
  <c r="D71"/>
  <c r="D27"/>
  <c r="G14" i="1"/>
  <c r="D38" i="9"/>
  <c r="D27" i="7"/>
  <c r="D71"/>
  <c r="D42"/>
  <c r="D27" i="10"/>
  <c r="G15" i="1"/>
  <c r="D27" i="11"/>
  <c r="G16" i="1"/>
  <c r="C71" i="10"/>
  <c r="H73"/>
  <c r="B42" i="11"/>
  <c r="H43"/>
  <c r="B32"/>
  <c r="D32"/>
  <c r="H33"/>
  <c r="F27"/>
  <c r="B30"/>
  <c r="F126" i="2"/>
  <c r="B125" s="1"/>
  <c r="D125" s="1"/>
  <c r="B94" i="5"/>
  <c r="H95"/>
  <c r="C78"/>
  <c r="H79"/>
  <c r="B38"/>
  <c r="H39"/>
  <c r="B90" i="6"/>
  <c r="H91"/>
  <c r="H59"/>
  <c r="K27"/>
  <c r="F48"/>
  <c r="B42" i="16"/>
  <c r="H43"/>
  <c r="B32"/>
  <c r="H33"/>
  <c r="B30"/>
  <c r="C121" i="2"/>
  <c r="I58"/>
  <c r="G104"/>
  <c r="C84"/>
  <c r="B78" i="13"/>
  <c r="D78" s="1"/>
  <c r="B71"/>
  <c r="D71" s="1"/>
  <c r="B53"/>
  <c r="B71" i="14"/>
  <c r="D71" s="1"/>
  <c r="C78" i="15"/>
  <c r="G27"/>
  <c r="B78" i="9"/>
  <c r="D78"/>
  <c r="F63"/>
  <c r="F60"/>
  <c r="H60"/>
  <c r="F51"/>
  <c r="F27"/>
  <c r="B78" i="7"/>
  <c r="F60"/>
  <c r="H60"/>
  <c r="D84" i="10"/>
  <c r="B78"/>
  <c r="K27"/>
  <c r="L26"/>
  <c r="L25"/>
  <c r="G27"/>
  <c r="B97" i="11"/>
  <c r="D97"/>
  <c r="B71"/>
  <c r="D71"/>
  <c r="F122" i="2"/>
  <c r="B90" i="5"/>
  <c r="D90"/>
  <c r="F85"/>
  <c r="F112" i="2"/>
  <c r="H112" s="1"/>
  <c r="C71" i="5"/>
  <c r="D71"/>
  <c r="F94" i="2"/>
  <c r="H94" s="1"/>
  <c r="F92"/>
  <c r="H92" s="1"/>
  <c r="C47" i="5"/>
  <c r="D47"/>
  <c r="F75" i="2"/>
  <c r="H75" s="1"/>
  <c r="K27" i="5"/>
  <c r="D27"/>
  <c r="B4"/>
  <c r="D97" i="6"/>
  <c r="B94"/>
  <c r="D94"/>
  <c r="D84"/>
  <c r="B78"/>
  <c r="D71"/>
  <c r="B4" i="16"/>
  <c r="B17" i="3" s="1"/>
  <c r="C17" s="1"/>
  <c r="F113" i="2"/>
  <c r="H113" s="1"/>
  <c r="F106"/>
  <c r="H106" s="1"/>
  <c r="F70"/>
  <c r="H70" s="1"/>
  <c r="D94" i="8"/>
  <c r="D58"/>
  <c r="B90" i="10"/>
  <c r="D90"/>
  <c r="H91"/>
  <c r="B58"/>
  <c r="D58"/>
  <c r="H59"/>
  <c r="B42"/>
  <c r="D42"/>
  <c r="H43"/>
  <c r="B32"/>
  <c r="D32"/>
  <c r="H33"/>
  <c r="B30"/>
  <c r="B94" i="11"/>
  <c r="D94"/>
  <c r="H95"/>
  <c r="C71"/>
  <c r="H73"/>
  <c r="B66"/>
  <c r="D66"/>
  <c r="H67"/>
  <c r="B58"/>
  <c r="D58"/>
  <c r="H59"/>
  <c r="F111" i="2"/>
  <c r="H111" s="1"/>
  <c r="H80" i="5"/>
  <c r="C58"/>
  <c r="D58"/>
  <c r="H60"/>
  <c r="C53"/>
  <c r="H54"/>
  <c r="G27"/>
  <c r="H30"/>
  <c r="B66" i="6"/>
  <c r="D66"/>
  <c r="H67"/>
  <c r="G27"/>
  <c r="H30"/>
  <c r="B97" i="16"/>
  <c r="H98"/>
  <c r="B90"/>
  <c r="D90" s="1"/>
  <c r="H91"/>
  <c r="H81"/>
  <c r="C78"/>
  <c r="C109" i="2"/>
  <c r="C73"/>
  <c r="B78" i="14"/>
  <c r="D78" s="1"/>
  <c r="B53"/>
  <c r="D53" s="1"/>
  <c r="B11" i="3"/>
  <c r="C11" s="1"/>
  <c r="H95" i="13"/>
  <c r="H85"/>
  <c r="H79"/>
  <c r="H73"/>
  <c r="H67"/>
  <c r="H54"/>
  <c r="H48"/>
  <c r="H39"/>
  <c r="H30"/>
  <c r="H95" i="14"/>
  <c r="H85"/>
  <c r="H79"/>
  <c r="H73"/>
  <c r="H67"/>
  <c r="H54"/>
  <c r="H48"/>
  <c r="H39"/>
  <c r="H30"/>
  <c r="H91" i="15"/>
  <c r="H72"/>
  <c r="H59"/>
  <c r="H43"/>
  <c r="H33"/>
  <c r="B30"/>
  <c r="H95" i="9"/>
  <c r="H79"/>
  <c r="H72"/>
  <c r="H59"/>
  <c r="H48"/>
  <c r="H39"/>
  <c r="H30"/>
  <c r="H95" i="7"/>
  <c r="F87"/>
  <c r="H87"/>
  <c r="H79"/>
  <c r="H72"/>
  <c r="H59"/>
  <c r="H43"/>
  <c r="H36"/>
  <c r="F35"/>
  <c r="H30"/>
  <c r="D78" i="10"/>
  <c r="F76"/>
  <c r="B78" i="11"/>
  <c r="D78"/>
  <c r="D42"/>
  <c r="G27"/>
  <c r="B4"/>
  <c r="D94" i="5"/>
  <c r="H91"/>
  <c r="C84"/>
  <c r="B78"/>
  <c r="F105" i="2"/>
  <c r="H105" s="1"/>
  <c r="B71" i="5"/>
  <c r="H62"/>
  <c r="B58"/>
  <c r="F86" i="2"/>
  <c r="H86" s="1"/>
  <c r="B53" i="5"/>
  <c r="F71" i="2"/>
  <c r="H71" s="1"/>
  <c r="D38" i="5"/>
  <c r="D90" i="6"/>
  <c r="D78"/>
  <c r="H73"/>
  <c r="L27"/>
  <c r="D38"/>
  <c r="B4"/>
  <c r="F103" i="2"/>
  <c r="H103" s="1"/>
  <c r="B38" i="6"/>
  <c r="H39"/>
  <c r="H72" i="16"/>
  <c r="B58"/>
  <c r="D58" s="1"/>
  <c r="H59"/>
  <c r="C89" i="2"/>
  <c r="C78"/>
  <c r="C63"/>
  <c r="B97" i="8"/>
  <c r="D97"/>
  <c r="H98"/>
  <c r="B94"/>
  <c r="H95"/>
  <c r="B84"/>
  <c r="D84"/>
  <c r="H85"/>
  <c r="F50" i="10"/>
  <c r="F27"/>
  <c r="F110" i="2"/>
  <c r="H110" s="1"/>
  <c r="F99"/>
  <c r="F90"/>
  <c r="H90" s="1"/>
  <c r="F76"/>
  <c r="H76" s="1"/>
  <c r="F74"/>
  <c r="F66"/>
  <c r="H66" s="1"/>
  <c r="F64"/>
  <c r="H64" s="1"/>
  <c r="F60" i="6"/>
  <c r="H60"/>
  <c r="B53"/>
  <c r="D53"/>
  <c r="J27"/>
  <c r="B32"/>
  <c r="D32"/>
  <c r="D97" i="16"/>
  <c r="D42"/>
  <c r="D32"/>
  <c r="H119" i="2"/>
  <c r="C115"/>
  <c r="H99"/>
  <c r="C97"/>
  <c r="C69"/>
  <c r="D32" i="12"/>
  <c r="B71" i="8"/>
  <c r="D71"/>
  <c r="D66"/>
  <c r="B58"/>
  <c r="D42"/>
  <c r="D32"/>
  <c r="D27"/>
  <c r="F49" i="6"/>
  <c r="B37" i="2"/>
  <c r="D10"/>
  <c r="D50"/>
  <c r="H98" i="12"/>
  <c r="H91"/>
  <c r="H81"/>
  <c r="H72"/>
  <c r="H59"/>
  <c r="H43"/>
  <c r="H33"/>
  <c r="B30"/>
  <c r="H81" i="8"/>
  <c r="H74"/>
  <c r="H73"/>
  <c r="H67"/>
  <c r="H59"/>
  <c r="H55"/>
  <c r="H54"/>
  <c r="C53"/>
  <c r="F50"/>
  <c r="H43"/>
  <c r="H33"/>
  <c r="B30"/>
  <c r="C78" i="12"/>
  <c r="F56" i="8"/>
  <c r="H56"/>
  <c r="D54" i="2"/>
  <c r="E50"/>
  <c r="H49" i="6"/>
  <c r="H27"/>
  <c r="F80" i="2"/>
  <c r="H80" s="1"/>
  <c r="E27" i="8"/>
  <c r="G13" i="1"/>
  <c r="E16"/>
  <c r="B12" i="3"/>
  <c r="C12" s="1"/>
  <c r="F27" i="7"/>
  <c r="B32"/>
  <c r="D32"/>
  <c r="H35"/>
  <c r="E21" i="1"/>
  <c r="E27" i="5"/>
  <c r="G10" i="1"/>
  <c r="B84" i="5"/>
  <c r="F116" i="2"/>
  <c r="H116" s="1"/>
  <c r="H85" i="5"/>
  <c r="C102" i="2"/>
  <c r="B47" i="6"/>
  <c r="D47"/>
  <c r="H48"/>
  <c r="E27" i="7"/>
  <c r="G12" i="1"/>
  <c r="AD65" i="4"/>
  <c r="AD55"/>
  <c r="H45" i="3"/>
  <c r="H44"/>
  <c r="E11" i="6"/>
  <c r="E11" i="8"/>
  <c r="H15" i="1"/>
  <c r="H98" i="2"/>
  <c r="H7" i="3"/>
  <c r="H12" i="1"/>
  <c r="E11" i="7"/>
  <c r="B47" i="8"/>
  <c r="D47"/>
  <c r="H50"/>
  <c r="H27"/>
  <c r="D28" i="2"/>
  <c r="D46"/>
  <c r="D51"/>
  <c r="D53"/>
  <c r="D55"/>
  <c r="D56"/>
  <c r="E28"/>
  <c r="E46"/>
  <c r="E51"/>
  <c r="H50" i="10"/>
  <c r="B47"/>
  <c r="D47"/>
  <c r="B7" i="3"/>
  <c r="F7" s="1"/>
  <c r="E11" i="1"/>
  <c r="B71" i="10"/>
  <c r="H76"/>
  <c r="E10" i="1"/>
  <c r="B6" i="3"/>
  <c r="C6" s="1"/>
  <c r="E6" s="1"/>
  <c r="E7" s="1"/>
  <c r="E8" s="1"/>
  <c r="E9" s="1"/>
  <c r="E10" s="1"/>
  <c r="E11" s="1"/>
  <c r="E12" s="1"/>
  <c r="H51" i="9"/>
  <c r="F82" i="2"/>
  <c r="H82" s="1"/>
  <c r="H63" i="9"/>
  <c r="M5"/>
  <c r="L1"/>
  <c r="AT28" i="4"/>
  <c r="AT31"/>
  <c r="AT107" s="1"/>
  <c r="F87" i="2"/>
  <c r="H87" s="1"/>
  <c r="H27" i="9"/>
  <c r="D53" i="5"/>
  <c r="D71" i="10"/>
  <c r="B58" i="7"/>
  <c r="D58"/>
  <c r="F79" i="2"/>
  <c r="H79" s="1"/>
  <c r="B84" i="7"/>
  <c r="D84"/>
  <c r="E24" i="8"/>
  <c r="G24" s="1"/>
  <c r="E25" s="1"/>
  <c r="F27" i="6"/>
  <c r="D27"/>
  <c r="F27" i="5"/>
  <c r="D84"/>
  <c r="H27" i="7"/>
  <c r="H74" i="2"/>
  <c r="H27" i="5"/>
  <c r="F27" i="8"/>
  <c r="B53"/>
  <c r="D53"/>
  <c r="G58" i="2"/>
  <c r="E24" i="10"/>
  <c r="G24" s="1"/>
  <c r="E25" s="1"/>
  <c r="L26" i="6"/>
  <c r="M26"/>
  <c r="B58"/>
  <c r="D58"/>
  <c r="D78" i="5"/>
  <c r="B58" i="9"/>
  <c r="D58"/>
  <c r="B47"/>
  <c r="D47"/>
  <c r="E24" i="7"/>
  <c r="G24" s="1"/>
  <c r="E25" s="1"/>
  <c r="AH55" i="4"/>
  <c r="AL55"/>
  <c r="E27" i="6"/>
  <c r="G11" i="1"/>
  <c r="G6" i="3"/>
  <c r="I6" s="1"/>
  <c r="C7"/>
  <c r="H8"/>
  <c r="F12"/>
  <c r="E54" i="2"/>
  <c r="E53"/>
  <c r="H27" i="10"/>
  <c r="H9" i="3"/>
  <c r="E55" i="2"/>
  <c r="E56"/>
  <c r="H10" i="3"/>
  <c r="H11"/>
  <c r="H12"/>
  <c r="B47" i="11"/>
  <c r="D47"/>
  <c r="H50"/>
  <c r="B38"/>
  <c r="D38"/>
  <c r="B84"/>
  <c r="D84"/>
  <c r="H39"/>
  <c r="J11" i="17"/>
  <c r="H62" i="11"/>
  <c r="B11" i="12"/>
  <c r="M1" i="11"/>
  <c r="H27"/>
  <c r="E24"/>
  <c r="G24" s="1"/>
  <c r="E25" s="1"/>
  <c r="B21"/>
  <c r="E21" i="12"/>
  <c r="B21" s="1"/>
  <c r="H17" i="1"/>
  <c r="H50" i="12"/>
  <c r="K27"/>
  <c r="K25" s="1"/>
  <c r="D47"/>
  <c r="H67"/>
  <c r="H54"/>
  <c r="H51"/>
  <c r="D53"/>
  <c r="H60"/>
  <c r="B71"/>
  <c r="D71" s="1"/>
  <c r="H55"/>
  <c r="B38"/>
  <c r="D38"/>
  <c r="H39"/>
  <c r="B84"/>
  <c r="D84" s="1"/>
  <c r="H86"/>
  <c r="B58"/>
  <c r="D58" s="1"/>
  <c r="E11" i="5" l="1"/>
  <c r="C36" i="1"/>
  <c r="K36" s="1"/>
  <c r="C37"/>
  <c r="K37" s="1"/>
  <c r="B62" i="17"/>
  <c r="E22" i="16"/>
  <c r="D23" i="1"/>
  <c r="AR27" i="4"/>
  <c r="AH108" s="1"/>
  <c r="AJ108" s="1"/>
  <c r="AL108" s="1"/>
  <c r="AV108"/>
  <c r="AX108" s="1"/>
  <c r="AZ108" s="1"/>
  <c r="BG27"/>
  <c r="AX26"/>
  <c r="D94" i="16"/>
  <c r="H88"/>
  <c r="H87"/>
  <c r="H86"/>
  <c r="B84"/>
  <c r="D84" s="1"/>
  <c r="H73"/>
  <c r="H54"/>
  <c r="D47"/>
  <c r="H39"/>
  <c r="C53"/>
  <c r="B53"/>
  <c r="H51"/>
  <c r="F27"/>
  <c r="H69"/>
  <c r="B78"/>
  <c r="D78" s="1"/>
  <c r="H95"/>
  <c r="B71"/>
  <c r="D71" s="1"/>
  <c r="H85"/>
  <c r="O66" i="17"/>
  <c r="O67" s="1"/>
  <c r="I16"/>
  <c r="I28" s="1"/>
  <c r="J16"/>
  <c r="J28" s="1"/>
  <c r="K26" i="16"/>
  <c r="D27"/>
  <c r="G21" i="1" s="1"/>
  <c r="L28" i="17"/>
  <c r="B21" i="16"/>
  <c r="B4" i="15"/>
  <c r="B16" i="3" s="1"/>
  <c r="H69" i="15"/>
  <c r="B47"/>
  <c r="D47" s="1"/>
  <c r="H34"/>
  <c r="B78"/>
  <c r="D78" s="1"/>
  <c r="H126" i="2"/>
  <c r="H54" i="15"/>
  <c r="H39"/>
  <c r="H49"/>
  <c r="H85"/>
  <c r="H80"/>
  <c r="K26"/>
  <c r="N39" s="1"/>
  <c r="B71"/>
  <c r="D71" s="1"/>
  <c r="E20" i="1"/>
  <c r="E21" i="15"/>
  <c r="B21" s="1"/>
  <c r="B58"/>
  <c r="D58" s="1"/>
  <c r="F27"/>
  <c r="D27"/>
  <c r="G20" i="1" s="1"/>
  <c r="H60" i="15"/>
  <c r="H98"/>
  <c r="F129" i="2"/>
  <c r="B128" s="1"/>
  <c r="D128" s="1"/>
  <c r="B97" i="15"/>
  <c r="D97" s="1"/>
  <c r="F27" i="14"/>
  <c r="B73" i="2"/>
  <c r="D73" s="1"/>
  <c r="B28" i="17"/>
  <c r="AX27" i="4"/>
  <c r="AV107" s="1"/>
  <c r="AX107" s="1"/>
  <c r="B69" i="2"/>
  <c r="D69" s="1"/>
  <c r="B38" i="14"/>
  <c r="D38" s="1"/>
  <c r="B90"/>
  <c r="D90" s="1"/>
  <c r="B58"/>
  <c r="D58" s="1"/>
  <c r="K26"/>
  <c r="N36" s="1"/>
  <c r="N37" s="1"/>
  <c r="AP52" i="4"/>
  <c r="AP54" s="1"/>
  <c r="AP60"/>
  <c r="AP64" s="1"/>
  <c r="AZ31"/>
  <c r="AZ28"/>
  <c r="BD24"/>
  <c r="BD27" s="1"/>
  <c r="E19" i="1"/>
  <c r="B15" i="3"/>
  <c r="C15" s="1"/>
  <c r="B21" i="14"/>
  <c r="K58" i="17"/>
  <c r="K62" s="1"/>
  <c r="F6" i="3"/>
  <c r="E11" i="9"/>
  <c r="E24"/>
  <c r="G24" s="1"/>
  <c r="E25" s="1"/>
  <c r="G25" s="1"/>
  <c r="H50" i="14"/>
  <c r="H63"/>
  <c r="D27"/>
  <c r="G19" i="1" s="1"/>
  <c r="F81" i="2"/>
  <c r="H81" s="1"/>
  <c r="H98" i="14"/>
  <c r="B58" i="13"/>
  <c r="D58" s="1"/>
  <c r="F91" i="2"/>
  <c r="B89" s="1"/>
  <c r="D89" s="1"/>
  <c r="K26" i="13"/>
  <c r="M26" s="1"/>
  <c r="H33" i="14"/>
  <c r="H27" s="1"/>
  <c r="M16" i="17"/>
  <c r="M28" s="1"/>
  <c r="E22" i="13"/>
  <c r="B21" s="1"/>
  <c r="H50"/>
  <c r="H98"/>
  <c r="B4"/>
  <c r="J21" s="1"/>
  <c r="B11" i="16"/>
  <c r="H21" i="1" s="1"/>
  <c r="F17" i="3"/>
  <c r="B11" i="15"/>
  <c r="E24" s="1"/>
  <c r="E42" i="3"/>
  <c r="F61" i="2"/>
  <c r="B121"/>
  <c r="D121" s="1"/>
  <c r="H92" i="12"/>
  <c r="B66" i="13"/>
  <c r="D66" s="1"/>
  <c r="F100" i="2"/>
  <c r="F27" i="13"/>
  <c r="H60"/>
  <c r="B38"/>
  <c r="D38" s="1"/>
  <c r="H40"/>
  <c r="H92"/>
  <c r="H69"/>
  <c r="D27"/>
  <c r="G18" i="1" s="1"/>
  <c r="H80" i="12"/>
  <c r="B11" i="14"/>
  <c r="F15" i="3"/>
  <c r="D19"/>
  <c r="D20" s="1"/>
  <c r="B11" i="13"/>
  <c r="O10" i="17"/>
  <c r="C16"/>
  <c r="C28" s="1"/>
  <c r="G16"/>
  <c r="G11"/>
  <c r="E11"/>
  <c r="B67"/>
  <c r="O32"/>
  <c r="O19"/>
  <c r="O21" s="1"/>
  <c r="N16"/>
  <c r="N28" s="1"/>
  <c r="O24"/>
  <c r="O26" s="1"/>
  <c r="E16"/>
  <c r="O15"/>
  <c r="K16"/>
  <c r="K28" s="1"/>
  <c r="F16"/>
  <c r="F28" s="1"/>
  <c r="O14"/>
  <c r="H11"/>
  <c r="H28" s="1"/>
  <c r="F27" i="12"/>
  <c r="F107" i="2"/>
  <c r="B102" s="1"/>
  <c r="D102" s="1"/>
  <c r="B115"/>
  <c r="D115" s="1"/>
  <c r="H27" i="12"/>
  <c r="D27"/>
  <c r="B4"/>
  <c r="F65" i="2"/>
  <c r="B63" s="1"/>
  <c r="H34" i="13"/>
  <c r="G25" i="10"/>
  <c r="C15" i="1"/>
  <c r="H35" i="17"/>
  <c r="H44" s="1"/>
  <c r="H69" s="1"/>
  <c r="G35"/>
  <c r="G44" s="1"/>
  <c r="G69" s="1"/>
  <c r="C14" i="1"/>
  <c r="E35" i="17"/>
  <c r="E44" s="1"/>
  <c r="E69" s="1"/>
  <c r="G25" i="7"/>
  <c r="C12" i="1"/>
  <c r="I35" i="17"/>
  <c r="I44" s="1"/>
  <c r="I69" s="1"/>
  <c r="C16" i="1"/>
  <c r="G25" i="11"/>
  <c r="F35" i="17"/>
  <c r="F44" s="1"/>
  <c r="F69" s="1"/>
  <c r="G25" i="8"/>
  <c r="C13" i="1"/>
  <c r="O9" i="17"/>
  <c r="B84" i="2"/>
  <c r="D84" s="1"/>
  <c r="B109"/>
  <c r="D109" s="1"/>
  <c r="G7" i="3"/>
  <c r="F8"/>
  <c r="F11"/>
  <c r="F10"/>
  <c r="H122" i="2"/>
  <c r="E24" i="5"/>
  <c r="G24" s="1"/>
  <c r="E25" s="1"/>
  <c r="E24" i="6"/>
  <c r="G24" s="1"/>
  <c r="E25" s="1"/>
  <c r="D16" i="17"/>
  <c r="D28" s="1"/>
  <c r="E11" i="15" l="1"/>
  <c r="D34" i="1"/>
  <c r="D39" s="1"/>
  <c r="B82" i="17"/>
  <c r="B84"/>
  <c r="E11" i="16"/>
  <c r="H27"/>
  <c r="AZ107" i="4"/>
  <c r="AZ106" s="1"/>
  <c r="AZ105" s="1"/>
  <c r="AN55"/>
  <c r="E24" i="16"/>
  <c r="G24" s="1"/>
  <c r="E25" s="1"/>
  <c r="G25" s="1"/>
  <c r="D53"/>
  <c r="O58" i="17"/>
  <c r="AH107" i="4"/>
  <c r="AJ107" s="1"/>
  <c r="AL107" s="1"/>
  <c r="AL106" s="1"/>
  <c r="AL105" s="1"/>
  <c r="C16" i="3"/>
  <c r="F16"/>
  <c r="H129" i="2"/>
  <c r="G24" i="15"/>
  <c r="H27"/>
  <c r="O11" i="17"/>
  <c r="AP65" i="4"/>
  <c r="H20" i="1"/>
  <c r="B78" i="2"/>
  <c r="D78" s="1"/>
  <c r="H91"/>
  <c r="B14" i="3"/>
  <c r="E18" i="1"/>
  <c r="B61" i="2"/>
  <c r="H61"/>
  <c r="H100"/>
  <c r="B97"/>
  <c r="D97" s="1"/>
  <c r="H27" i="13"/>
  <c r="E24" i="14"/>
  <c r="G24" s="1"/>
  <c r="E25" s="1"/>
  <c r="H19" i="1"/>
  <c r="E11" i="14"/>
  <c r="H18" i="1"/>
  <c r="E24" i="13"/>
  <c r="G24" s="1"/>
  <c r="E25" s="1"/>
  <c r="C18" i="1" s="1"/>
  <c r="E11" i="13"/>
  <c r="E28" i="17"/>
  <c r="G28"/>
  <c r="O16"/>
  <c r="E11" i="12"/>
  <c r="E24"/>
  <c r="G24" s="1"/>
  <c r="E25" s="1"/>
  <c r="G25" s="1"/>
  <c r="B13" i="3"/>
  <c r="C13" s="1"/>
  <c r="H107" i="2"/>
  <c r="G17" i="1"/>
  <c r="G23" s="1"/>
  <c r="E17"/>
  <c r="E23" s="1"/>
  <c r="H65" i="2"/>
  <c r="F58"/>
  <c r="G25" i="5"/>
  <c r="C10" i="1"/>
  <c r="C35" i="17"/>
  <c r="C44" s="1"/>
  <c r="C69" s="1"/>
  <c r="D35"/>
  <c r="D44" s="1"/>
  <c r="D69" s="1"/>
  <c r="G25" i="6"/>
  <c r="C11" i="1"/>
  <c r="I7" i="3"/>
  <c r="G8"/>
  <c r="D63" i="2"/>
  <c r="G24" i="1" l="1"/>
  <c r="G26" s="1"/>
  <c r="O62" i="17"/>
  <c r="I24" i="1"/>
  <c r="C21"/>
  <c r="E25" i="15"/>
  <c r="G25" s="1"/>
  <c r="N35" i="17"/>
  <c r="N44" s="1"/>
  <c r="H23" i="1"/>
  <c r="B60" i="2"/>
  <c r="O28" i="17"/>
  <c r="C14" i="3"/>
  <c r="C19" s="1"/>
  <c r="F14"/>
  <c r="B19"/>
  <c r="D21" s="1"/>
  <c r="H58" i="2"/>
  <c r="K35" i="17"/>
  <c r="K44" s="1"/>
  <c r="K69" s="1"/>
  <c r="J35"/>
  <c r="J44" s="1"/>
  <c r="J69" s="1"/>
  <c r="L35"/>
  <c r="L44" s="1"/>
  <c r="L69" s="1"/>
  <c r="G25" i="14"/>
  <c r="C19" i="1"/>
  <c r="G25" i="13"/>
  <c r="C17" i="1"/>
  <c r="F13" i="3"/>
  <c r="G28" i="1"/>
  <c r="I23"/>
  <c r="E13" i="3"/>
  <c r="E14" s="1"/>
  <c r="E15" s="1"/>
  <c r="E16" s="1"/>
  <c r="E17" s="1"/>
  <c r="I8"/>
  <c r="G9"/>
  <c r="I25" i="1" l="1"/>
  <c r="G27"/>
  <c r="C20"/>
  <c r="C23" s="1"/>
  <c r="C27" s="1"/>
  <c r="M35" i="17"/>
  <c r="M44" s="1"/>
  <c r="O44" s="1"/>
  <c r="I9" i="3"/>
  <c r="G10"/>
  <c r="O35" i="17" l="1"/>
  <c r="G11" i="3"/>
  <c r="I10"/>
  <c r="G12" l="1"/>
  <c r="I12" s="1"/>
  <c r="I11"/>
  <c r="O69" i="17" l="1"/>
</calcChain>
</file>

<file path=xl/sharedStrings.xml><?xml version="1.0" encoding="utf-8"?>
<sst xmlns="http://schemas.openxmlformats.org/spreadsheetml/2006/main" count="3096" uniqueCount="969">
  <si>
    <t>YEAR</t>
  </si>
  <si>
    <t>Financial Goal:</t>
  </si>
  <si>
    <t>1. After 100% house ownership, increase giving % and save 30% of income for retirement and kids' college.</t>
  </si>
  <si>
    <t>2. See how fast we can save up $20,000 after paying off mortgage.</t>
  </si>
  <si>
    <t>3. First saved $30,000 to pay off Dad's account + Interest $3000 (his money, I borrowed before into investment).</t>
  </si>
  <si>
    <t>4. Goal for future: how fast we can save our first $100,000 after mortgage. (probably in 3 years if income stays the same)</t>
  </si>
  <si>
    <t>Annual Financial Snapshot</t>
  </si>
  <si>
    <t>NET SAVING</t>
  </si>
  <si>
    <t>TAX/Refund</t>
  </si>
  <si>
    <t>INCOME</t>
  </si>
  <si>
    <t>EXPENSES</t>
  </si>
  <si>
    <t>OFFERING</t>
  </si>
  <si>
    <t>January</t>
  </si>
  <si>
    <t>Jan &amp; Dec credit card payments</t>
  </si>
  <si>
    <t>February</t>
  </si>
  <si>
    <t>March</t>
  </si>
  <si>
    <t>Bonus of $3406.47 (Choose 50% to TIP, retirement account rather than distribution to us)  Prebuy 2 tons pellets &amp; CK's car tires. USA citzenship application fee &amp; passports.  ROC passport renewal for CK.</t>
  </si>
  <si>
    <t>April</t>
  </si>
  <si>
    <t>May</t>
  </si>
  <si>
    <t>June</t>
  </si>
  <si>
    <t>Tax Refund</t>
  </si>
  <si>
    <t>July</t>
  </si>
  <si>
    <t>Property tax</t>
  </si>
  <si>
    <t>August</t>
  </si>
  <si>
    <t>September</t>
  </si>
  <si>
    <t>October</t>
  </si>
  <si>
    <t>November</t>
  </si>
  <si>
    <t>December</t>
  </si>
  <si>
    <t>offering rate</t>
  </si>
  <si>
    <t>monthly mortgage paym't</t>
  </si>
  <si>
    <t>other expenses</t>
  </si>
  <si>
    <t>monthly w/ mortgage</t>
  </si>
  <si>
    <t>Income Breakdown:</t>
  </si>
  <si>
    <t>After Tax</t>
  </si>
  <si>
    <t>Liberty Mutual</t>
  </si>
  <si>
    <t>Teaching:</t>
  </si>
  <si>
    <t>DWC</t>
  </si>
  <si>
    <t>UNH</t>
  </si>
  <si>
    <t>Total Income</t>
  </si>
  <si>
    <t>(1) No mortgage payment except property tax.  Mortgage was paid off in Sep 2011.</t>
  </si>
  <si>
    <t>(2) Live on CK's daytime job and save his teaching income.</t>
  </si>
  <si>
    <t>(3) Save 30% of CK's daytime paycheck.</t>
  </si>
  <si>
    <t>(4) Find more cost effective recipes to feed family and guest – we want to continue to open house.</t>
  </si>
  <si>
    <t>Regular Income (Based on bi-weekly salary rec'd in Oct-Dec, 2011)</t>
  </si>
  <si>
    <t>Year 2011</t>
  </si>
  <si>
    <t>Liberty Mutual (Bonus Excluded)</t>
  </si>
  <si>
    <t>Teaching Income Rec'd (Hard to predict)</t>
  </si>
  <si>
    <t>TOTAL - Last Year</t>
  </si>
  <si>
    <t>Monthly  Expenses</t>
  </si>
  <si>
    <t>MAX.</t>
  </si>
  <si>
    <t>MIN.</t>
  </si>
  <si>
    <t>Home Mortgage</t>
  </si>
  <si>
    <t>Bank of America</t>
  </si>
  <si>
    <t>Utilities</t>
  </si>
  <si>
    <t>Electricity</t>
  </si>
  <si>
    <t>PSNH</t>
  </si>
  <si>
    <t>Water</t>
  </si>
  <si>
    <t>Merrimack Village District</t>
  </si>
  <si>
    <t>Wood Pellets (main heat)</t>
  </si>
  <si>
    <t>All Basics Stove Shop</t>
  </si>
  <si>
    <t>Propane (hot water; 2nd heat)</t>
  </si>
  <si>
    <t>BOT-L-GAS</t>
  </si>
  <si>
    <t>(Pre-purchase 400 gallons and limit hot water usage, $150 least charge for usage below 600 gallons)</t>
  </si>
  <si>
    <t>Total estimated monthly utilities</t>
  </si>
  <si>
    <t>Cable &amp; Internet</t>
  </si>
  <si>
    <t>Comcast</t>
  </si>
  <si>
    <t>Allowance</t>
  </si>
  <si>
    <t>Credit Card Paym't</t>
  </si>
  <si>
    <t>FC's</t>
  </si>
  <si>
    <t>(mainly for grocery &amp; gas for minivan)</t>
  </si>
  <si>
    <t>TDBanknorth</t>
  </si>
  <si>
    <t>CK's</t>
  </si>
  <si>
    <t>(his job related exp, commuting)</t>
  </si>
  <si>
    <t>Annual Exp. By month</t>
  </si>
  <si>
    <t>See below Annual Exp.</t>
  </si>
  <si>
    <t>Car registration</t>
  </si>
  <si>
    <t>2 cars</t>
  </si>
  <si>
    <t>Umbrella Insurance (home &amp; auto)</t>
  </si>
  <si>
    <t>Gallant Insurance</t>
  </si>
  <si>
    <t>CK's Life Insurance</t>
  </si>
  <si>
    <t>FC's Life Insurance</t>
  </si>
  <si>
    <t>Property Tax (estimate)</t>
  </si>
  <si>
    <t>Children's School (BJU curriculum)</t>
  </si>
  <si>
    <t>Piano, dance, sports activities</t>
  </si>
  <si>
    <t>($75 piano, $45 soccer, $65 Upward, $40 AWANA)</t>
  </si>
  <si>
    <t>/12 month</t>
  </si>
  <si>
    <t>Sports: Upward basketball, 2 soccer seasons: spring and fall</t>
  </si>
  <si>
    <t>Bi-Annual Expense</t>
  </si>
  <si>
    <t>Septic Tank Maintenance (every two years)</t>
  </si>
  <si>
    <t>2years</t>
  </si>
  <si>
    <t>Oversea Travel to Taiwan (Airfare &amp; others)</t>
  </si>
  <si>
    <t>TOTAL</t>
  </si>
  <si>
    <t>Regular Income</t>
  </si>
  <si>
    <t>Monthly Expense</t>
  </si>
  <si>
    <t>NET (w/o Offering)</t>
  </si>
  <si>
    <t>less: 13% offering</t>
  </si>
  <si>
    <t>Saving $</t>
  </si>
  <si>
    <t>Saving%</t>
  </si>
  <si>
    <t>ANNUAL EXPENSES (Actual vs. Budgeting)</t>
  </si>
  <si>
    <t xml:space="preserve">Actual </t>
  </si>
  <si>
    <t>Under/(Over)</t>
  </si>
  <si>
    <t>YTD Total</t>
  </si>
  <si>
    <t>Annual Budget</t>
  </si>
  <si>
    <t>Available</t>
  </si>
  <si>
    <t>Monthly Bgt</t>
  </si>
  <si>
    <t>Mortgage or Loan:</t>
  </si>
  <si>
    <t>house mortgage paid off in Sep. 2011</t>
  </si>
  <si>
    <t>Utilities:</t>
  </si>
  <si>
    <t>House heating</t>
  </si>
  <si>
    <t>Pellets</t>
  </si>
  <si>
    <t>4 tons ordered but limit use 3 tons if</t>
  </si>
  <si>
    <t>Water heating</t>
  </si>
  <si>
    <t>Propane</t>
  </si>
  <si>
    <t>300 gallons a year maximum</t>
  </si>
  <si>
    <t>Communication:</t>
  </si>
  <si>
    <t>Cell phone</t>
  </si>
  <si>
    <t>AT&amp;T,  T-mobile</t>
  </si>
  <si>
    <t>Insurance:</t>
  </si>
  <si>
    <t>Home &amp; Umbrella</t>
  </si>
  <si>
    <t>Commerce Insurance</t>
  </si>
  <si>
    <t>Car Insurance</t>
  </si>
  <si>
    <t>Life Insurance Premium</t>
  </si>
  <si>
    <t>Home Maintenance:</t>
  </si>
  <si>
    <t>(13 month Dec 2011 to Dec 2012)</t>
  </si>
  <si>
    <t>House repairs(materials),  fish tank filters, house plants</t>
  </si>
  <si>
    <t>Fish Tank &amp; House Plants Maintenance</t>
  </si>
  <si>
    <t>Outdoor yard &amp; tools maintenance &amp; yard tools (mowner, snow thrower)</t>
  </si>
  <si>
    <t>Tool &amp; Applicance maintenance/repair (generator, A/C, heating, pellet stove &amp; septic tank)</t>
  </si>
  <si>
    <t xml:space="preserve">Home Improvement:* </t>
  </si>
  <si>
    <t>Painting, remodeling &amp; new tools for remodeling etc.</t>
  </si>
  <si>
    <t>(Basement Bath Rebuilt due to sewage backflow-insurance reimbursed $440.21, Painting for one room)</t>
  </si>
  <si>
    <t>Furniture &amp; home deco</t>
  </si>
  <si>
    <t>Home Appliance &amp; maintenance</t>
  </si>
  <si>
    <t>Living:</t>
  </si>
  <si>
    <t>Cash Allowance</t>
  </si>
  <si>
    <t>Groceries &amp; Food</t>
  </si>
  <si>
    <t>Tassimo Coffee &amp; Salmon Seafood</t>
  </si>
  <si>
    <t>(Salmon $20 and Coffee $10)</t>
  </si>
  <si>
    <t>Necessities (non-food) ie. Detergent, shampoo, cookware etc</t>
  </si>
  <si>
    <t>Clothes &amp; Shoes</t>
  </si>
  <si>
    <t>Haircut &amp; Skin products</t>
  </si>
  <si>
    <t>Car:</t>
  </si>
  <si>
    <t>Repairs &amp; Maintenance</t>
  </si>
  <si>
    <t>Registry</t>
  </si>
  <si>
    <t>Gasoline (Sienna)</t>
  </si>
  <si>
    <t>Job Related Exp:</t>
  </si>
  <si>
    <t>CK's Gasoline</t>
  </si>
  <si>
    <t>Transportation</t>
  </si>
  <si>
    <t>MBTA, bus, train, toll fee, parking</t>
  </si>
  <si>
    <t>CK's Books &amp; Data</t>
  </si>
  <si>
    <t>Computer, electronics, internet service exp</t>
  </si>
  <si>
    <t>CK's meal at work w/coworkers</t>
  </si>
  <si>
    <t>Education:</t>
  </si>
  <si>
    <t>Homeschooling exp.</t>
  </si>
  <si>
    <t>BJU Curriculumn</t>
  </si>
  <si>
    <t>School supplies</t>
  </si>
  <si>
    <t>Ink cartridges, paper &amp; pen etc.</t>
  </si>
  <si>
    <t>Piano/Art lesson</t>
  </si>
  <si>
    <t>Sports / Camp /Awana fees</t>
  </si>
  <si>
    <t>Entertainment</t>
  </si>
  <si>
    <t>Family Dine-out/Vacation Dine out</t>
  </si>
  <si>
    <t>(limited once a month)</t>
  </si>
  <si>
    <t>Travel/Vacation Transportation exp.</t>
  </si>
  <si>
    <t>Chris visited TW in May</t>
  </si>
  <si>
    <t>Admission fee to parks, museums</t>
  </si>
  <si>
    <t>Lodge, hotel</t>
  </si>
  <si>
    <t>Gifts:</t>
  </si>
  <si>
    <t>Gifts to family members</t>
  </si>
  <si>
    <t>Gifts to others</t>
  </si>
  <si>
    <t>Birthday gift &amp; Christmas to Sunday school teachers</t>
  </si>
  <si>
    <t>Medical &amp; Health</t>
  </si>
  <si>
    <t>Vitamins, co-pay, out of pocket etc.</t>
  </si>
  <si>
    <t>Misc</t>
  </si>
  <si>
    <t>USPS, phonecard, fee, DVD rental</t>
  </si>
  <si>
    <t>Year 2012 Tithe</t>
  </si>
  <si>
    <t>Proverbs 3:9</t>
  </si>
  <si>
    <t>“HONOR the Lord with your wealth, with the FIRST fruits of all your crops”</t>
  </si>
  <si>
    <t>Income</t>
  </si>
  <si>
    <t>Goal 10%</t>
  </si>
  <si>
    <t>Realized Giving</t>
  </si>
  <si>
    <t>Fund to Allocate</t>
  </si>
  <si>
    <t>Realized giving %</t>
  </si>
  <si>
    <t>Acc. Income</t>
  </si>
  <si>
    <t>Accum Giving</t>
  </si>
  <si>
    <t>Acc. %</t>
  </si>
  <si>
    <t>Total</t>
  </si>
  <si>
    <t>Avg monthly</t>
  </si>
  <si>
    <t>giving %</t>
  </si>
  <si>
    <t>Year 2012 Giving</t>
  </si>
  <si>
    <t>Budgeted Amt</t>
  </si>
  <si>
    <t xml:space="preserve">Realized </t>
  </si>
  <si>
    <t>Receipt?</t>
  </si>
  <si>
    <t>MVBC</t>
  </si>
  <si>
    <t>$400/month</t>
  </si>
  <si>
    <t>IBM Global</t>
  </si>
  <si>
    <t>April Schwanke</t>
  </si>
  <si>
    <t>Tom &amp; Grace Chu</t>
  </si>
  <si>
    <t>Mason &amp; Charity Parker</t>
  </si>
  <si>
    <t>Baptist Mid Mission</t>
  </si>
  <si>
    <t>Kirk Lehner</t>
  </si>
  <si>
    <t>Pioneers</t>
  </si>
  <si>
    <t>Jason &amp; Sara Morris</t>
  </si>
  <si>
    <t>Biblical Ministries Worldwide</t>
  </si>
  <si>
    <t>Steve &amp; Janes Gibb</t>
  </si>
  <si>
    <t>Office support</t>
  </si>
  <si>
    <t>EMU International</t>
  </si>
  <si>
    <t>Tim &amp; Ruth Bixby</t>
  </si>
  <si>
    <t>Answers In Genesis</t>
  </si>
  <si>
    <t>CEF Greater NYC</t>
  </si>
  <si>
    <t>Southern NH Rescue Mission</t>
  </si>
  <si>
    <t>Clearwater Christian College</t>
  </si>
  <si>
    <t>Michelle Weber</t>
  </si>
  <si>
    <t>shortterm student mission</t>
  </si>
  <si>
    <t>Camp Good News</t>
  </si>
  <si>
    <t>Ed Fleming</t>
  </si>
  <si>
    <t xml:space="preserve">summer mission </t>
  </si>
  <si>
    <t>Liam Russell</t>
  </si>
  <si>
    <t>deacon's fund</t>
  </si>
  <si>
    <t>sacrifice offering</t>
  </si>
  <si>
    <t>faith promise</t>
  </si>
  <si>
    <t>monthly</t>
  </si>
  <si>
    <t xml:space="preserve"> </t>
  </si>
  <si>
    <t>weekly</t>
  </si>
  <si>
    <t>DETAILED GIVING ALLOCATION:</t>
  </si>
  <si>
    <t>ck#</t>
  </si>
  <si>
    <t>date</t>
  </si>
  <si>
    <t>Amt $</t>
  </si>
  <si>
    <t>Note</t>
  </si>
  <si>
    <t>Thailand</t>
  </si>
  <si>
    <t>AP</t>
  </si>
  <si>
    <t>Training Chinese home church pastors in Phillippines</t>
  </si>
  <si>
    <t>China</t>
  </si>
  <si>
    <t>Vanuatu</t>
  </si>
  <si>
    <t>South Pacific</t>
  </si>
  <si>
    <t>France</t>
  </si>
  <si>
    <t>Elisa &amp; Helen Teo</t>
  </si>
  <si>
    <t>Chinese children in NYC</t>
  </si>
  <si>
    <t>Annual Fund Drive</t>
  </si>
  <si>
    <t>Back2Back ministries in Mexico</t>
  </si>
  <si>
    <t>Easter</t>
  </si>
  <si>
    <t>China mission</t>
  </si>
  <si>
    <t>CareNet</t>
  </si>
  <si>
    <t>4/15/12</t>
  </si>
  <si>
    <t>NYC</t>
  </si>
  <si>
    <t>summer mission</t>
  </si>
  <si>
    <t>VBS Pennies</t>
  </si>
  <si>
    <t>summer camp reaching children</t>
  </si>
  <si>
    <t>Thanksgiving</t>
  </si>
  <si>
    <t>Electricity (Prior month):  Christmas and New Year Eve Party paid in Feb. Part of Christmas light in Jan.</t>
  </si>
  <si>
    <t>Propane (Current month)</t>
  </si>
  <si>
    <t>When outdoor temp reaches to 85, time to turn on A/C to cool down.  Otherwise, use fan or hide in the basement.</t>
  </si>
  <si>
    <t>***  Pellet stove installed.  Propane is for heating water mainly and will be secondary heating source.  Unless propane drops below $2.099!!!</t>
  </si>
  <si>
    <t>(See Breakeven Analyses, below)</t>
  </si>
  <si>
    <t>***  Automatic delivery of propane, minimum usage 600 gallons a year (Jan to Dec) required, otherwise a lease charge of $150 occurs.  New delivery schedule in 2012: Feb, April, and Dec.</t>
  </si>
  <si>
    <t>^ guests visit &amp; stay over less than a week</t>
  </si>
  <si>
    <t>1.)Electric heater on from Nov 08 to Apr 09 for homeschooling in basement.  Electric heater costs lots of $.</t>
  </si>
  <si>
    <t xml:space="preserve">@ guests (most family members from TW) visit &amp; stay over for more than two week to a month. </t>
  </si>
  <si>
    <t>2.)Central A/C installed 7/23/10.</t>
  </si>
  <si>
    <t>* Summer months.  Next year set thermo at 80-85 and see if lower $.  Use fan often.</t>
  </si>
  <si>
    <t xml:space="preserve">3.)Moved schoolroom to library in Sep. 2009.  </t>
  </si>
  <si>
    <t>$ using electric heater for library school time.  Better using propane than electric heater.</t>
  </si>
  <si>
    <t>Year 2008 Spring to 2009Spring, open home to Ladies Bible Studies.</t>
  </si>
  <si>
    <t>4) Travel to Taiwan.</t>
  </si>
  <si>
    <t>5) Ryan Chou stayed with us 2005 to Jul 2007.    Anne Lee stayed with us from Aug 2008 to Jun 2010.  T&amp;G Chu stayed Sep to Nov 2011.</t>
  </si>
  <si>
    <t>Energy Saving Plans: (1) Reserve hot water usage.  Short showers not bath too often.  (2) Sleep in basement bedroom together in the winter.  It's cozy and warm with pellet stove on, so no need to turn propane on in the 2nd floor bedrooms unless guests come and occupy the basement bedroom.</t>
  </si>
  <si>
    <t>6) Unit price up since 2009</t>
  </si>
  <si>
    <t>House Heating Secondary</t>
  </si>
  <si>
    <t>Since 9/2006</t>
  </si>
  <si>
    <t>Begins in 2012</t>
  </si>
  <si>
    <t>2005 to 2011 Water &amp; House Heating</t>
  </si>
  <si>
    <t>Paid Month</t>
  </si>
  <si>
    <t>6)</t>
  </si>
  <si>
    <t>Avg usage</t>
  </si>
  <si>
    <t>Max kwh</t>
  </si>
  <si>
    <t>Min kwh</t>
  </si>
  <si>
    <t>Jan</t>
  </si>
  <si>
    <t>4)</t>
  </si>
  <si>
    <t>1)</t>
  </si>
  <si>
    <t>Propane Only</t>
  </si>
  <si>
    <t xml:space="preserve">Propane </t>
  </si>
  <si>
    <t xml:space="preserve">Pellet </t>
  </si>
  <si>
    <t>Total Heating</t>
  </si>
  <si>
    <t>Feb</t>
  </si>
  <si>
    <t>%</t>
  </si>
  <si>
    <t>$5.4/bag</t>
  </si>
  <si>
    <t>New Schedule</t>
  </si>
  <si>
    <t>est</t>
  </si>
  <si>
    <t>Avg GL</t>
  </si>
  <si>
    <t>Max Gallon</t>
  </si>
  <si>
    <t>Min, Gallon</t>
  </si>
  <si>
    <t>Mar</t>
  </si>
  <si>
    <t>5)</t>
  </si>
  <si>
    <t>Apr</t>
  </si>
  <si>
    <t>@</t>
  </si>
  <si>
    <t>Jun</t>
  </si>
  <si>
    <t>Jul</t>
  </si>
  <si>
    <t>*</t>
  </si>
  <si>
    <t>Aug</t>
  </si>
  <si>
    <t>***</t>
  </si>
  <si>
    <t>Sep</t>
  </si>
  <si>
    <t>Oct</t>
  </si>
  <si>
    <t>3)</t>
  </si>
  <si>
    <t>Nov</t>
  </si>
  <si>
    <t>Dec</t>
  </si>
  <si>
    <t>5)@</t>
  </si>
  <si>
    <t>Usage</t>
  </si>
  <si>
    <t>(1)</t>
  </si>
  <si>
    <t>Avg Usage</t>
  </si>
  <si>
    <t>Avg Mnth$</t>
  </si>
  <si>
    <t>Avg G</t>
  </si>
  <si>
    <t>Gallon</t>
  </si>
  <si>
    <t>Avg $/mo</t>
  </si>
  <si>
    <t>Purchase unit price</t>
  </si>
  <si>
    <t>$/g</t>
  </si>
  <si>
    <t>Water (Prior 3 months)</t>
  </si>
  <si>
    <t>actual $/gl</t>
  </si>
  <si>
    <t>*water leak found in Oct. '06</t>
  </si>
  <si>
    <t>^estimated usage  cause no bill in file</t>
  </si>
  <si>
    <t>Annual Usage Projection</t>
  </si>
  <si>
    <t>?need to find if leaked, changed to manually switch on/off lawn irrigation to save water bill</t>
  </si>
  <si>
    <t>Average</t>
  </si>
  <si>
    <t>Projected</t>
  </si>
  <si>
    <t>1/3 yard expansion in 7/2009</t>
  </si>
  <si>
    <t>Propane usage (w/o pellets)</t>
  </si>
  <si>
    <t>Pellets - projected</t>
  </si>
  <si>
    <t>Propane for water heating</t>
  </si>
  <si>
    <t xml:space="preserve">!  Water dripping from backyard facet in the winter.   Remember to check backyard facet if turned off in the winter.  </t>
  </si>
  <si>
    <t>5 summer months (May – Sep)</t>
  </si>
  <si>
    <t>Mid Oct +Nov.</t>
  </si>
  <si>
    <t>Since  Feb/2007</t>
  </si>
  <si>
    <t>March + Mid April</t>
  </si>
  <si>
    <t>Month</t>
  </si>
  <si>
    <t>bags</t>
  </si>
  <si>
    <t>gallons (maximum usage)</t>
  </si>
  <si>
    <t>^</t>
  </si>
  <si>
    <t>!</t>
  </si>
  <si>
    <t>= 3 tons</t>
  </si>
  <si>
    <t>(40 gallons of water tank, based on the info on tank: 266 gallons of gas to heat water a year)</t>
  </si>
  <si>
    <t>But I doubt we can use that less.  How to cut water heating cost?</t>
  </si>
  <si>
    <t>?</t>
  </si>
  <si>
    <t>BREAK-EVEN POINT for Propane Unit Price and Usage</t>
  </si>
  <si>
    <t>(1) Using Actual Average Unit Price:</t>
  </si>
  <si>
    <t>*2011 winter began using propane and pellets</t>
  </si>
  <si>
    <t>If 350 gallons of propane heating water and 3 tons pellet heating house:</t>
  </si>
  <si>
    <t>Year</t>
  </si>
  <si>
    <t>Avg month</t>
  </si>
  <si>
    <t>Saving</t>
  </si>
  <si>
    <t>Y/N</t>
  </si>
  <si>
    <t>N</t>
  </si>
  <si>
    <t>Y</t>
  </si>
  <si>
    <t>BreakEven</t>
  </si>
  <si>
    <t>Actual $</t>
  </si>
  <si>
    <t>Actual usage</t>
  </si>
  <si>
    <t>Avg unit price</t>
  </si>
  <si>
    <t>IF Avg Usage = 806 gallons a year to heat both house and water (Propane Only):</t>
  </si>
  <si>
    <t>Cost</t>
  </si>
  <si>
    <t>(2)Using Pre-buy unit price</t>
  </si>
  <si>
    <t>$/gl (prebuy)</t>
  </si>
  <si>
    <t>CONCLUSION (1):  The breakeven point for average 806 gallons propane a year is $2.099.  Otherwise, use pellets to heat the house and propane to heat water to save $.</t>
  </si>
  <si>
    <t>CONCLUSION (2):  The breakeven point for reserve propane use to heat house and water: $2.549/gl for 745 gallons a year.  Otherwise, use pellets to heat the house and propane to heat water to save $.</t>
  </si>
  <si>
    <t>Breakeven to cover the cost of pellet stove &amp; insulated pipes</t>
  </si>
  <si>
    <t>From 2005 to 2011, average usage of propane for heating water and house is</t>
  </si>
  <si>
    <t>(Based on monthly average usage. See  (1).)</t>
  </si>
  <si>
    <t xml:space="preserve">In 2011, Cost of pellet stove and insulated pipes:  $1399.99 + $572.01 = $1972. </t>
  </si>
  <si>
    <t>Cost of pellet stove and pipes will be breakeven in five years if (1) propane price stays in $3/gl &amp; 3 tons of pellets used.  But it will be less than four years if propane keeps rising more than #3.599/gl.</t>
  </si>
  <si>
    <t>Pre-buy</t>
  </si>
  <si>
    <t>Avg</t>
  </si>
  <si>
    <t>Unit Price</t>
  </si>
  <si>
    <t>Avg use Cost</t>
  </si>
  <si>
    <t>Actual Cost</t>
  </si>
  <si>
    <t>Accumulated</t>
  </si>
  <si>
    <t xml:space="preserve">Year </t>
  </si>
  <si>
    <t>Total Avg</t>
  </si>
  <si>
    <t>Actual Saving</t>
  </si>
  <si>
    <t xml:space="preserve">Wood Pellets Purchase </t>
  </si>
  <si>
    <t>Tons</t>
  </si>
  <si>
    <t>Delivery Fee</t>
  </si>
  <si>
    <t>$/bag</t>
  </si>
  <si>
    <t>Bags Used</t>
  </si>
  <si>
    <t>Amount</t>
  </si>
  <si>
    <t>Clear Choice</t>
  </si>
  <si>
    <t>Logik-E Premium Hardwood</t>
  </si>
  <si>
    <t>**** Estimate beginning in 2012, heating water will need :</t>
  </si>
  <si>
    <t>Maximum</t>
  </si>
  <si>
    <t>Minimum</t>
  </si>
  <si>
    <t>5 summer months (May - Sep)</t>
  </si>
  <si>
    <t>7 winter/cold months (Oct - April)</t>
  </si>
  <si>
    <t>gallons of propane to heating water</t>
  </si>
  <si>
    <t>* prefer the minimum - save $$$, monitor hot water usage beginning in Jan. 2012 by checking the propane meter.</t>
  </si>
  <si>
    <t>Burning pellets to heat up house</t>
  </si>
  <si>
    <t>(house temperature stay around 67 to 72 on 1st flr and 63 to 65 on 2nd flr, comparing to 62 using propane and feeling cold all the time)</t>
  </si>
  <si>
    <t>Total heating cost (est.)</t>
  </si>
  <si>
    <t>Project done this month:</t>
  </si>
  <si>
    <t>(1) Duct fan to boost heat to 1st floor from pellet stove in basement $12.45</t>
  </si>
  <si>
    <t>(2) Water damaged basement bathroom due to sewage drain clogged 1/1/12-1/3/12. Insurance reimbursed $440.21 in Feb</t>
  </si>
  <si>
    <t>(3) Emergent septic tank pumped on 1/3/12. cost $315</t>
  </si>
  <si>
    <t>(4) Gave Alicia rides from/to hospital/home several times.</t>
  </si>
  <si>
    <t>Liberty Univ.</t>
  </si>
  <si>
    <t>Meals done in Dec &amp; Jan.</t>
  </si>
  <si>
    <t>(1) for the sick: L. Peterson, Thierets, Alicia Anderson, Katie Hunt</t>
  </si>
  <si>
    <t>(2)  for fellowship &amp; social</t>
  </si>
  <si>
    <t>Dec: C&amp;C New Year Eve Party, Neighborhood Christmas Party, Chris' office holiday party, S&amp;J Gibb.</t>
  </si>
  <si>
    <t>Jan: J&amp;V Thomas, C&amp;C Ladies Sushi Night, J&amp;N Gibb, Thai Mission Prayer Night</t>
  </si>
  <si>
    <t>Withheld</t>
  </si>
  <si>
    <t>Distribtuin</t>
  </si>
  <si>
    <t>Property Tax</t>
  </si>
  <si>
    <t>Gifts to CK's parents</t>
  </si>
  <si>
    <t>Gifts to FC's parents</t>
  </si>
  <si>
    <t>FC's allowance</t>
  </si>
  <si>
    <t>Federal/State Tax Refund (Payment)</t>
  </si>
  <si>
    <t>PLANNED SAVING</t>
  </si>
  <si>
    <t>33% of LM</t>
  </si>
  <si>
    <t>(kids' college fund &amp; others)</t>
  </si>
  <si>
    <t>All of teaching income</t>
  </si>
  <si>
    <t>(CK's Investment account)</t>
  </si>
  <si>
    <t>INCOME AVAILABLE FOR EXPENSE</t>
  </si>
  <si>
    <t>Under/(Over) Expense</t>
  </si>
  <si>
    <t>Realized Saving or (Deficit)</t>
  </si>
  <si>
    <t>Realized SV %</t>
  </si>
  <si>
    <t>(Recorded in Saving)</t>
  </si>
  <si>
    <t>EXPENSES (Actualized)</t>
  </si>
  <si>
    <t>(2 months of credit card payment for Dec &amp; Jan Exp)</t>
  </si>
  <si>
    <t>Jan exp</t>
  </si>
  <si>
    <t xml:space="preserve">Dec </t>
  </si>
  <si>
    <t>Exp</t>
  </si>
  <si>
    <t>Clogged sewage drain damaged basement bathroom 1/1/12-1/3/12</t>
  </si>
  <si>
    <t>Actual Total</t>
  </si>
  <si>
    <t>Budget</t>
  </si>
  <si>
    <t>Cash/Check</t>
  </si>
  <si>
    <t>TD (CK)</t>
  </si>
  <si>
    <t>BOA (FC)</t>
  </si>
  <si>
    <t>CapitalOne</t>
  </si>
  <si>
    <t>3 tons</t>
  </si>
  <si>
    <t>filter bag</t>
  </si>
  <si>
    <t>$12.45 total for duct fan to heat up 1st flr &amp; basement ceiling tiles</t>
  </si>
  <si>
    <t>septic tank pumped for sewage backup</t>
  </si>
  <si>
    <t>Home Improvement:</t>
  </si>
  <si>
    <t>Painting, remodeling &amp; new tool for remodeling etc.</t>
  </si>
  <si>
    <t>DVD player</t>
  </si>
  <si>
    <t>(Dec: C&amp;C New Year Eve Party, Neighborhood Christmas Party, Chris' office holiday party, S&amp;J Gibb, L. Peterson)</t>
  </si>
  <si>
    <t>(Jan: J&amp;V Thomas, Thierets, C&amp;C Ladies Sushi Night, J&amp;N Gibb, Thai Mission Prayer Night, Alicia Anderson, Katie Hunt)</t>
  </si>
  <si>
    <t>Coffee 4 packs</t>
  </si>
  <si>
    <t>ride for Alicia for doc appt</t>
  </si>
  <si>
    <t>Wall Street Journal 2 years</t>
  </si>
  <si>
    <t>Verizon portable, Router upgrade,i2i</t>
  </si>
  <si>
    <t>paper shredder &amp; labels</t>
  </si>
  <si>
    <t>Family Dine-out/Vacation Dine-out</t>
  </si>
  <si>
    <t>limited once a month</t>
  </si>
  <si>
    <t>Gifts to family members (Excluded parents &amp; in-laws)</t>
  </si>
  <si>
    <t>Project this month:</t>
  </si>
  <si>
    <t>(1) Rebuild basement bathroom walls &amp; paint. Total $166.23</t>
  </si>
  <si>
    <t xml:space="preserve">(2) Need to replace main drain to the septic tank. </t>
  </si>
  <si>
    <t>$1000 job quote, $440.21 received from insurance company for water backflow.</t>
  </si>
  <si>
    <t>But instead try $135 NewBioTech Bio pack to eat out grease and soap... need to see if works within 1-6 weeks.</t>
  </si>
  <si>
    <t>(3) Pellet stove ventilation clean up $135.99</t>
  </si>
  <si>
    <t>Meal &amp; fellowship</t>
  </si>
  <si>
    <t xml:space="preserve">(1) Gustavo </t>
  </si>
  <si>
    <t>(2) Su family 2/17-2/21/12</t>
  </si>
  <si>
    <t>(emergency fund)</t>
  </si>
  <si>
    <t>Capital One credit card exp 1/21/12 – 2/21/12</t>
  </si>
  <si>
    <t>prior month</t>
  </si>
  <si>
    <t>Clogged sewage damage.  $106.93 for bathroom drywall &amp; pipes etc.</t>
  </si>
  <si>
    <t>vegetable seeds &amp; soil</t>
  </si>
  <si>
    <t>garden shovels</t>
  </si>
  <si>
    <t>$135.99 pellet stove ventilation cleanup; $135 NewTechBio septic tank treatment &amp; maintenance</t>
  </si>
  <si>
    <t>Repaint basement bathroom:$59.3 due to clogged sewage drain damage</t>
  </si>
  <si>
    <t>4 eraser boards for library/school room</t>
  </si>
  <si>
    <t>Home Appliance &amp; maintenance (DVD player, oven, refrigerator, washer, dryer etc)</t>
  </si>
  <si>
    <t>(T&amp;A Su family visited 5 days; stock up 2 Wesson Canola Oil, POST cereals  &amp; 9 lbs pork chops)</t>
  </si>
  <si>
    <t>Salmon fillet &amp; coffee</t>
  </si>
  <si>
    <t>CK's sneakers &amp; Nathan's LLB jacket</t>
  </si>
  <si>
    <t>Ipod &amp; Skype premium</t>
  </si>
  <si>
    <t>beads</t>
  </si>
  <si>
    <t>Family Dine-out</t>
  </si>
  <si>
    <t>($35 with Su family)</t>
  </si>
  <si>
    <t>Charity &amp; baby Parker</t>
  </si>
  <si>
    <t>Vitamins, medicine, co-pay, out of pocket etc.</t>
  </si>
  <si>
    <t>kids' cold medicine</t>
  </si>
  <si>
    <t>(1) 2 car oil change &amp; inspection &amp; CK's car two new tires $364.88</t>
  </si>
  <si>
    <t xml:space="preserve">(2) Propane 2/29/12 filled up 102.7 gallons @3.299/gl.  Total $338.81.  </t>
  </si>
  <si>
    <t>Bonus</t>
  </si>
  <si>
    <t>Unit price is UP.  Remember to lock in pre-buy price in April for 350 gallons in the coming winter.</t>
  </si>
  <si>
    <t>(3) Pre-buy 2 tons of pellets $529.98.  Next year need to buy 4 tons.</t>
  </si>
  <si>
    <t>(4) USA Citizenship application and passport for CK&amp;FC $1360.</t>
  </si>
  <si>
    <t>Meals &amp; Hosts</t>
  </si>
  <si>
    <t>(1) 3/11 BBC choir members (3) stayed one night.</t>
  </si>
  <si>
    <t>Breakfast &amp; bag lunch.</t>
  </si>
  <si>
    <t>Under/Over</t>
  </si>
  <si>
    <t>2 tons ordered &amp; delivery fee</t>
  </si>
  <si>
    <t>planters</t>
  </si>
  <si>
    <t>Tool &amp; Applicance maintenance/repair(generator, A/C, heating, pellet stove &amp; septic tank)</t>
  </si>
  <si>
    <t>Only $200/mo left to spend for the rest of year</t>
  </si>
  <si>
    <t>Coffee 4 packs &amp;23.95 salmon steaks (6) for next month</t>
  </si>
  <si>
    <t>Plunger &amp; bowl brush set, Eileen's birthday party  favor &amp; plates etc</t>
  </si>
  <si>
    <t>Nathan's winter clogs &amp; running shoes</t>
  </si>
  <si>
    <t>oil change &amp; state inspection for 2 cars, 2 new tires for Corolla</t>
  </si>
  <si>
    <t>Skype Premium refund</t>
  </si>
  <si>
    <t>headphone</t>
  </si>
  <si>
    <t>Sports/Camp/Awana fees</t>
  </si>
  <si>
    <t xml:space="preserve">Nathan's Spring soccer season.  </t>
  </si>
  <si>
    <t>Birthdays, Anniversary</t>
  </si>
  <si>
    <t>CK&amp;FC's application for USA citizenship &amp; USA passports</t>
  </si>
  <si>
    <t>CK's ROC Passport renewal &amp; pictures for passport</t>
  </si>
  <si>
    <t>Lego Technic to Nathan's b-day, Eileen's birthday gift (glitter pens)</t>
  </si>
  <si>
    <t>gift cards to basketball coaches.  Memorial gift (Dr. William Seney)</t>
  </si>
  <si>
    <t>Vitamins, co-pay, out of pocket, dental etc.</t>
  </si>
  <si>
    <t>Movies: Courageous, Toy story 3</t>
  </si>
  <si>
    <t>(1) Seeding and fertilizer for lawn.</t>
  </si>
  <si>
    <t>(2) CK's trip to TW - airfare &amp; passport newal</t>
  </si>
  <si>
    <t>(3) Dental expenses kids cavities &amp; CK's crown</t>
  </si>
  <si>
    <t>(1) 3/31 Dr. William Seney's memorial service - making four dozens of sandwiches (turkey &amp; ham)</t>
  </si>
  <si>
    <t>Chris' visit in Taiwan:</t>
  </si>
  <si>
    <t>(1) Airfare</t>
  </si>
  <si>
    <t>(2) TW passport renewal</t>
  </si>
  <si>
    <t>(3) iPad to his parents</t>
  </si>
  <si>
    <t>(Charged in May)</t>
  </si>
  <si>
    <t>(4) Cash to TW</t>
  </si>
  <si>
    <t>(cash gift to his parents, expenses or open an account in TW)</t>
  </si>
  <si>
    <t xml:space="preserve">Communication: </t>
  </si>
  <si>
    <t>lawn sseds &amp; fertilizer &amp; flower trees</t>
  </si>
  <si>
    <t>Painting, remodeling &amp; tools for remodeling etc.</t>
  </si>
  <si>
    <t>table clothes</t>
  </si>
  <si>
    <t>3/30/12</t>
  </si>
  <si>
    <t>toilet paper, napkins, mouse trap &amp; ant baits</t>
  </si>
  <si>
    <t>CK's shoes and sneakers</t>
  </si>
  <si>
    <t>Airfare to TW (CK 5/3-5/19)</t>
  </si>
  <si>
    <t>passport pictures, Chuck E Cheese's tokens purchase $25.</t>
  </si>
  <si>
    <t>kids' &amp; FC's allergy supplements, Detal out of pocket $789</t>
  </si>
  <si>
    <t>(1)  CK's trip to Taiwan – gift iPad2</t>
  </si>
  <si>
    <t>(2)  Newtown retreat &amp; family vacation in Lancaster, PA &amp; NYC</t>
  </si>
  <si>
    <t>(3) Propane pre-purchase 350 gallons @3.499</t>
  </si>
  <si>
    <t>(4) Clothes for whole family</t>
  </si>
  <si>
    <t>Meals &amp; Hospitality:</t>
  </si>
  <si>
    <t>(1) Delivered meal to the Susan &amp; Brian Heisler in Townsend, MA</t>
  </si>
  <si>
    <t>(2) Lunch w/ Kirk Lehner, the Haggarties, the Starks, the Lowies.  (5/20/12)</t>
  </si>
  <si>
    <t>($4000 in 4/12)</t>
  </si>
  <si>
    <t>(Federal &amp; MA refund)</t>
  </si>
  <si>
    <t>prebuy 350 gallons in case use more than 300 gl</t>
  </si>
  <si>
    <t>(3/15-5/14)</t>
  </si>
  <si>
    <t>(Moss treatment, fertilizer, flowers, 5 cherry trees &amp; rose tree)</t>
  </si>
  <si>
    <t>9 packs of Tassimo coffee ordered from Walmart.com (cheaper &amp; no shipping fee)</t>
  </si>
  <si>
    <t>clothes for whole family, especially for CK</t>
  </si>
  <si>
    <t>(Sheraton Hotel, Boston - CK 4/23 - 4/26)</t>
  </si>
  <si>
    <t>Books sold</t>
  </si>
  <si>
    <t>Plus Eileen's dance lessons</t>
  </si>
  <si>
    <t>Tickets to “Jonah”</t>
  </si>
  <si>
    <t>Newtown Retreat</t>
  </si>
  <si>
    <t>CK to FC's mother's day gift</t>
  </si>
  <si>
    <t>iPad to CK's father (include cover), Lindt chocolates to TW</t>
  </si>
  <si>
    <t>(1)  Vacation in Lancaster, PA (charged in Jun)</t>
  </si>
  <si>
    <t>(2)  Lawn Dog – lawn maintenance (annual exp)</t>
  </si>
  <si>
    <t>(Revised 2008 Federal Tax)</t>
  </si>
  <si>
    <t>$200 reward redeemed</t>
  </si>
  <si>
    <t>stack up rice, oatmeal, cereals etc.</t>
  </si>
  <si>
    <t>car chargers for GPS &amp; iPad/iPod</t>
  </si>
  <si>
    <t>Swim Lessons</t>
  </si>
  <si>
    <t>Lancaster, PA trip 5/26-6/2</t>
  </si>
  <si>
    <t>Food cost shared with the Su family</t>
  </si>
  <si>
    <t>Suvenir &amp; books</t>
  </si>
  <si>
    <t>(1) Margaret, Esther, Samuel and Grace Lee visit 7/2 – 8/21</t>
  </si>
  <si>
    <t>4 guests stay for 7 weeks, see how God helps me to feed 8 people this month!</t>
  </si>
  <si>
    <t>YEAR 2012</t>
  </si>
  <si>
    <t xml:space="preserve">SAVING ACCOUNT - </t>
  </si>
  <si>
    <t xml:space="preserve">DISTRIBUTION DETAILS </t>
  </si>
  <si>
    <t>SUBACCOUNTS</t>
  </si>
  <si>
    <t>Carryover</t>
  </si>
  <si>
    <t>prior year</t>
  </si>
  <si>
    <t>Distribution</t>
  </si>
  <si>
    <t>Balance</t>
  </si>
  <si>
    <t xml:space="preserve">Gifts to FC's parents </t>
  </si>
  <si>
    <t>Frances' allowance</t>
  </si>
  <si>
    <t>Prior year tax  return REFUND</t>
  </si>
  <si>
    <t>Investment Acct^ - CK</t>
  </si>
  <si>
    <t>Investment Acct - Ameritrade (FC's)</t>
  </si>
  <si>
    <t>Saving after Investment principal</t>
  </si>
  <si>
    <t>Emergency fund</t>
  </si>
  <si>
    <t>Money gifts received to Nathan</t>
  </si>
  <si>
    <t>Money gifts received to Eileen</t>
  </si>
  <si>
    <t>withheld regardless distribution**</t>
  </si>
  <si>
    <t>Loan from Dad – Invest 2009/2010</t>
  </si>
  <si>
    <t>(Principal $20000, APR 6%)</t>
  </si>
  <si>
    <t>Borrowed to fund CK&amp;FC ETF investment in summer of 2009/2010, but it ended up with big loss.</t>
  </si>
  <si>
    <t>Loan from Dad-mortgage principal 2011</t>
  </si>
  <si>
    <t>(Principal $10000, APR 5%)</t>
  </si>
  <si>
    <t>Borrowed to pay our mortgage in Dec. 2010.  Pay off loan 5/5/12)</t>
  </si>
  <si>
    <t>Ending Distribution Balance (in checking acct)</t>
  </si>
  <si>
    <t>^ Principal</t>
  </si>
  <si>
    <t>* Save all bonus received to pay loans from Dad first, then emergency fund and children's education fund</t>
  </si>
  <si>
    <t>** Will offset withheld in the year end and carry balance over to coming year</t>
  </si>
  <si>
    <t>Borrowed from Dad's money%</t>
  </si>
  <si>
    <t>04/26/2010 balance</t>
  </si>
  <si>
    <t>2/26/2012 Balance</t>
  </si>
  <si>
    <t>I owe Dad (Principal) from 4/26/10</t>
  </si>
  <si>
    <t>Interest total</t>
  </si>
  <si>
    <t>Date</t>
  </si>
  <si>
    <t>Travel To</t>
  </si>
  <si>
    <t>3/4/12-3/7/12</t>
  </si>
  <si>
    <t>SAS Conference</t>
  </si>
  <si>
    <t>4/23/12-4/26/12</t>
  </si>
  <si>
    <t>Boston, MA</t>
  </si>
  <si>
    <t>Liberty Mutual Legal Annual Conference (Sheraton Hotel)</t>
  </si>
  <si>
    <t>front yard garden project to block Kelly's camper (Arborvitaes, flowers, mulch)</t>
  </si>
  <si>
    <t>dance recital tickets/summer piano lessons</t>
  </si>
  <si>
    <t>Margaret's reimbursement</t>
  </si>
  <si>
    <t>(3) Front yard green screening 12 arbor vitae (Thuja Mission)</t>
  </si>
  <si>
    <t>(2) Front new garden to block camper view (flowers)</t>
  </si>
  <si>
    <t>(3) Mulch 10 cubic yards</t>
  </si>
  <si>
    <t>mulch &amp; flowers for front yard new garden to block the camper view</t>
  </si>
  <si>
    <t>ACTUAL TOTAL</t>
  </si>
  <si>
    <t>Travel/Vacation Transportation exp. Gas etc.</t>
  </si>
  <si>
    <t>Family Dine-out (FC for Niagara Falls trip)</t>
  </si>
  <si>
    <t xml:space="preserve">Niagara Falls trip </t>
  </si>
  <si>
    <t>Nathan's sunglasses</t>
  </si>
  <si>
    <t>(Year 2008 adjust alternative minimum tax, $2908.66 plus interest)</t>
  </si>
  <si>
    <t>(2) Niagara Falls trip 7/27-7/29</t>
  </si>
  <si>
    <t>Camp site (3 nights, 3 adults, 5 kids)</t>
  </si>
  <si>
    <t>Food</t>
  </si>
  <si>
    <t>Eat out</t>
  </si>
  <si>
    <t>Lodge/Hotel</t>
  </si>
  <si>
    <t>Gas</t>
  </si>
  <si>
    <t>Pass</t>
  </si>
  <si>
    <t>Niagara Falls 7/27-7/29</t>
  </si>
  <si>
    <t>iPad (CK's) for PDF file reading (journals, professional papers)</t>
  </si>
  <si>
    <t>USA Passports (CK &amp; FC) &amp; pictures</t>
  </si>
  <si>
    <t>(1) Margaret, Esther, Samuel and Grace Lee visit 7/2 – 8/21 (meals for 8 people, incl dine-out)</t>
  </si>
  <si>
    <t>(4) CK &amp; FC USA Passports</t>
  </si>
  <si>
    <t>Toy Story 3</t>
  </si>
  <si>
    <t>8/5/12</t>
  </si>
  <si>
    <t>8/1/12</t>
  </si>
  <si>
    <t>8/7/12</t>
  </si>
  <si>
    <t>Answer In Genesis</t>
  </si>
  <si>
    <t>Esther's $50</t>
  </si>
  <si>
    <t>Interest =</t>
  </si>
  <si>
    <t>CK's iPad cover</t>
  </si>
  <si>
    <t>plants, garden hose, fertilizer, spray head</t>
  </si>
  <si>
    <t>Margaret's reimbursement &amp; purchases</t>
  </si>
  <si>
    <t>camping canopy 13'X13'</t>
  </si>
  <si>
    <t>X2, N's sneakers for coming years</t>
  </si>
  <si>
    <t>(3) Kangamagaus 8/6 &amp; Camping trip 8/9-8/12</t>
  </si>
  <si>
    <t>Dine-out 8/6/12</t>
  </si>
  <si>
    <t>Kangamagus &amp; Camping Trip</t>
  </si>
  <si>
    <t>Meals &amp; Hospitality</t>
  </si>
  <si>
    <t>Sunday lunch with Scott &amp; Stephanie Weeber family 7/22/12</t>
  </si>
  <si>
    <t>(1) Diner 8/17/12:  Nathan Stecchi Family &amp; Aaron Stark Family (10)</t>
  </si>
  <si>
    <t>(2) Sunday lunch 8/19/12:  Joe &amp; Veronika Thomas</t>
  </si>
  <si>
    <t>Transfer to Saving account</t>
  </si>
  <si>
    <t>Children's College Fund</t>
  </si>
  <si>
    <t xml:space="preserve">Begin September, save college fund as an expenses </t>
  </si>
  <si>
    <t>**</t>
  </si>
  <si>
    <t>AS OF AUGUST</t>
  </si>
  <si>
    <t>SMCA Homeschool Program</t>
  </si>
  <si>
    <t>Extra to Children's college fund</t>
  </si>
  <si>
    <t>Extra to College Fund</t>
  </si>
  <si>
    <t>Began in Sept. 2012</t>
  </si>
  <si>
    <t>Began in Sep. 2012</t>
  </si>
  <si>
    <t>DEBT:%</t>
  </si>
  <si>
    <t>Budgeted College Fund Saving</t>
  </si>
  <si>
    <t>II. TAX REFUNDS</t>
  </si>
  <si>
    <t>I. WITHHELD ACCOUNTS</t>
  </si>
  <si>
    <t>MONTH-END SAVING</t>
  </si>
  <si>
    <t>BALANCE FOR ALL WITHHELD</t>
  </si>
  <si>
    <t>III.  DISTRIBUTION FOR MONTH END SAVING:</t>
  </si>
  <si>
    <t>@ guests visit more than 2 weeks.    ^ guest visit less than 2 weeks.</t>
  </si>
  <si>
    <t>2)^</t>
  </si>
  <si>
    <t>5)^</t>
  </si>
  <si>
    <t>Avg Galon</t>
  </si>
  <si>
    <t>CONCLUSION (3):  In 2013, the saving is expected to cover the cost of pellet stove and pipes.  After 2013, it can be pure money saved to our pocket!  Reserve hot water usage.</t>
  </si>
  <si>
    <t>9/2/12</t>
  </si>
  <si>
    <t>M/C</t>
  </si>
  <si>
    <t>1/4 Violin $100 purchased from Margaret Chou</t>
  </si>
  <si>
    <t>Offering via M/C</t>
  </si>
  <si>
    <t>Sunday School teachers</t>
  </si>
  <si>
    <t>Field trip admission to Old Sturbridge Village</t>
  </si>
  <si>
    <t>Cannon Mt. Tramway</t>
  </si>
  <si>
    <t>Paul &amp; Amy Valles (Schwanke) wedding gift</t>
  </si>
  <si>
    <t>(1) Bought 1/2 pig and will be butchered in Jan 2013</t>
  </si>
  <si>
    <t>Only $200/mo left to spend for the rest of year,1st pig payment</t>
  </si>
  <si>
    <t>Debt &amp; College Fund</t>
  </si>
  <si>
    <t>Kids In Saving Account</t>
  </si>
  <si>
    <t>plants, fertilizers, weed preventer, replacing wheel for wheel barrel</t>
  </si>
  <si>
    <t>Nathan</t>
  </si>
  <si>
    <t>Veronika's painting</t>
  </si>
  <si>
    <t>10/7/12</t>
  </si>
  <si>
    <t>^5)</t>
  </si>
  <si>
    <t>Christmas</t>
  </si>
  <si>
    <t>Nathan &amp; Eileen's Christmas gift</t>
  </si>
  <si>
    <t>tissues, freezer bags, toothpaste (stackup)</t>
  </si>
  <si>
    <t>Stackup pastas &amp; sauce</t>
  </si>
  <si>
    <t>Eileen's PJ, clothes, FC's pj &amp; bra</t>
  </si>
  <si>
    <t>last month</t>
  </si>
  <si>
    <t>When outdoor temp below 60F &amp; indoor the main floor near 63F, turn on pellet stove to heat up house.  With propane keeps rising, how to cut water heating will be in the future request.</t>
  </si>
  <si>
    <t>Cougar Ash Vaccum</t>
  </si>
  <si>
    <t>Purchase of Veronika's painting "Nathan"</t>
  </si>
  <si>
    <t>If temp is below 30s (Dec - Feb), thermostat at 90F (8am - 12pm), 85F (12-8pm), 75 (8-2pm) and 85F (2-8am)</t>
  </si>
  <si>
    <t xml:space="preserve">In Oct, when daytime temp is about mid 50s, begin to use the pellet stove to heat up house.  </t>
  </si>
  <si>
    <t>If temp is below 50-30, set the thermostat at 85 daytime (7am to 12pm), 80 and 70 nighttime (8pm - 3am).  80F ( 3 am to 7 am).</t>
  </si>
  <si>
    <t>Set the thermostat at 80 daytime and fans on to blow hot air to 1st floor, 70 nighttime.  Sleep in the basement.</t>
  </si>
  <si>
    <t>estimate $3.5/gl + $150</t>
  </si>
  <si>
    <t>thermostat, extension cords, some tools from harbor freight</t>
  </si>
  <si>
    <t>(1) Meal to the Baines family in Bedford</t>
  </si>
  <si>
    <t>(1) Baby showers (3) - gifts</t>
  </si>
  <si>
    <t>(2) Bought 1/2 pig and will be butchered in Jan 2013</t>
  </si>
  <si>
    <t>(3) Veronika's painting "Nathan"</t>
  </si>
  <si>
    <t xml:space="preserve">(1) Sunday lunch with Tim &amp; Laura Shumaker 9/9/12 </t>
  </si>
  <si>
    <t>(2) Sunday lunch with Bland &amp; Tina Zarella 9/23/12</t>
  </si>
  <si>
    <t>(3) Wednesday lunches with Melissa Clement 9/19, 9/26/12</t>
  </si>
  <si>
    <t>(4)  Chin-Wen Shen &amp; Sarah Chiu family visit 8/31/9/3/12</t>
  </si>
  <si>
    <t>(5) Tim &amp; Ann Su Family visit 9/14-9/16/12</t>
  </si>
  <si>
    <t>(4) Cougar (Love Less) Ash Vaccum</t>
  </si>
  <si>
    <t>(2) GE 7.0 cu ft. Chest Freezer in White</t>
  </si>
  <si>
    <t>Prepaid propane 350 gallon @3.499</t>
  </si>
  <si>
    <t>Nathan's 3 cavity fillings, Eileen's orthodontics consulting fee</t>
  </si>
  <si>
    <t>(2) Sunday lunch with Jack &amp; Susan McCrowy 11/4/12</t>
  </si>
  <si>
    <t>(1) Home Fellowship (Bixbys) 11/9/12</t>
  </si>
  <si>
    <t>(3) Dinner with the Bixbys 11/9/12</t>
  </si>
  <si>
    <t>(4) Thanksgiving dinner 11/22/12</t>
  </si>
  <si>
    <t>Change teacher &amp; began summer lessons (2 months)</t>
  </si>
  <si>
    <t>passport fees, neutrilization fee</t>
  </si>
  <si>
    <t>Family vacation - need to set aside of money and further budgeted</t>
  </si>
  <si>
    <t>Dental out of pocket $789 in 4/12.  Kids cavities in 10/12, FC's in 11/12.</t>
  </si>
  <si>
    <r>
      <t>Veronika's paiting - did not budge</t>
    </r>
    <r>
      <rPr>
        <sz val="10.5"/>
        <color rgb="FFFF0000"/>
        <rFont val="Bitstream Charter"/>
      </rPr>
      <t>t it.  Next year will another one.</t>
    </r>
  </si>
  <si>
    <t>Front garden to block Kelly's camper &amp; lawn service, not budgeted.</t>
  </si>
  <si>
    <t>freezer</t>
  </si>
  <si>
    <t>fish tank filter system</t>
  </si>
  <si>
    <t>stack up cooking oil</t>
  </si>
  <si>
    <t>(3) FC's obgyn 9/14/12</t>
  </si>
  <si>
    <t>ok</t>
  </si>
  <si>
    <t>Withdrawal to pay off debt</t>
  </si>
  <si>
    <t xml:space="preserve">FC's obgyn </t>
  </si>
  <si>
    <t>(20% off discount for paying off within 30 days)</t>
  </si>
  <si>
    <t>** More watering in the lawn for a hour a zone</t>
  </si>
  <si>
    <t>winterization</t>
  </si>
  <si>
    <t>Chris' winter hat, Eileen's sneaker &amp; FC's dress shoes</t>
  </si>
  <si>
    <t>$150 carry over to next year 2013.</t>
  </si>
  <si>
    <t>carry to year 2013</t>
  </si>
  <si>
    <t>Liberty University</t>
  </si>
  <si>
    <t>k]</t>
  </si>
  <si>
    <t xml:space="preserve">k] open return airduct to circulate hot air to 1st &amp; 2nd floors.  Works well in this month and need to see if it causes extra in electricity. </t>
  </si>
  <si>
    <t>X'fer to pay extra for withheld account</t>
  </si>
  <si>
    <t>(CK's trip to TW, $4000 to his parents)</t>
  </si>
  <si>
    <t>350 gl @3.4999</t>
  </si>
  <si>
    <t>806 gallons</t>
  </si>
  <si>
    <t xml:space="preserve">X'fer to Investment Account </t>
  </si>
  <si>
    <t>Investment to Emergency Fund</t>
  </si>
  <si>
    <t>CK's Parents spending</t>
  </si>
  <si>
    <t>Capital Loss (635.78)</t>
  </si>
  <si>
    <t>steam iron</t>
  </si>
  <si>
    <t>Eileen's cavities</t>
  </si>
  <si>
    <t>*lease fee $150 if usage below 600 gallons</t>
  </si>
  <si>
    <t>Bag left for next winter</t>
  </si>
  <si>
    <t>science lesson in group at Amherst</t>
  </si>
  <si>
    <t>some clothes to Chris &amp; Nathan</t>
  </si>
  <si>
    <t>ck's vest</t>
  </si>
  <si>
    <t>Refund</t>
  </si>
  <si>
    <t>Balance transferred to Kids' COLLEGE FUND in year-end.</t>
  </si>
  <si>
    <t>FC's allowance saved for Kids' college fund</t>
  </si>
  <si>
    <t>heating/ac filters</t>
  </si>
  <si>
    <t>rug, window curtains, shower curtain rings</t>
  </si>
  <si>
    <t>walmart</t>
  </si>
  <si>
    <t>ceiling light in the library</t>
  </si>
  <si>
    <t>4th grade DVD progam</t>
  </si>
  <si>
    <t>gifts to Sunday school teachers</t>
  </si>
  <si>
    <t>Payoff Debts + Interest</t>
  </si>
  <si>
    <t>Net Saving</t>
  </si>
  <si>
    <t>Total to pay off (Principal+Interest)</t>
  </si>
  <si>
    <t>College Fund</t>
  </si>
  <si>
    <t xml:space="preserve"> Debt payment</t>
  </si>
  <si>
    <t>monthly w/o  college fund &amp; debt payment</t>
  </si>
  <si>
    <t>WITHHELD</t>
  </si>
  <si>
    <t>TOTAL EMERGENCY FUND</t>
  </si>
  <si>
    <t>X'fer to ck for living expenses</t>
  </si>
  <si>
    <t>TOTAL COLLEGE FUND</t>
  </si>
  <si>
    <t>Meals to the Williams family 12/28/12</t>
  </si>
  <si>
    <t>Lunch with the Stark family 12/16/12</t>
  </si>
  <si>
    <t>Lunch with Bland &amp; Tina Zarella 12/9/12</t>
  </si>
  <si>
    <t>Kids' Piano Recital 12/2/12</t>
  </si>
  <si>
    <t>Neighborhood Holiday Party 12/21/12</t>
  </si>
  <si>
    <t>W2-wages</t>
  </si>
  <si>
    <t>Federal Tax Withheld</t>
  </si>
  <si>
    <t>Social Security Tax</t>
  </si>
  <si>
    <t>MA state tax</t>
  </si>
  <si>
    <t>Medicare Tax</t>
  </si>
  <si>
    <t>PreTax Exp. (Commute cost, Flexible Acct)</t>
  </si>
  <si>
    <t>W2 Net</t>
  </si>
  <si>
    <t>Non MA income</t>
  </si>
  <si>
    <t>Diff (W2 Net vs. Actual)</t>
  </si>
  <si>
    <t>Done</t>
  </si>
  <si>
    <t>OK</t>
  </si>
  <si>
    <t>Tax Form 2106-EZ</t>
  </si>
  <si>
    <t xml:space="preserve">1.  Car mileage </t>
  </si>
  <si>
    <t>2. Parking fees, tolls, and transportation, including train, bus, etc., that did not involve overnight travel or commuting to and from work.</t>
  </si>
  <si>
    <t>4. Business expenses not included on lines 1 through 3.  Do not include meals and entertainment.</t>
  </si>
  <si>
    <t>5. Meals and entertainment expensesX 50%</t>
  </si>
  <si>
    <t>AT&amp;T</t>
  </si>
  <si>
    <t>Teaching Contracts:</t>
  </si>
  <si>
    <t xml:space="preserve">Liberty University </t>
  </si>
  <si>
    <t>Daniel Webster College</t>
  </si>
  <si>
    <t>Manchester, NH</t>
  </si>
  <si>
    <t>Chris' Job Related Travel Log (Year 2012)</t>
  </si>
  <si>
    <t>Online Internet Class</t>
  </si>
  <si>
    <t>Nashua, NH</t>
  </si>
  <si>
    <t>8 weeks</t>
  </si>
  <si>
    <t>16 weeks</t>
  </si>
  <si>
    <t>Mileage/per round trip</t>
  </si>
  <si>
    <t># of sessions</t>
  </si>
  <si>
    <t>(2/6/12-3/30/12, Mon-Fri)</t>
  </si>
  <si>
    <t>(9/10/12-11/2/12, Mon-Fri)</t>
  </si>
  <si>
    <t>Net Rec'd</t>
  </si>
  <si>
    <t>(11/12/12-1/11/13, Mon-Fri)</t>
  </si>
  <si>
    <t>Teaching Contracts</t>
  </si>
  <si>
    <t>Books, Journals Subscription &amp; Data Purchase for Analyses (For Liberty Mutual, Teaching)</t>
  </si>
  <si>
    <t>Office Supplies for Teaching Handouts, Exam papers &amp; Prints</t>
  </si>
  <si>
    <t>Tolls</t>
  </si>
  <si>
    <t>Mass Pike</t>
  </si>
  <si>
    <t>8/21/12</t>
  </si>
  <si>
    <t>Dunkin</t>
  </si>
  <si>
    <t>UNH Teaching</t>
  </si>
  <si>
    <t>UNH Teaching, meeting with students</t>
  </si>
  <si>
    <t>8/18/12</t>
  </si>
  <si>
    <t>Staples</t>
  </si>
  <si>
    <t>Printer Ink</t>
  </si>
  <si>
    <t>Copy</t>
  </si>
  <si>
    <t>7/31/12</t>
  </si>
  <si>
    <t>Tolls-EZ Pass</t>
  </si>
  <si>
    <t>6/21/12</t>
  </si>
  <si>
    <t>Amazon.com</t>
  </si>
  <si>
    <t>Books</t>
  </si>
  <si>
    <t>4/27/12</t>
  </si>
  <si>
    <t>Td</t>
  </si>
  <si>
    <t>td</t>
  </si>
  <si>
    <t>1/23/12</t>
  </si>
  <si>
    <t>Comcast.com</t>
  </si>
  <si>
    <t xml:space="preserve">Internet </t>
  </si>
  <si>
    <t>2/21/12</t>
  </si>
  <si>
    <t>CUNY - Stony Brook</t>
  </si>
  <si>
    <t>Boston Express</t>
  </si>
  <si>
    <t>bus ticket</t>
  </si>
  <si>
    <t>capital one</t>
  </si>
  <si>
    <t>Book</t>
  </si>
  <si>
    <t>1/19/12</t>
  </si>
  <si>
    <t>1/20/12</t>
  </si>
  <si>
    <t>Wall Street Journal</t>
  </si>
  <si>
    <t>Subscription</t>
  </si>
  <si>
    <t>Concord Coasch</t>
  </si>
  <si>
    <t>1/31/12</t>
  </si>
  <si>
    <t>Skype Communication</t>
  </si>
  <si>
    <t>three-way meeting</t>
  </si>
  <si>
    <t>2/13/12</t>
  </si>
  <si>
    <t>2/15/12</t>
  </si>
  <si>
    <t>Ntech Bio</t>
  </si>
  <si>
    <t>Data Subscription</t>
  </si>
  <si>
    <t>Capital One</t>
  </si>
  <si>
    <t>3/17/12</t>
  </si>
  <si>
    <t>gift cards to reward students</t>
  </si>
  <si>
    <t>3/19/12</t>
  </si>
  <si>
    <t>4/16/12</t>
  </si>
  <si>
    <t>China Airline</t>
  </si>
  <si>
    <t>phonecardonsale</t>
  </si>
  <si>
    <t>phone cards for international calls</t>
  </si>
  <si>
    <t>4/18/12</t>
  </si>
  <si>
    <t>Delta Airline</t>
  </si>
  <si>
    <t>luggage fee</t>
  </si>
  <si>
    <t>Taiwan Culture &amp; Economica</t>
  </si>
  <si>
    <t>TW passport renewal for visit to TW attending meeting</t>
  </si>
  <si>
    <t>cash</t>
  </si>
  <si>
    <t>4/17/12</t>
  </si>
  <si>
    <t>1/28/12</t>
  </si>
  <si>
    <t>Walmart (electronic)</t>
  </si>
  <si>
    <t>2/24/12</t>
  </si>
  <si>
    <t>Ebay Half.com</t>
  </si>
  <si>
    <t xml:space="preserve">capital one </t>
  </si>
  <si>
    <t>3/23/12</t>
  </si>
  <si>
    <t>4/22/12</t>
  </si>
  <si>
    <t>4/26/12</t>
  </si>
  <si>
    <t>Sheraton Hotel Boston</t>
  </si>
  <si>
    <t>4/23/12-4/26/12 meetin stay</t>
  </si>
  <si>
    <t>airfare for meeting in TW. (5/3-5/19)</t>
  </si>
  <si>
    <t>4/23/12</t>
  </si>
  <si>
    <t>Eurest Dinning</t>
  </si>
  <si>
    <t>4/24/12</t>
  </si>
  <si>
    <t>Panda Express</t>
  </si>
  <si>
    <t>Boston meeting</t>
  </si>
  <si>
    <t>4/25/12</t>
  </si>
  <si>
    <t>Shaw's Market</t>
  </si>
  <si>
    <t>4/28/12</t>
  </si>
  <si>
    <t>Brookstone</t>
  </si>
  <si>
    <t>Apple Store</t>
  </si>
  <si>
    <t>NH#2</t>
  </si>
  <si>
    <t>gifts for TW visit (conference)</t>
  </si>
  <si>
    <t>Lindt Chocolate</t>
  </si>
  <si>
    <t>JCPenny</t>
  </si>
  <si>
    <t>Manchester Buffet</t>
  </si>
  <si>
    <t>meeting</t>
  </si>
  <si>
    <t>Walmart</t>
  </si>
  <si>
    <t>3. Travel expense while away from home overnight, incl. lodging, airplane, car rental, etc.  Do not include meals and entertainment.</t>
  </si>
  <si>
    <t>5/3-5/19</t>
  </si>
  <si>
    <t>4/23-4/26</t>
  </si>
  <si>
    <t>JFK Wok &amp; Roll</t>
  </si>
  <si>
    <t>food</t>
  </si>
  <si>
    <t>5/16/12</t>
  </si>
  <si>
    <t>5/19/12</t>
  </si>
  <si>
    <t>5/25/12</t>
  </si>
  <si>
    <t>copy</t>
  </si>
  <si>
    <t>Pho 88</t>
  </si>
  <si>
    <t>Total #2</t>
  </si>
  <si>
    <t>Total #1</t>
  </si>
  <si>
    <t>TOTAL #3</t>
  </si>
  <si>
    <t>TOTAL #4</t>
  </si>
  <si>
    <t>50% of #5 total</t>
  </si>
  <si>
    <t>5/3/12-5/19/12</t>
  </si>
  <si>
    <t>Taipei, Kaoshung, Taiwan</t>
  </si>
  <si>
    <t>Economic conference for Journals Presentation</t>
  </si>
  <si>
    <t>IIA/CPCA Exam</t>
  </si>
  <si>
    <t>Lowell, MA</t>
  </si>
  <si>
    <t>Mileages/Per round trip</t>
  </si>
  <si>
    <t>6/14/12</t>
  </si>
  <si>
    <t>Subway</t>
  </si>
  <si>
    <t>T</t>
  </si>
  <si>
    <t>6/19/12</t>
  </si>
  <si>
    <t>Pho Pasteur</t>
  </si>
  <si>
    <t>7/14/12</t>
  </si>
  <si>
    <t>printer ink</t>
  </si>
  <si>
    <t>7/18/12</t>
  </si>
  <si>
    <t>7/24/12</t>
  </si>
  <si>
    <t>USPS</t>
  </si>
  <si>
    <t>package mailing</t>
  </si>
  <si>
    <t>7/30/12</t>
  </si>
  <si>
    <t>7/16/12</t>
  </si>
  <si>
    <t>8/13/12</t>
  </si>
  <si>
    <t>8/27/12</t>
  </si>
  <si>
    <t>Granite State Lunchbox</t>
  </si>
  <si>
    <t>MassPort Authority</t>
  </si>
  <si>
    <t>Parking</t>
  </si>
  <si>
    <t>9/18/12</t>
  </si>
  <si>
    <t>9/28/12</t>
  </si>
  <si>
    <t>CBD.com</t>
  </si>
  <si>
    <t>10/17/12</t>
  </si>
  <si>
    <t>10/27/12</t>
  </si>
  <si>
    <t>Paper</t>
  </si>
  <si>
    <t>11/13/12</t>
  </si>
  <si>
    <t>11/20/12</t>
  </si>
  <si>
    <t>BJU Press</t>
  </si>
  <si>
    <t>books &amp; DVD programs</t>
  </si>
  <si>
    <t>12/13/12</t>
  </si>
  <si>
    <t>12/17/12</t>
  </si>
  <si>
    <t>12/20/12</t>
  </si>
  <si>
    <t>12/21/12</t>
  </si>
  <si>
    <t>books</t>
  </si>
  <si>
    <t>Raleigh, NC</t>
  </si>
  <si>
    <t>flight</t>
  </si>
  <si>
    <t>School</t>
  </si>
  <si>
    <t>Duration/Session</t>
  </si>
  <si>
    <t>iPad cover $49.99</t>
  </si>
  <si>
    <t>iPod $195</t>
  </si>
  <si>
    <t>iPad &amp; accessories $438</t>
  </si>
  <si>
    <t>Printer $399</t>
  </si>
  <si>
    <t>Office Equipment Depreciation (3years depreciation from 2012 to 2014)</t>
  </si>
  <si>
    <t>Total Mileage</t>
  </si>
  <si>
    <t>@$0.555/mile</t>
  </si>
  <si>
    <t>(7/10/12-8/28/12, Tuesday night)</t>
  </si>
  <si>
    <t>(8/20/12 - 12/10/12, Monday night)</t>
  </si>
  <si>
    <t>Copy of transcript for applying teaching job at Liberty University, ck#1708</t>
  </si>
  <si>
    <t>TOTAL  2106-EZ</t>
  </si>
  <si>
    <t>Bus &amp; T</t>
  </si>
  <si>
    <t>Internet Access (On-line teaching, Liberty Mutual work at home, UNH,  DWC teaching)</t>
  </si>
  <si>
    <t xml:space="preserve"> (72% of total)</t>
  </si>
  <si>
    <t>v</t>
  </si>
  <si>
    <t>Cell phone (Statistic work @ Liberty Mutual special projects, teaching &amp; traveling to attend professional conference)</t>
  </si>
  <si>
    <t>(4 classes)</t>
  </si>
</sst>
</file>

<file path=xl/styles.xml><?xml version="1.0" encoding="utf-8"?>
<styleSheet xmlns="http://schemas.openxmlformats.org/spreadsheetml/2006/main">
  <numFmts count="15">
    <numFmt numFmtId="164" formatCode="_(&quot;$&quot;* #,##0.00_);_(&quot;$&quot;* \(#,##0.00\);_(&quot;$&quot;* &quot;-&quot;??_);_(@_)"/>
    <numFmt numFmtId="165" formatCode="&quot; $&quot;#,##0.00\ ;&quot; $(&quot;#,##0.00\);&quot; $-&quot;#\ ;@\ "/>
    <numFmt numFmtId="166" formatCode="#,##0.00\ ;&quot; (&quot;#,##0.00\);&quot; -&quot;#\ ;@\ "/>
    <numFmt numFmtId="167" formatCode="[$$-409]#,##0.00;[Red]\-[$$-409]#,##0.00"/>
    <numFmt numFmtId="168" formatCode="#,##0.0"/>
    <numFmt numFmtId="169" formatCode="0.000%"/>
    <numFmt numFmtId="170" formatCode="\$#,##0\ ;[Red]&quot;($&quot;#,##0\)"/>
    <numFmt numFmtId="171" formatCode="\$#,##0.00\ ;[Red]&quot;($&quot;#,##0.00\)"/>
    <numFmt numFmtId="172" formatCode="mm/dd/yy"/>
    <numFmt numFmtId="173" formatCode="dddd&quot;, &quot;mmmm\ dd&quot;, &quot;yyyy"/>
    <numFmt numFmtId="174" formatCode="[$$-409]#,##0.00_ ;[Red]\-[$$-409]#,##0.00\ "/>
    <numFmt numFmtId="175" formatCode="[$$-409]#,##0.000;[Red]\-[$$-409]#,##0.000"/>
    <numFmt numFmtId="176" formatCode="_(* #,##0.00_);_(* \(#,##0.00\);_(* \-??_);_(@_)"/>
    <numFmt numFmtId="177" formatCode="_-[$$-409]* #,##0.00_ ;_-[$$-409]* \-#,##0.00\ ;_-[$$-409]* \-??_ ;_-@_ "/>
    <numFmt numFmtId="178" formatCode="_([$$-409]* #,##0.00_);_([$$-409]* \(#,##0.00\);_([$$-409]* &quot;-&quot;??_);_(@_)"/>
  </numFmts>
  <fonts count="36">
    <font>
      <sz val="10"/>
      <name val="Arial"/>
      <family val="2"/>
    </font>
    <font>
      <b/>
      <sz val="10"/>
      <name val="Arial"/>
      <family val="2"/>
    </font>
    <font>
      <b/>
      <sz val="10"/>
      <color indexed="10"/>
      <name val="Arial"/>
      <family val="2"/>
    </font>
    <font>
      <sz val="10.5"/>
      <name val="Bitstream Charter"/>
      <family val="1"/>
    </font>
    <font>
      <b/>
      <sz val="10.5"/>
      <color indexed="10"/>
      <name val="Bitstream Charter"/>
      <family val="1"/>
    </font>
    <font>
      <b/>
      <sz val="10.5"/>
      <name val="Bitstream Charter"/>
      <family val="1"/>
    </font>
    <font>
      <sz val="10.5"/>
      <color indexed="10"/>
      <name val="Bitstream Charter"/>
      <family val="1"/>
    </font>
    <font>
      <b/>
      <sz val="12"/>
      <name val="Century Schoolbook L"/>
      <family val="1"/>
    </font>
    <font>
      <b/>
      <i/>
      <sz val="12"/>
      <color indexed="53"/>
      <name val="Century Schoolbook L"/>
      <family val="1"/>
    </font>
    <font>
      <b/>
      <i/>
      <sz val="10"/>
      <color indexed="53"/>
      <name val="Arial"/>
      <family val="2"/>
    </font>
    <font>
      <b/>
      <i/>
      <sz val="10"/>
      <name val="Arial"/>
      <family val="2"/>
    </font>
    <font>
      <b/>
      <u/>
      <sz val="10"/>
      <name val="Arial"/>
      <family val="2"/>
    </font>
    <font>
      <b/>
      <i/>
      <u/>
      <sz val="10"/>
      <name val="Arial"/>
      <family val="2"/>
    </font>
    <font>
      <b/>
      <sz val="12"/>
      <color indexed="10"/>
      <name val="Arial"/>
      <family val="2"/>
    </font>
    <font>
      <sz val="10.5"/>
      <color indexed="30"/>
      <name val="Arial"/>
      <family val="2"/>
    </font>
    <font>
      <sz val="10"/>
      <color indexed="30"/>
      <name val="Arial"/>
      <family val="2"/>
    </font>
    <font>
      <sz val="10"/>
      <color indexed="10"/>
      <name val="Arial"/>
      <family val="2"/>
    </font>
    <font>
      <sz val="7"/>
      <name val="Arial"/>
      <family val="2"/>
    </font>
    <font>
      <sz val="8"/>
      <name val="Arial"/>
      <family val="2"/>
    </font>
    <font>
      <b/>
      <sz val="10"/>
      <color indexed="16"/>
      <name val="Arial"/>
      <family val="2"/>
    </font>
    <font>
      <b/>
      <u/>
      <sz val="12"/>
      <name val="Arial"/>
      <family val="2"/>
    </font>
    <font>
      <u/>
      <sz val="10"/>
      <name val="Arial"/>
      <family val="2"/>
    </font>
    <font>
      <sz val="12"/>
      <name val="Bitstream Charter"/>
      <family val="1"/>
    </font>
    <font>
      <sz val="10"/>
      <name val="Bitstream Charter"/>
      <family val="1"/>
    </font>
    <font>
      <b/>
      <sz val="12"/>
      <name val="Bitstream Charter"/>
      <family val="1"/>
    </font>
    <font>
      <b/>
      <sz val="10"/>
      <name val="Bitstream Charter"/>
      <family val="1"/>
    </font>
    <font>
      <b/>
      <sz val="12"/>
      <color indexed="10"/>
      <name val="Bitstream Charter"/>
      <family val="1"/>
    </font>
    <font>
      <b/>
      <sz val="10"/>
      <color indexed="10"/>
      <name val="Bitstream Charter"/>
      <family val="1"/>
    </font>
    <font>
      <sz val="10"/>
      <color indexed="10"/>
      <name val="Bitstream Charter"/>
      <family val="1"/>
    </font>
    <font>
      <sz val="10"/>
      <color indexed="8"/>
      <name val="Bitstream Charter"/>
      <family val="1"/>
    </font>
    <font>
      <sz val="10"/>
      <name val="Arial"/>
      <family val="2"/>
    </font>
    <font>
      <sz val="10.5"/>
      <color rgb="FFFF0000"/>
      <name val="Bitstream Charter"/>
      <family val="1"/>
    </font>
    <font>
      <sz val="10.5"/>
      <color rgb="FFFF0000"/>
      <name val="Bitstream Charter"/>
    </font>
    <font>
      <b/>
      <sz val="10.5"/>
      <color rgb="FFFF0000"/>
      <name val="Bitstream Charter"/>
    </font>
    <font>
      <b/>
      <sz val="10"/>
      <name val="Bitstream Charter"/>
    </font>
    <font>
      <u/>
      <sz val="10"/>
      <name val="Bitstream Charter"/>
      <family val="1"/>
    </font>
  </fonts>
  <fills count="7">
    <fill>
      <patternFill patternType="none"/>
    </fill>
    <fill>
      <patternFill patternType="gray125"/>
    </fill>
    <fill>
      <patternFill patternType="solid">
        <fgColor indexed="27"/>
        <bgColor indexed="41"/>
      </patternFill>
    </fill>
    <fill>
      <patternFill patternType="solid">
        <fgColor indexed="13"/>
        <bgColor indexed="34"/>
      </patternFill>
    </fill>
    <fill>
      <patternFill patternType="solid">
        <fgColor indexed="47"/>
        <bgColor indexed="22"/>
      </patternFill>
    </fill>
    <fill>
      <patternFill patternType="solid">
        <fgColor rgb="FFFFFF00"/>
        <bgColor indexed="64"/>
      </patternFill>
    </fill>
    <fill>
      <patternFill patternType="solid">
        <fgColor theme="0"/>
        <bgColor indexed="64"/>
      </patternFill>
    </fill>
  </fills>
  <borders count="47">
    <border>
      <left/>
      <right/>
      <top/>
      <bottom/>
      <diagonal/>
    </border>
    <border>
      <left style="thin">
        <color indexed="63"/>
      </left>
      <right style="thin">
        <color indexed="63"/>
      </right>
      <top style="thin">
        <color indexed="63"/>
      </top>
      <bottom style="thin">
        <color indexed="63"/>
      </bottom>
      <diagonal/>
    </border>
    <border>
      <left/>
      <right/>
      <top style="thin">
        <color indexed="8"/>
      </top>
      <bottom style="double">
        <color indexed="8"/>
      </bottom>
      <diagonal/>
    </border>
    <border>
      <left/>
      <right/>
      <top style="thin">
        <color indexed="8"/>
      </top>
      <bottom style="thin">
        <color indexed="8"/>
      </bottom>
      <diagonal/>
    </border>
    <border>
      <left/>
      <right/>
      <top style="hair">
        <color indexed="8"/>
      </top>
      <bottom style="hair">
        <color indexed="8"/>
      </bottom>
      <diagonal/>
    </border>
    <border>
      <left/>
      <right/>
      <top/>
      <bottom style="hair">
        <color indexed="8"/>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top/>
      <bottom/>
      <diagonal/>
    </border>
    <border>
      <left/>
      <right style="thin">
        <color indexed="63"/>
      </right>
      <top/>
      <bottom/>
      <diagonal/>
    </border>
    <border>
      <left/>
      <right/>
      <top style="thin">
        <color indexed="63"/>
      </top>
      <bottom style="double">
        <color indexed="63"/>
      </bottom>
      <diagonal/>
    </border>
    <border>
      <left style="thin">
        <color indexed="63"/>
      </left>
      <right/>
      <top/>
      <bottom style="hair">
        <color indexed="8"/>
      </bottom>
      <diagonal/>
    </border>
    <border>
      <left/>
      <right style="thin">
        <color indexed="63"/>
      </right>
      <top/>
      <bottom style="hair">
        <color indexed="8"/>
      </bottom>
      <diagonal/>
    </border>
    <border>
      <left style="thin">
        <color indexed="63"/>
      </left>
      <right style="thin">
        <color indexed="63"/>
      </right>
      <top style="thin">
        <color indexed="8"/>
      </top>
      <bottom style="thin">
        <color indexed="63"/>
      </bottom>
      <diagonal/>
    </border>
    <border>
      <left style="thin">
        <color indexed="63"/>
      </left>
      <right/>
      <top style="thin">
        <color indexed="8"/>
      </top>
      <bottom style="thin">
        <color indexed="63"/>
      </bottom>
      <diagonal/>
    </border>
    <border>
      <left/>
      <right/>
      <top style="thin">
        <color indexed="8"/>
      </top>
      <bottom style="thin">
        <color indexed="63"/>
      </bottom>
      <diagonal/>
    </border>
    <border>
      <left/>
      <right style="thin">
        <color indexed="63"/>
      </right>
      <top style="thin">
        <color indexed="8"/>
      </top>
      <bottom style="thin">
        <color indexed="63"/>
      </bottom>
      <diagonal/>
    </border>
    <border>
      <left/>
      <right/>
      <top/>
      <bottom style="thin">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176" fontId="30" fillId="0" borderId="0" applyFill="0" applyBorder="0" applyAlignment="0" applyProtection="0"/>
    <xf numFmtId="165" fontId="30" fillId="0" borderId="0"/>
    <xf numFmtId="166" fontId="30" fillId="0" borderId="0"/>
    <xf numFmtId="9" fontId="30" fillId="0" borderId="0"/>
  </cellStyleXfs>
  <cellXfs count="249">
    <xf numFmtId="0" fontId="0" fillId="0" borderId="0" xfId="0"/>
    <xf numFmtId="0" fontId="0" fillId="0" borderId="0" xfId="0" applyFont="1"/>
    <xf numFmtId="0" fontId="1" fillId="0" borderId="0" xfId="0" applyFont="1"/>
    <xf numFmtId="0" fontId="1" fillId="0" borderId="0" xfId="0" applyFont="1" applyAlignment="1">
      <alignment horizontal="left"/>
    </xf>
    <xf numFmtId="0" fontId="2" fillId="0" borderId="0" xfId="0" applyFont="1"/>
    <xf numFmtId="0" fontId="0" fillId="0" borderId="0" xfId="0" applyFont="1" applyAlignment="1">
      <alignment horizontal="center"/>
    </xf>
    <xf numFmtId="16" fontId="0" fillId="0" borderId="0" xfId="0" applyNumberFormat="1" applyFont="1"/>
    <xf numFmtId="165" fontId="0" fillId="0" borderId="0" xfId="0" applyNumberFormat="1" applyFont="1"/>
    <xf numFmtId="165" fontId="1" fillId="0" borderId="2" xfId="0" applyNumberFormat="1" applyFont="1" applyBorder="1"/>
    <xf numFmtId="9" fontId="1" fillId="0" borderId="0" xfId="4" applyFont="1" applyBorder="1" applyAlignment="1" applyProtection="1"/>
    <xf numFmtId="166" fontId="0" fillId="0" borderId="0" xfId="3" applyFont="1" applyBorder="1" applyAlignment="1" applyProtection="1"/>
    <xf numFmtId="9" fontId="0" fillId="0" borderId="0" xfId="4" applyFont="1" applyBorder="1" applyAlignment="1" applyProtection="1"/>
    <xf numFmtId="165" fontId="1" fillId="0" borderId="0" xfId="0" applyNumberFormat="1" applyFont="1"/>
    <xf numFmtId="166" fontId="0" fillId="0" borderId="2" xfId="3" applyFont="1" applyBorder="1" applyAlignment="1" applyProtection="1"/>
    <xf numFmtId="0" fontId="3" fillId="0" borderId="0" xfId="0" applyFont="1"/>
    <xf numFmtId="0" fontId="3" fillId="0" borderId="0" xfId="0" applyFont="1" applyAlignment="1">
      <alignment horizontal="right"/>
    </xf>
    <xf numFmtId="0" fontId="3" fillId="0" borderId="2" xfId="0" applyFont="1" applyBorder="1"/>
    <xf numFmtId="0" fontId="3" fillId="0" borderId="0" xfId="0" applyFont="1" applyAlignment="1">
      <alignment horizontal="center"/>
    </xf>
    <xf numFmtId="0" fontId="3" fillId="0" borderId="3" xfId="0" applyFont="1" applyBorder="1"/>
    <xf numFmtId="0" fontId="3" fillId="0" borderId="0" xfId="0" applyFont="1" applyBorder="1"/>
    <xf numFmtId="2" fontId="3" fillId="0" borderId="0" xfId="0" applyNumberFormat="1" applyFont="1"/>
    <xf numFmtId="0" fontId="3" fillId="0" borderId="0" xfId="0" applyFont="1" applyAlignment="1">
      <alignment horizontal="left"/>
    </xf>
    <xf numFmtId="0" fontId="3" fillId="0" borderId="4" xfId="0" applyFont="1" applyBorder="1"/>
    <xf numFmtId="2" fontId="3" fillId="0" borderId="2" xfId="0" applyNumberFormat="1" applyFont="1" applyBorder="1"/>
    <xf numFmtId="2" fontId="3" fillId="0" borderId="0" xfId="0" applyNumberFormat="1" applyFont="1" applyBorder="1"/>
    <xf numFmtId="0" fontId="4" fillId="0" borderId="0" xfId="0" applyFont="1"/>
    <xf numFmtId="0" fontId="5" fillId="0" borderId="0" xfId="0" applyFont="1"/>
    <xf numFmtId="166" fontId="3" fillId="0" borderId="0" xfId="0" applyNumberFormat="1" applyFont="1"/>
    <xf numFmtId="167" fontId="6" fillId="0" borderId="0" xfId="0" applyNumberFormat="1" applyFont="1"/>
    <xf numFmtId="0" fontId="3" fillId="2" borderId="0" xfId="0" applyFont="1" applyFill="1"/>
    <xf numFmtId="165" fontId="5" fillId="0" borderId="0" xfId="2" applyFont="1" applyBorder="1" applyAlignment="1" applyProtection="1">
      <alignment horizontal="center"/>
    </xf>
    <xf numFmtId="0" fontId="3" fillId="2" borderId="0" xfId="0" applyFont="1" applyFill="1" applyAlignment="1">
      <alignment horizontal="center"/>
    </xf>
    <xf numFmtId="0" fontId="7" fillId="0" borderId="0" xfId="0" applyFont="1"/>
    <xf numFmtId="0" fontId="8" fillId="0" borderId="0" xfId="0" applyFont="1"/>
    <xf numFmtId="0" fontId="9" fillId="0" borderId="0" xfId="0" applyFont="1"/>
    <xf numFmtId="0" fontId="10" fillId="0" borderId="0" xfId="0" applyFont="1"/>
    <xf numFmtId="165" fontId="0" fillId="0" borderId="0" xfId="2" applyFont="1" applyBorder="1" applyAlignment="1" applyProtection="1"/>
    <xf numFmtId="165" fontId="0" fillId="0" borderId="0" xfId="0" applyNumberFormat="1"/>
    <xf numFmtId="10" fontId="30" fillId="0" borderId="0" xfId="4" applyNumberFormat="1"/>
    <xf numFmtId="168" fontId="0" fillId="0" borderId="0" xfId="0" applyNumberFormat="1"/>
    <xf numFmtId="169" fontId="0" fillId="0" borderId="0" xfId="4" applyNumberFormat="1" applyFont="1" applyBorder="1" applyAlignment="1" applyProtection="1"/>
    <xf numFmtId="0" fontId="11" fillId="0" borderId="0" xfId="0" applyFont="1"/>
    <xf numFmtId="0" fontId="11" fillId="0" borderId="0" xfId="0" applyFont="1" applyAlignment="1">
      <alignment horizontal="center"/>
    </xf>
    <xf numFmtId="14" fontId="0" fillId="0" borderId="0" xfId="0" applyNumberFormat="1" applyFont="1"/>
    <xf numFmtId="170" fontId="0" fillId="0" borderId="4" xfId="0" applyNumberFormat="1" applyBorder="1"/>
    <xf numFmtId="170" fontId="0" fillId="0" borderId="0" xfId="0" applyNumberFormat="1"/>
    <xf numFmtId="171" fontId="0" fillId="0" borderId="0" xfId="0" applyNumberFormat="1"/>
    <xf numFmtId="0" fontId="12" fillId="0" borderId="0" xfId="0" applyFont="1"/>
    <xf numFmtId="0" fontId="1" fillId="0" borderId="0" xfId="0" applyFont="1" applyBorder="1"/>
    <xf numFmtId="172" fontId="0" fillId="0" borderId="0" xfId="0" applyNumberFormat="1"/>
    <xf numFmtId="0" fontId="0" fillId="0" borderId="0" xfId="0" applyFont="1" applyAlignment="1">
      <alignment horizontal="right"/>
    </xf>
    <xf numFmtId="0" fontId="0" fillId="0" borderId="2" xfId="0" applyBorder="1"/>
    <xf numFmtId="0" fontId="0" fillId="2" borderId="0" xfId="0" applyFill="1"/>
    <xf numFmtId="0" fontId="13" fillId="0" borderId="0" xfId="0" applyFont="1"/>
    <xf numFmtId="0" fontId="13" fillId="2" borderId="0" xfId="0" applyFont="1" applyFill="1"/>
    <xf numFmtId="0" fontId="14" fillId="2" borderId="0" xfId="0" applyFont="1" applyFill="1"/>
    <xf numFmtId="0" fontId="15" fillId="0" borderId="0" xfId="0" applyFont="1"/>
    <xf numFmtId="0" fontId="0" fillId="2" borderId="0" xfId="0" applyFont="1" applyFill="1"/>
    <xf numFmtId="0" fontId="0" fillId="2" borderId="0" xfId="0" applyFont="1" applyFill="1" applyAlignment="1">
      <alignment horizontal="center" vertical="center"/>
    </xf>
    <xf numFmtId="0" fontId="16" fillId="2" borderId="0" xfId="0" applyFont="1" applyFill="1"/>
    <xf numFmtId="0" fontId="16" fillId="0" borderId="0" xfId="0" applyFont="1"/>
    <xf numFmtId="0" fontId="0" fillId="0" borderId="5" xfId="0" applyFont="1" applyBorder="1"/>
    <xf numFmtId="0" fontId="0" fillId="0" borderId="5" xfId="0" applyBorder="1" applyAlignment="1">
      <alignment horizontal="center"/>
    </xf>
    <xf numFmtId="0" fontId="2" fillId="2" borderId="0" xfId="0" applyFont="1" applyFill="1"/>
    <xf numFmtId="0" fontId="0" fillId="2" borderId="6" xfId="0" applyFill="1" applyBorder="1"/>
    <xf numFmtId="0" fontId="0" fillId="2" borderId="7" xfId="0" applyFill="1" applyBorder="1"/>
    <xf numFmtId="0" fontId="0" fillId="2" borderId="8" xfId="0" applyFill="1" applyBorder="1"/>
    <xf numFmtId="0" fontId="0" fillId="2" borderId="7" xfId="0" applyFill="1" applyBorder="1" applyAlignment="1">
      <alignment horizontal="center"/>
    </xf>
    <xf numFmtId="0" fontId="16" fillId="2" borderId="7" xfId="0" applyFont="1" applyFill="1" applyBorder="1" applyAlignment="1">
      <alignment horizontal="center"/>
    </xf>
    <xf numFmtId="0" fontId="0" fillId="2" borderId="0" xfId="0" applyFill="1" applyBorder="1"/>
    <xf numFmtId="0" fontId="0" fillId="2" borderId="9" xfId="0" applyFill="1" applyBorder="1"/>
    <xf numFmtId="0" fontId="0" fillId="2" borderId="10" xfId="0" applyFill="1" applyBorder="1"/>
    <xf numFmtId="0" fontId="0" fillId="2" borderId="10" xfId="0" applyFont="1" applyFill="1" applyBorder="1" applyAlignment="1">
      <alignment horizontal="center"/>
    </xf>
    <xf numFmtId="0" fontId="0" fillId="2" borderId="11" xfId="0" applyFill="1" applyBorder="1"/>
    <xf numFmtId="0" fontId="0" fillId="2" borderId="9" xfId="0" applyFont="1" applyFill="1" applyBorder="1" applyAlignment="1">
      <alignment horizontal="center"/>
    </xf>
    <xf numFmtId="0" fontId="17" fillId="2" borderId="11" xfId="0" applyFont="1" applyFill="1" applyBorder="1"/>
    <xf numFmtId="0" fontId="0" fillId="2" borderId="11" xfId="0" applyFill="1" applyBorder="1" applyAlignment="1">
      <alignment horizontal="center"/>
    </xf>
    <xf numFmtId="0" fontId="2" fillId="2" borderId="0" xfId="0" applyFont="1" applyFill="1" applyBorder="1"/>
    <xf numFmtId="0" fontId="0" fillId="2" borderId="12" xfId="0" applyFill="1" applyBorder="1"/>
    <xf numFmtId="0" fontId="0" fillId="2" borderId="13" xfId="0" applyFill="1" applyBorder="1"/>
    <xf numFmtId="0" fontId="0" fillId="2" borderId="14" xfId="0" applyFill="1" applyBorder="1"/>
    <xf numFmtId="0" fontId="17" fillId="2" borderId="14" xfId="0" applyFont="1" applyFill="1" applyBorder="1"/>
    <xf numFmtId="0" fontId="0" fillId="2" borderId="12" xfId="0" applyFont="1" applyFill="1" applyBorder="1" applyAlignment="1">
      <alignment horizontal="center"/>
    </xf>
    <xf numFmtId="167" fontId="17" fillId="2" borderId="14" xfId="0" applyNumberFormat="1" applyFont="1" applyFill="1" applyBorder="1"/>
    <xf numFmtId="0" fontId="16" fillId="2" borderId="12" xfId="0" applyFont="1" applyFill="1" applyBorder="1" applyAlignment="1">
      <alignment horizontal="center"/>
    </xf>
    <xf numFmtId="0" fontId="0" fillId="2" borderId="14" xfId="0" applyFont="1" applyFill="1" applyBorder="1"/>
    <xf numFmtId="0" fontId="0" fillId="2" borderId="15" xfId="0" applyFont="1" applyFill="1" applyBorder="1"/>
    <xf numFmtId="0" fontId="17" fillId="2" borderId="0" xfId="0" applyFont="1" applyFill="1" applyBorder="1"/>
    <xf numFmtId="0" fontId="0" fillId="2" borderId="16" xfId="0" applyFont="1" applyFill="1" applyBorder="1"/>
    <xf numFmtId="0" fontId="0" fillId="2" borderId="17" xfId="0" applyFill="1" applyBorder="1"/>
    <xf numFmtId="0" fontId="0" fillId="2" borderId="18" xfId="0" applyFill="1" applyBorder="1"/>
    <xf numFmtId="0" fontId="17" fillId="2" borderId="18" xfId="0" applyFont="1" applyFill="1" applyBorder="1"/>
    <xf numFmtId="0" fontId="18" fillId="0" borderId="0" xfId="0" applyFont="1"/>
    <xf numFmtId="0" fontId="17" fillId="2" borderId="0" xfId="0" applyFont="1" applyFill="1" applyBorder="1" applyAlignment="1">
      <alignment horizontal="left"/>
    </xf>
    <xf numFmtId="0" fontId="17" fillId="0" borderId="0" xfId="0" applyFont="1"/>
    <xf numFmtId="0" fontId="0" fillId="0" borderId="0" xfId="0" applyBorder="1"/>
    <xf numFmtId="0" fontId="0" fillId="0" borderId="19" xfId="0" applyFont="1" applyBorder="1"/>
    <xf numFmtId="0" fontId="0" fillId="2" borderId="20" xfId="0" applyFill="1" applyBorder="1"/>
    <xf numFmtId="0" fontId="0" fillId="2" borderId="21" xfId="0" applyFill="1" applyBorder="1"/>
    <xf numFmtId="0" fontId="17" fillId="2" borderId="21" xfId="0" applyFont="1" applyFill="1"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2" borderId="2" xfId="0" applyFill="1" applyBorder="1"/>
    <xf numFmtId="0" fontId="18" fillId="2" borderId="25" xfId="0" applyFont="1" applyFill="1" applyBorder="1"/>
    <xf numFmtId="0" fontId="19" fillId="0" borderId="0" xfId="0" applyFont="1"/>
    <xf numFmtId="0" fontId="20" fillId="2" borderId="0" xfId="0" applyFont="1" applyFill="1"/>
    <xf numFmtId="0" fontId="0" fillId="2" borderId="0" xfId="0" applyFont="1" applyFill="1" applyAlignment="1">
      <alignment horizontal="center"/>
    </xf>
    <xf numFmtId="0" fontId="21" fillId="2" borderId="0" xfId="0" applyFont="1" applyFill="1" applyAlignment="1">
      <alignment horizontal="center"/>
    </xf>
    <xf numFmtId="0" fontId="1" fillId="0" borderId="5" xfId="0" applyFont="1" applyBorder="1"/>
    <xf numFmtId="0" fontId="0" fillId="2" borderId="4" xfId="0" applyFill="1" applyBorder="1" applyAlignment="1">
      <alignment horizontal="right"/>
    </xf>
    <xf numFmtId="0" fontId="16" fillId="2" borderId="4" xfId="0" applyFont="1" applyFill="1" applyBorder="1" applyAlignment="1">
      <alignment horizontal="right"/>
    </xf>
    <xf numFmtId="167" fontId="16" fillId="2" borderId="0" xfId="0" applyNumberFormat="1" applyFont="1" applyFill="1"/>
    <xf numFmtId="0" fontId="10" fillId="2" borderId="0" xfId="0" applyFont="1" applyFill="1"/>
    <xf numFmtId="0" fontId="1" fillId="2" borderId="0" xfId="0" applyFont="1" applyFill="1"/>
    <xf numFmtId="0" fontId="0" fillId="3" borderId="0" xfId="0" applyFill="1"/>
    <xf numFmtId="0" fontId="0" fillId="3" borderId="0" xfId="0" applyFont="1" applyFill="1" applyAlignment="1">
      <alignment horizontal="center"/>
    </xf>
    <xf numFmtId="1" fontId="0" fillId="2" borderId="0" xfId="0" applyNumberFormat="1" applyFill="1"/>
    <xf numFmtId="0" fontId="0" fillId="2" borderId="0" xfId="0" applyFont="1" applyFill="1" applyBorder="1" applyAlignment="1">
      <alignment horizontal="center"/>
    </xf>
    <xf numFmtId="0" fontId="21" fillId="2" borderId="0" xfId="0" applyFont="1" applyFill="1" applyBorder="1" applyAlignment="1">
      <alignment horizontal="center"/>
    </xf>
    <xf numFmtId="0" fontId="21" fillId="2" borderId="0" xfId="0" applyFont="1" applyFill="1" applyBorder="1"/>
    <xf numFmtId="0" fontId="0" fillId="2" borderId="0" xfId="0" applyFont="1" applyFill="1" applyBorder="1" applyAlignment="1">
      <alignment vertical="center"/>
    </xf>
    <xf numFmtId="0" fontId="21" fillId="2" borderId="0" xfId="0" applyFont="1" applyFill="1" applyAlignment="1">
      <alignment horizontal="center" vertical="center"/>
    </xf>
    <xf numFmtId="0" fontId="0" fillId="2" borderId="0" xfId="0" applyFont="1" applyFill="1" applyBorder="1"/>
    <xf numFmtId="167" fontId="0" fillId="2" borderId="0" xfId="0" applyNumberFormat="1" applyFill="1" applyBorder="1"/>
    <xf numFmtId="174" fontId="0" fillId="2" borderId="0" xfId="0" applyNumberFormat="1" applyFill="1"/>
    <xf numFmtId="2" fontId="0" fillId="2" borderId="0" xfId="0" applyNumberFormat="1" applyFill="1"/>
    <xf numFmtId="175" fontId="0" fillId="2" borderId="0" xfId="0" applyNumberFormat="1" applyFill="1" applyBorder="1"/>
    <xf numFmtId="2" fontId="0" fillId="2" borderId="0" xfId="0" applyNumberFormat="1" applyFill="1" applyBorder="1"/>
    <xf numFmtId="167" fontId="0" fillId="2" borderId="0" xfId="0" applyNumberFormat="1" applyFill="1"/>
    <xf numFmtId="17" fontId="0" fillId="2" borderId="0" xfId="0" applyNumberFormat="1" applyFont="1" applyFill="1"/>
    <xf numFmtId="167" fontId="0" fillId="2" borderId="0" xfId="0" applyNumberFormat="1" applyFill="1" applyAlignment="1">
      <alignment horizontal="left"/>
    </xf>
    <xf numFmtId="0" fontId="0" fillId="2" borderId="26" xfId="0" applyFill="1" applyBorder="1"/>
    <xf numFmtId="165" fontId="0" fillId="2" borderId="0" xfId="2" applyFont="1" applyFill="1" applyBorder="1" applyAlignment="1" applyProtection="1"/>
    <xf numFmtId="165" fontId="16" fillId="2" borderId="2" xfId="0" applyNumberFormat="1" applyFont="1" applyFill="1" applyBorder="1"/>
    <xf numFmtId="0" fontId="22" fillId="0" borderId="0" xfId="0" applyFont="1"/>
    <xf numFmtId="0" fontId="23" fillId="0" borderId="0" xfId="0" applyFont="1"/>
    <xf numFmtId="0" fontId="24" fillId="0" borderId="0" xfId="0" applyFont="1"/>
    <xf numFmtId="0" fontId="25" fillId="0" borderId="0" xfId="0" applyFont="1" applyAlignment="1">
      <alignment horizontal="left"/>
    </xf>
    <xf numFmtId="165" fontId="30" fillId="0" borderId="0" xfId="2"/>
    <xf numFmtId="0" fontId="25" fillId="0" borderId="0" xfId="0" applyFont="1"/>
    <xf numFmtId="166" fontId="23" fillId="0" borderId="0" xfId="3" applyFont="1" applyBorder="1" applyAlignment="1" applyProtection="1"/>
    <xf numFmtId="165" fontId="25" fillId="0" borderId="0" xfId="2" applyFont="1" applyBorder="1" applyAlignment="1" applyProtection="1"/>
    <xf numFmtId="166" fontId="23" fillId="0" borderId="0" xfId="0" applyNumberFormat="1" applyFont="1"/>
    <xf numFmtId="10" fontId="23" fillId="0" borderId="0" xfId="0" applyNumberFormat="1" applyFont="1"/>
    <xf numFmtId="167" fontId="25" fillId="0" borderId="0" xfId="0" applyNumberFormat="1" applyFont="1"/>
    <xf numFmtId="0" fontId="26" fillId="0" borderId="0" xfId="0" applyFont="1"/>
    <xf numFmtId="0" fontId="27" fillId="0" borderId="0" xfId="0" applyFont="1"/>
    <xf numFmtId="166" fontId="27" fillId="0" borderId="0" xfId="0" applyNumberFormat="1" applyFont="1"/>
    <xf numFmtId="10" fontId="27" fillId="0" borderId="0" xfId="0" applyNumberFormat="1" applyFont="1"/>
    <xf numFmtId="0" fontId="23" fillId="0" borderId="27" xfId="0" applyFont="1" applyBorder="1"/>
    <xf numFmtId="0" fontId="23" fillId="0" borderId="28" xfId="0" applyFont="1" applyBorder="1" applyAlignment="1">
      <alignment horizontal="center"/>
    </xf>
    <xf numFmtId="0" fontId="23" fillId="0" borderId="29" xfId="0" applyFont="1" applyBorder="1"/>
    <xf numFmtId="0" fontId="23" fillId="0" borderId="0" xfId="0" applyFont="1" applyAlignment="1">
      <alignment horizontal="center"/>
    </xf>
    <xf numFmtId="0" fontId="23" fillId="4" borderId="0" xfId="0" applyFont="1" applyFill="1" applyAlignment="1">
      <alignment horizontal="center" vertical="center"/>
    </xf>
    <xf numFmtId="0" fontId="23" fillId="4" borderId="0" xfId="0" applyFont="1" applyFill="1" applyAlignment="1">
      <alignment horizontal="center"/>
    </xf>
    <xf numFmtId="0" fontId="23" fillId="4" borderId="0" xfId="0" applyFont="1" applyFill="1"/>
    <xf numFmtId="2" fontId="25" fillId="0" borderId="0" xfId="0" applyNumberFormat="1" applyFont="1"/>
    <xf numFmtId="0" fontId="23" fillId="4" borderId="27" xfId="0" applyFont="1" applyFill="1" applyBorder="1" applyAlignment="1">
      <alignment horizontal="center" vertical="center"/>
    </xf>
    <xf numFmtId="0" fontId="23" fillId="4" borderId="27" xfId="0" applyFont="1" applyFill="1" applyBorder="1" applyAlignment="1">
      <alignment horizontal="center"/>
    </xf>
    <xf numFmtId="0" fontId="23" fillId="4" borderId="30" xfId="0" applyFont="1" applyFill="1" applyBorder="1"/>
    <xf numFmtId="0" fontId="23" fillId="4" borderId="31" xfId="0" applyFont="1" applyFill="1" applyBorder="1"/>
    <xf numFmtId="0" fontId="23" fillId="4" borderId="32" xfId="0" applyFont="1" applyFill="1" applyBorder="1"/>
    <xf numFmtId="0" fontId="23" fillId="4" borderId="33" xfId="0" applyFont="1" applyFill="1" applyBorder="1"/>
    <xf numFmtId="0" fontId="23" fillId="4" borderId="34" xfId="0" applyFont="1" applyFill="1" applyBorder="1"/>
    <xf numFmtId="0" fontId="28" fillId="4" borderId="32" xfId="0" applyFont="1" applyFill="1" applyBorder="1"/>
    <xf numFmtId="0" fontId="28" fillId="0" borderId="0" xfId="0" applyFont="1"/>
    <xf numFmtId="176" fontId="1" fillId="0" borderId="0" xfId="1" applyFont="1" applyFill="1" applyBorder="1" applyAlignment="1" applyProtection="1"/>
    <xf numFmtId="0" fontId="29" fillId="3" borderId="0" xfId="0" applyFont="1" applyFill="1"/>
    <xf numFmtId="0" fontId="23" fillId="0" borderId="0" xfId="0" applyFont="1" applyAlignment="1">
      <alignment horizontal="right"/>
    </xf>
    <xf numFmtId="167" fontId="23" fillId="0" borderId="0" xfId="0" applyNumberFormat="1" applyFont="1"/>
    <xf numFmtId="0" fontId="23" fillId="0" borderId="7" xfId="0" applyFont="1" applyBorder="1"/>
    <xf numFmtId="167" fontId="23" fillId="0" borderId="7" xfId="0" applyNumberFormat="1" applyFont="1" applyBorder="1"/>
    <xf numFmtId="0" fontId="23" fillId="3" borderId="0" xfId="0" applyFont="1" applyFill="1"/>
    <xf numFmtId="0" fontId="23" fillId="0" borderId="0" xfId="0" applyFont="1" applyBorder="1"/>
    <xf numFmtId="0" fontId="23" fillId="0" borderId="0" xfId="0" applyFont="1" applyFill="1"/>
    <xf numFmtId="167" fontId="23" fillId="0" borderId="0" xfId="0" applyNumberFormat="1" applyFont="1" applyBorder="1"/>
    <xf numFmtId="0" fontId="23" fillId="3" borderId="7" xfId="0" applyFont="1" applyFill="1" applyBorder="1"/>
    <xf numFmtId="2" fontId="23" fillId="3" borderId="7" xfId="0" applyNumberFormat="1" applyFont="1" applyFill="1" applyBorder="1"/>
    <xf numFmtId="0" fontId="23" fillId="0" borderId="0" xfId="0" applyFont="1" applyFill="1" applyBorder="1"/>
    <xf numFmtId="2" fontId="23" fillId="0" borderId="0" xfId="0" applyNumberFormat="1" applyFont="1" applyFill="1" applyBorder="1"/>
    <xf numFmtId="0" fontId="23" fillId="0" borderId="13" xfId="0" applyFont="1" applyBorder="1"/>
    <xf numFmtId="0" fontId="23" fillId="3" borderId="13" xfId="0" applyFont="1" applyFill="1" applyBorder="1"/>
    <xf numFmtId="2" fontId="23" fillId="3" borderId="13" xfId="0" applyNumberFormat="1" applyFont="1" applyFill="1" applyBorder="1"/>
    <xf numFmtId="0" fontId="25" fillId="0" borderId="1" xfId="0" applyFont="1" applyBorder="1"/>
    <xf numFmtId="176" fontId="30" fillId="0" borderId="0" xfId="1" applyFill="1" applyBorder="1" applyAlignment="1" applyProtection="1"/>
    <xf numFmtId="2" fontId="23" fillId="0" borderId="0" xfId="0" applyNumberFormat="1" applyFont="1"/>
    <xf numFmtId="177" fontId="23" fillId="0" borderId="7" xfId="0" applyNumberFormat="1" applyFont="1" applyBorder="1"/>
    <xf numFmtId="177" fontId="23" fillId="0" borderId="5" xfId="0" applyNumberFormat="1" applyFont="1" applyBorder="1"/>
    <xf numFmtId="167" fontId="23" fillId="0" borderId="5" xfId="0" applyNumberFormat="1" applyFont="1" applyBorder="1"/>
    <xf numFmtId="172" fontId="23" fillId="0" borderId="0" xfId="0" applyNumberFormat="1" applyFont="1"/>
    <xf numFmtId="177" fontId="23" fillId="0" borderId="0" xfId="0" applyNumberFormat="1" applyFont="1"/>
    <xf numFmtId="173" fontId="0" fillId="0" borderId="0" xfId="0" quotePrefix="1" applyNumberFormat="1"/>
    <xf numFmtId="0" fontId="0" fillId="0" borderId="0" xfId="0" quotePrefix="1"/>
    <xf numFmtId="14" fontId="0" fillId="0" borderId="0" xfId="0" quotePrefix="1" applyNumberFormat="1"/>
    <xf numFmtId="176" fontId="30" fillId="0" borderId="0" xfId="1" applyFont="1" applyFill="1" applyBorder="1" applyAlignment="1" applyProtection="1"/>
    <xf numFmtId="176" fontId="30" fillId="0" borderId="0" xfId="1"/>
    <xf numFmtId="0" fontId="0" fillId="0" borderId="35" xfId="0" applyBorder="1"/>
    <xf numFmtId="0" fontId="0" fillId="0" borderId="5" xfId="0" applyBorder="1"/>
    <xf numFmtId="0" fontId="25" fillId="0" borderId="0" xfId="0" applyFont="1" applyBorder="1"/>
    <xf numFmtId="0" fontId="23" fillId="5" borderId="0" xfId="0" applyFont="1" applyFill="1" applyAlignment="1">
      <alignment horizontal="right"/>
    </xf>
    <xf numFmtId="0" fontId="23" fillId="0" borderId="0" xfId="0" applyFont="1" applyFill="1" applyAlignment="1">
      <alignment horizontal="right"/>
    </xf>
    <xf numFmtId="0" fontId="23" fillId="5" borderId="36" xfId="0" applyFont="1" applyFill="1" applyBorder="1"/>
    <xf numFmtId="164" fontId="23" fillId="5" borderId="36" xfId="0" applyNumberFormat="1" applyFont="1" applyFill="1" applyBorder="1"/>
    <xf numFmtId="165" fontId="30" fillId="5" borderId="36" xfId="2" applyFill="1" applyBorder="1"/>
    <xf numFmtId="0" fontId="0" fillId="2" borderId="37" xfId="0" applyFill="1" applyBorder="1"/>
    <xf numFmtId="0" fontId="17" fillId="2" borderId="10" xfId="0" applyFont="1" applyFill="1" applyBorder="1"/>
    <xf numFmtId="0" fontId="0" fillId="2" borderId="8" xfId="0" applyFont="1" applyFill="1" applyBorder="1"/>
    <xf numFmtId="0" fontId="0" fillId="2" borderId="38" xfId="0" applyFill="1" applyBorder="1"/>
    <xf numFmtId="0" fontId="0" fillId="2" borderId="39" xfId="0" applyFill="1" applyBorder="1"/>
    <xf numFmtId="0" fontId="0" fillId="2" borderId="40" xfId="0" applyFill="1" applyBorder="1"/>
    <xf numFmtId="0" fontId="0" fillId="2" borderId="41" xfId="0" applyFill="1" applyBorder="1"/>
    <xf numFmtId="0" fontId="0" fillId="2" borderId="42" xfId="0" applyFill="1" applyBorder="1"/>
    <xf numFmtId="0" fontId="0" fillId="2" borderId="43" xfId="0" applyFill="1" applyBorder="1"/>
    <xf numFmtId="14" fontId="0" fillId="0" borderId="0" xfId="0" applyNumberFormat="1"/>
    <xf numFmtId="0" fontId="23" fillId="5" borderId="0" xfId="0" applyFont="1" applyFill="1"/>
    <xf numFmtId="0" fontId="23" fillId="0" borderId="44" xfId="0" applyFont="1" applyBorder="1"/>
    <xf numFmtId="0" fontId="25" fillId="5" borderId="0" xfId="0" applyFont="1" applyFill="1"/>
    <xf numFmtId="0" fontId="23" fillId="6" borderId="0" xfId="0" applyFont="1" applyFill="1"/>
    <xf numFmtId="0" fontId="31" fillId="2" borderId="0" xfId="0" applyFont="1" applyFill="1"/>
    <xf numFmtId="0" fontId="31" fillId="0" borderId="0" xfId="0" applyFont="1"/>
    <xf numFmtId="0" fontId="23" fillId="0" borderId="45" xfId="0" applyFont="1" applyBorder="1"/>
    <xf numFmtId="0" fontId="23" fillId="0" borderId="0" xfId="0" quotePrefix="1" applyFont="1"/>
    <xf numFmtId="14" fontId="23" fillId="0" borderId="0" xfId="0" applyNumberFormat="1" applyFont="1"/>
    <xf numFmtId="0" fontId="0" fillId="2" borderId="45" xfId="0" applyFill="1" applyBorder="1"/>
    <xf numFmtId="0" fontId="18" fillId="2" borderId="45" xfId="0" applyFont="1" applyFill="1" applyBorder="1"/>
    <xf numFmtId="0" fontId="33" fillId="2" borderId="0" xfId="0" applyFont="1" applyFill="1"/>
    <xf numFmtId="0" fontId="0" fillId="0" borderId="0" xfId="0" applyAlignment="1">
      <alignment horizontal="center"/>
    </xf>
    <xf numFmtId="16" fontId="0" fillId="0" borderId="0" xfId="0" applyNumberFormat="1" applyFont="1" applyAlignment="1">
      <alignment horizontal="right"/>
    </xf>
    <xf numFmtId="178" fontId="23" fillId="0" borderId="0" xfId="0" applyNumberFormat="1" applyFont="1"/>
    <xf numFmtId="165" fontId="1" fillId="0" borderId="35" xfId="0" applyNumberFormat="1" applyFont="1" applyBorder="1"/>
    <xf numFmtId="0" fontId="34" fillId="0" borderId="0" xfId="0" applyFont="1" applyAlignment="1">
      <alignment horizontal="center"/>
    </xf>
    <xf numFmtId="0" fontId="35" fillId="0" borderId="0" xfId="0" applyFont="1" applyAlignment="1">
      <alignment horizontal="center"/>
    </xf>
    <xf numFmtId="0" fontId="0" fillId="0" borderId="46" xfId="0" applyFont="1" applyBorder="1"/>
    <xf numFmtId="0" fontId="0" fillId="0" borderId="46" xfId="0" applyBorder="1"/>
    <xf numFmtId="4" fontId="0" fillId="0" borderId="0" xfId="0" applyNumberFormat="1" applyFont="1"/>
    <xf numFmtId="0" fontId="0" fillId="0" borderId="46" xfId="0" applyFill="1" applyBorder="1"/>
    <xf numFmtId="166" fontId="0" fillId="0" borderId="0" xfId="0" applyNumberFormat="1" applyFont="1"/>
    <xf numFmtId="0" fontId="21" fillId="0" borderId="0" xfId="0" applyFont="1"/>
    <xf numFmtId="165" fontId="1" fillId="0" borderId="0" xfId="2" applyFont="1"/>
    <xf numFmtId="0" fontId="0" fillId="0" borderId="0" xfId="0" applyAlignment="1">
      <alignment horizontal="right"/>
    </xf>
    <xf numFmtId="0" fontId="1" fillId="0" borderId="0" xfId="0" applyFont="1" applyAlignment="1">
      <alignment horizontal="right"/>
    </xf>
    <xf numFmtId="14" fontId="10" fillId="0" borderId="0" xfId="0" applyNumberFormat="1" applyFont="1"/>
    <xf numFmtId="0" fontId="21" fillId="0" borderId="0" xfId="0" applyFont="1" applyBorder="1" applyAlignment="1">
      <alignment horizontal="center" vertical="center"/>
    </xf>
    <xf numFmtId="0" fontId="21" fillId="0" borderId="0" xfId="0" applyFont="1" applyBorder="1" applyAlignment="1">
      <alignment horizontal="center"/>
    </xf>
    <xf numFmtId="0" fontId="21" fillId="0" borderId="0" xfId="0" applyFont="1" applyAlignment="1">
      <alignment horizontal="center" vertical="center"/>
    </xf>
    <xf numFmtId="165" fontId="1" fillId="0" borderId="44" xfId="2" applyFont="1" applyBorder="1"/>
    <xf numFmtId="176" fontId="1" fillId="0" borderId="0" xfId="1" applyFont="1"/>
  </cellXfs>
  <cellStyles count="5">
    <cellStyle name="Comma" xfId="1" builtinId="3"/>
    <cellStyle name="Currency" xfId="2" builtinId="4"/>
    <cellStyle name="Excel Built-in Result2" xfId="3"/>
    <cellStyle name="Normal" xfId="0" builtinId="0"/>
    <cellStyle name="Percent"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9001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B613D"/>
      <rgbColor rgb="00666699"/>
      <rgbColor rgb="00969696"/>
      <rgbColor rgb="00003366"/>
      <rgbColor rgb="00339966"/>
      <rgbColor rgb="00003300"/>
      <rgbColor rgb="00333300"/>
      <rgbColor rgb="00993300"/>
      <rgbColor rgb="00993366"/>
      <rgbColor rgb="00333399"/>
      <rgbColor rgb="003C3C3C"/>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U65536"/>
  <sheetViews>
    <sheetView tabSelected="1" zoomScale="106" zoomScaleNormal="106" workbookViewId="0">
      <pane ySplit="555" topLeftCell="A7" activePane="bottomLeft"/>
      <selection activeCell="R1" sqref="R1:R1048576"/>
      <selection pane="bottomLeft" activeCell="D25" sqref="D25"/>
    </sheetView>
  </sheetViews>
  <sheetFormatPr defaultColWidth="8.5703125" defaultRowHeight="12.75"/>
  <cols>
    <col min="1" max="1" width="21.28515625" style="1" customWidth="1"/>
    <col min="2" max="2" width="5.28515625" style="1" customWidth="1"/>
    <col min="3" max="6" width="18.5703125" style="1" customWidth="1"/>
    <col min="7" max="7" width="17.5703125" style="1" customWidth="1"/>
    <col min="8" max="8" width="16.85546875" style="1" customWidth="1"/>
    <col min="9" max="9" width="16" style="1" customWidth="1"/>
    <col min="10" max="11" width="15.5703125" style="1" customWidth="1"/>
    <col min="12" max="255" width="9.42578125" style="1" customWidth="1"/>
  </cols>
  <sheetData>
    <row r="1" spans="1:9" ht="13.5" customHeight="1">
      <c r="A1" s="2" t="s">
        <v>0</v>
      </c>
      <c r="B1" s="2"/>
      <c r="C1" s="3">
        <v>2012</v>
      </c>
      <c r="D1" s="2"/>
    </row>
    <row r="2" spans="1:9">
      <c r="A2" s="2" t="s">
        <v>1</v>
      </c>
      <c r="B2" s="4" t="s">
        <v>787</v>
      </c>
      <c r="C2" s="2" t="s">
        <v>2</v>
      </c>
      <c r="D2" s="2"/>
    </row>
    <row r="3" spans="1:9">
      <c r="A3" s="2"/>
      <c r="B3" s="4" t="s">
        <v>787</v>
      </c>
      <c r="C3" s="2" t="s">
        <v>3</v>
      </c>
      <c r="D3" s="2"/>
    </row>
    <row r="4" spans="1:9">
      <c r="A4" s="2"/>
      <c r="B4" s="4" t="s">
        <v>786</v>
      </c>
      <c r="C4" s="2" t="s">
        <v>4</v>
      </c>
      <c r="D4" s="2"/>
    </row>
    <row r="5" spans="1:9">
      <c r="A5" s="2"/>
      <c r="B5" s="4"/>
      <c r="C5" s="2" t="s">
        <v>5</v>
      </c>
      <c r="D5" s="2"/>
    </row>
    <row r="6" spans="1:9">
      <c r="A6" s="2"/>
      <c r="B6" s="4"/>
      <c r="D6" s="2"/>
    </row>
    <row r="7" spans="1:9">
      <c r="A7" s="2"/>
      <c r="B7" s="2"/>
      <c r="C7" s="2"/>
      <c r="D7" s="2"/>
    </row>
    <row r="8" spans="1:9">
      <c r="A8" s="2" t="s">
        <v>6</v>
      </c>
      <c r="B8" s="2"/>
    </row>
    <row r="9" spans="1:9" s="5" customFormat="1">
      <c r="C9" s="5" t="s">
        <v>7</v>
      </c>
      <c r="D9" s="5" t="s">
        <v>8</v>
      </c>
      <c r="E9" s="5" t="s">
        <v>9</v>
      </c>
      <c r="F9" s="228" t="s">
        <v>768</v>
      </c>
      <c r="G9" s="5" t="s">
        <v>10</v>
      </c>
      <c r="H9" s="5" t="s">
        <v>11</v>
      </c>
    </row>
    <row r="10" spans="1:9">
      <c r="A10" s="6" t="s">
        <v>12</v>
      </c>
      <c r="B10" s="6"/>
      <c r="C10" s="7">
        <f>Jan!$E$25</f>
        <v>2661.8000000000015</v>
      </c>
      <c r="D10" s="7">
        <f>Jan!$D$19</f>
        <v>0</v>
      </c>
      <c r="E10" s="7">
        <f>Jan!B4</f>
        <v>9678.8000000000011</v>
      </c>
      <c r="F10" s="7">
        <f>Jan!B13</f>
        <v>1050</v>
      </c>
      <c r="G10" s="7">
        <f>Jan!D27</f>
        <v>5022</v>
      </c>
      <c r="H10" s="7">
        <f>Jan!B11</f>
        <v>945</v>
      </c>
      <c r="I10" t="s">
        <v>13</v>
      </c>
    </row>
    <row r="11" spans="1:9">
      <c r="A11" s="6" t="s">
        <v>14</v>
      </c>
      <c r="B11" s="6"/>
      <c r="C11" s="7">
        <f>Feb!$E$25</f>
        <v>2123.27</v>
      </c>
      <c r="D11" s="7">
        <f>Feb!$D$19</f>
        <v>0</v>
      </c>
      <c r="E11" s="7">
        <f>Feb!B4</f>
        <v>6235.5</v>
      </c>
      <c r="F11" s="7">
        <f>Feb!B13</f>
        <v>1050</v>
      </c>
      <c r="G11" s="7">
        <f>Feb!D27</f>
        <v>2152.23</v>
      </c>
      <c r="H11" s="7">
        <f>Feb!B11</f>
        <v>910</v>
      </c>
    </row>
    <row r="12" spans="1:9">
      <c r="A12" s="6" t="s">
        <v>15</v>
      </c>
      <c r="B12" s="6"/>
      <c r="C12" s="7">
        <f>Mar!$E$25</f>
        <v>3590.4199999999996</v>
      </c>
      <c r="D12" s="7">
        <f>Mar!$D$19</f>
        <v>0</v>
      </c>
      <c r="E12" s="7">
        <f>Mar!B4</f>
        <v>9634.51</v>
      </c>
      <c r="F12" s="7">
        <f>Mar!B13</f>
        <v>1050</v>
      </c>
      <c r="G12" s="7">
        <f>Mar!$D$27</f>
        <v>3983.09</v>
      </c>
      <c r="H12" s="7">
        <f>Mar!B11</f>
        <v>1011</v>
      </c>
      <c r="I12" t="s">
        <v>16</v>
      </c>
    </row>
    <row r="13" spans="1:9">
      <c r="A13" s="6" t="s">
        <v>17</v>
      </c>
      <c r="B13" s="6"/>
      <c r="C13" s="7">
        <f>Apr!$E$25</f>
        <v>4010.4</v>
      </c>
      <c r="D13" s="7">
        <f>Apr!$D$19</f>
        <v>0</v>
      </c>
      <c r="E13" s="7">
        <f>Apr!B4</f>
        <v>10099</v>
      </c>
      <c r="F13" s="7">
        <f>Apr!B13</f>
        <v>1050</v>
      </c>
      <c r="G13" s="7">
        <f>Apr!$D$27</f>
        <v>3968.5999999999995</v>
      </c>
      <c r="H13" s="7">
        <f>Apr!B11</f>
        <v>1070</v>
      </c>
    </row>
    <row r="14" spans="1:9">
      <c r="A14" s="6" t="s">
        <v>18</v>
      </c>
      <c r="B14" s="6"/>
      <c r="C14" s="7">
        <f>May!$E$25</f>
        <v>8252.51</v>
      </c>
      <c r="D14" s="7">
        <f>May!$D$19</f>
        <v>8337</v>
      </c>
      <c r="E14" s="7">
        <f>May!B4</f>
        <v>6324.75</v>
      </c>
      <c r="F14" s="7">
        <f>May!B13</f>
        <v>1050</v>
      </c>
      <c r="G14" s="7">
        <f>May!$D$27</f>
        <v>4469.24</v>
      </c>
      <c r="H14" s="7">
        <f>May!B11</f>
        <v>890</v>
      </c>
      <c r="I14" t="s">
        <v>710</v>
      </c>
    </row>
    <row r="15" spans="1:9">
      <c r="A15" s="6" t="s">
        <v>19</v>
      </c>
      <c r="B15" s="6"/>
      <c r="C15" s="7">
        <f>Jun!$E$25</f>
        <v>2447.3000000000006</v>
      </c>
      <c r="D15" s="7">
        <f>Jun!$D$19</f>
        <v>0</v>
      </c>
      <c r="E15" s="7">
        <f>Jun!B4</f>
        <v>9614.4599999999991</v>
      </c>
      <c r="F15" s="7">
        <f>Jun!B13</f>
        <v>6719</v>
      </c>
      <c r="G15" s="7">
        <f>Jun!$D$27</f>
        <v>3977.1599999999989</v>
      </c>
      <c r="H15" s="7">
        <f>Jun!B11</f>
        <v>940</v>
      </c>
      <c r="I15" t="s">
        <v>20</v>
      </c>
    </row>
    <row r="16" spans="1:9">
      <c r="A16" s="6" t="s">
        <v>21</v>
      </c>
      <c r="B16" s="6"/>
      <c r="C16" s="7">
        <f>July!$E$25</f>
        <v>4572.4799999999996</v>
      </c>
      <c r="D16" s="7">
        <f>July!$D$19</f>
        <v>3258.21</v>
      </c>
      <c r="E16" s="7">
        <f>July!B4</f>
        <v>6844.21</v>
      </c>
      <c r="F16" s="7">
        <f>July!B13</f>
        <v>1250</v>
      </c>
      <c r="G16" s="7">
        <f>July!$D$27</f>
        <v>3059.9400000000005</v>
      </c>
      <c r="H16" s="7">
        <f>July!B11</f>
        <v>1220</v>
      </c>
      <c r="I16" t="s">
        <v>22</v>
      </c>
    </row>
    <row r="17" spans="1:11">
      <c r="A17" s="6" t="s">
        <v>23</v>
      </c>
      <c r="B17" s="6"/>
      <c r="C17" s="7">
        <f>Aug!$E$25</f>
        <v>2058.6099999999988</v>
      </c>
      <c r="D17" s="7">
        <f>Aug!$D$19</f>
        <v>0</v>
      </c>
      <c r="E17" s="7">
        <f>Aug!B4</f>
        <v>7987.7999999999993</v>
      </c>
      <c r="F17" s="7">
        <f>Aug!B13</f>
        <v>1250</v>
      </c>
      <c r="G17" s="7">
        <f>Aug!$D$27</f>
        <v>3639.1900000000005</v>
      </c>
      <c r="H17" s="7">
        <f>Aug!B11</f>
        <v>1040</v>
      </c>
    </row>
    <row r="18" spans="1:11">
      <c r="A18" s="6" t="s">
        <v>24</v>
      </c>
      <c r="B18" s="6"/>
      <c r="C18" s="7">
        <f>Sep!$E$25</f>
        <v>-485.36000000000058</v>
      </c>
      <c r="D18" s="7">
        <f>Sep!$D$19</f>
        <v>0</v>
      </c>
      <c r="E18" s="7">
        <f>Sep!B4</f>
        <v>7159.5099999999993</v>
      </c>
      <c r="F18" s="7">
        <f>Sep!B13</f>
        <v>1250</v>
      </c>
      <c r="G18" s="7">
        <f>Sep!$D$27</f>
        <v>5404.87</v>
      </c>
      <c r="H18" s="7">
        <f>Sep!B11</f>
        <v>990</v>
      </c>
    </row>
    <row r="19" spans="1:11">
      <c r="A19" s="6" t="s">
        <v>25</v>
      </c>
      <c r="B19" s="6"/>
      <c r="C19" s="7">
        <f>Oct!$E$25</f>
        <v>439.16999999999916</v>
      </c>
      <c r="D19" s="7">
        <f>Oct!$D$19</f>
        <v>0</v>
      </c>
      <c r="E19" s="7">
        <f>Oct!B4</f>
        <v>7159.5099999999993</v>
      </c>
      <c r="F19" s="7">
        <f>Oct!B13</f>
        <v>1250</v>
      </c>
      <c r="G19" s="7">
        <f>Oct!$D$27</f>
        <v>4500.34</v>
      </c>
      <c r="H19" s="7">
        <f>Oct!B11</f>
        <v>970</v>
      </c>
    </row>
    <row r="20" spans="1:11">
      <c r="A20" s="6" t="s">
        <v>26</v>
      </c>
      <c r="B20" s="6"/>
      <c r="C20" s="7">
        <f>Nov!$E$25</f>
        <v>7452.2499999999991</v>
      </c>
      <c r="D20" s="7">
        <f>Nov!$D$19</f>
        <v>0</v>
      </c>
      <c r="E20" s="7">
        <f>Nov!B4</f>
        <v>14310.77</v>
      </c>
      <c r="F20" s="7">
        <f>Nov!B13</f>
        <v>1250</v>
      </c>
      <c r="G20" s="7">
        <f>Nov!$D$27</f>
        <v>5018.5200000000004</v>
      </c>
      <c r="H20" s="7">
        <f>Nov!B11</f>
        <v>590</v>
      </c>
    </row>
    <row r="21" spans="1:11">
      <c r="A21" s="6" t="s">
        <v>27</v>
      </c>
      <c r="B21" s="6"/>
      <c r="C21" s="7">
        <f>Dec!$E$25</f>
        <v>5649.9400000000005</v>
      </c>
      <c r="D21" s="7">
        <f>Dec!$D$19</f>
        <v>0</v>
      </c>
      <c r="E21" s="7">
        <f>Dec!B4</f>
        <v>14795.880000000001</v>
      </c>
      <c r="F21" s="7">
        <f>Dec!B13</f>
        <v>1250</v>
      </c>
      <c r="G21" s="7">
        <f>Dec!$D$27</f>
        <v>6305.9400000000005</v>
      </c>
      <c r="H21" s="7">
        <f>Dec!B11</f>
        <v>1590</v>
      </c>
      <c r="I21" t="s">
        <v>22</v>
      </c>
    </row>
    <row r="23" spans="1:11" ht="13.5" thickBot="1">
      <c r="A23" s="229" t="s">
        <v>91</v>
      </c>
      <c r="C23" s="8">
        <f t="shared" ref="C23:H23" si="0">SUM(C10:C21)</f>
        <v>42772.79</v>
      </c>
      <c r="D23" s="8">
        <f t="shared" si="0"/>
        <v>11595.21</v>
      </c>
      <c r="E23" s="8">
        <f t="shared" si="0"/>
        <v>109844.7</v>
      </c>
      <c r="F23" s="8">
        <f t="shared" si="0"/>
        <v>19469</v>
      </c>
      <c r="G23" s="231">
        <f t="shared" si="0"/>
        <v>51501.12000000001</v>
      </c>
      <c r="H23" s="8">
        <f t="shared" si="0"/>
        <v>12166</v>
      </c>
      <c r="I23" s="9">
        <f>H23/E23</f>
        <v>0.11075636785388826</v>
      </c>
      <c r="J23" s="1" t="s">
        <v>28</v>
      </c>
    </row>
    <row r="24" spans="1:11" ht="13.5" thickTop="1">
      <c r="C24" s="7"/>
      <c r="G24" s="10">
        <f>Saving!O58</f>
        <v>7500</v>
      </c>
      <c r="H24" t="s">
        <v>765</v>
      </c>
      <c r="I24" s="11">
        <f>G24/E23</f>
        <v>6.8278214606621895E-2</v>
      </c>
      <c r="J24" s="1" t="s">
        <v>29</v>
      </c>
    </row>
    <row r="25" spans="1:11">
      <c r="A25" t="s">
        <v>762</v>
      </c>
      <c r="C25" s="7">
        <f>34011.62-2000</f>
        <v>32011.620000000003</v>
      </c>
      <c r="D25" s="1">
        <v>0</v>
      </c>
      <c r="G25" s="197">
        <v>2000</v>
      </c>
      <c r="H25" t="s">
        <v>766</v>
      </c>
      <c r="I25" s="11">
        <f>G26/E23</f>
        <v>0.38236819801046396</v>
      </c>
      <c r="J25" s="1" t="s">
        <v>30</v>
      </c>
    </row>
    <row r="26" spans="1:11" ht="13.5" thickBot="1">
      <c r="G26" s="8">
        <f>G23-G24-G25</f>
        <v>42001.12000000001</v>
      </c>
    </row>
    <row r="27" spans="1:11" ht="13.5" thickTop="1">
      <c r="A27" t="s">
        <v>763</v>
      </c>
      <c r="C27" s="7">
        <f>C23-C25</f>
        <v>10761.169999999998</v>
      </c>
      <c r="D27" s="7"/>
      <c r="G27" s="12">
        <f>G26/12</f>
        <v>3500.0933333333342</v>
      </c>
      <c r="H27" t="s">
        <v>767</v>
      </c>
    </row>
    <row r="28" spans="1:11">
      <c r="G28" s="7">
        <f>G23/12</f>
        <v>4291.7600000000011</v>
      </c>
      <c r="H28" s="1" t="s">
        <v>31</v>
      </c>
    </row>
    <row r="31" spans="1:11">
      <c r="K31" t="s">
        <v>785</v>
      </c>
    </row>
    <row r="32" spans="1:11">
      <c r="A32" s="2" t="s">
        <v>32</v>
      </c>
      <c r="B32" s="2"/>
      <c r="C32" t="s">
        <v>807</v>
      </c>
      <c r="D32" s="234" t="s">
        <v>33</v>
      </c>
      <c r="E32" s="235" t="s">
        <v>777</v>
      </c>
      <c r="F32" s="235" t="s">
        <v>778</v>
      </c>
      <c r="G32" s="235" t="s">
        <v>779</v>
      </c>
      <c r="H32" s="235" t="s">
        <v>781</v>
      </c>
      <c r="I32" s="235" t="s">
        <v>780</v>
      </c>
      <c r="J32" s="237" t="s">
        <v>783</v>
      </c>
      <c r="K32" s="234" t="s">
        <v>782</v>
      </c>
    </row>
    <row r="33" spans="1:11">
      <c r="A33" s="1" t="s">
        <v>34</v>
      </c>
      <c r="D33" s="10">
        <f>Jan!G5+Feb!G5+Mar!G5+Apr!G5+May!G5+Jun!G5+July!G5+Aug!G5+Sep!G5+Oct!G5+Nov!G5+Dec!G5</f>
        <v>86060.099999999991</v>
      </c>
      <c r="E33" s="1">
        <f>72458.81+42734.6</f>
        <v>115193.41</v>
      </c>
      <c r="F33" s="1">
        <f>9627.14+5513.92</f>
        <v>15141.06</v>
      </c>
      <c r="G33" s="1">
        <f>1917.85+3500.8</f>
        <v>5418.65</v>
      </c>
      <c r="H33" s="1">
        <f>1208.61+662.11</f>
        <v>1870.7199999999998</v>
      </c>
      <c r="I33" s="1">
        <f>2164.73+3730.16</f>
        <v>5894.8899999999994</v>
      </c>
      <c r="J33" s="1">
        <f>E33-F33-G33-H33-I33</f>
        <v>86868.090000000011</v>
      </c>
      <c r="K33" s="236">
        <f>J33-D33</f>
        <v>807.99000000001979</v>
      </c>
    </row>
    <row r="34" spans="1:11">
      <c r="A34" s="1" t="s">
        <v>35</v>
      </c>
      <c r="D34" s="10">
        <f>SUM(C35:C38)</f>
        <v>23784.6</v>
      </c>
      <c r="K34" s="236"/>
    </row>
    <row r="35" spans="1:11">
      <c r="A35" s="5" t="s">
        <v>36</v>
      </c>
      <c r="B35" s="5"/>
      <c r="C35" s="10">
        <f>Jan!G6+Feb!G6+Mar!G6+Apr!G6+May!G6+Jun!G6+July!G6+Aug!G6+Sep!G6+Oct!G6+Nov!G6+Dec!G6</f>
        <v>2077.87</v>
      </c>
      <c r="E35" s="1">
        <v>2205</v>
      </c>
      <c r="F35" s="1">
        <v>0</v>
      </c>
      <c r="G35" s="1">
        <v>94.5</v>
      </c>
      <c r="H35" s="1">
        <v>32.630000000000003</v>
      </c>
      <c r="I35" s="1">
        <v>0</v>
      </c>
      <c r="J35" s="1">
        <f t="shared" ref="J35:J37" si="1">E35-F35-G35-H35-I35</f>
        <v>2077.87</v>
      </c>
      <c r="K35" s="236">
        <f>J35-C35</f>
        <v>0</v>
      </c>
    </row>
    <row r="36" spans="1:11">
      <c r="A36" s="228" t="s">
        <v>735</v>
      </c>
      <c r="B36" s="5"/>
      <c r="C36" s="10">
        <f>Jan!G7+Feb!G7+Mar!G7+Apr!G7+May!G7+Jun!G7+July!G7+Aug!G7+Sep!G7+Oct!G7+Nov!G7+Dec!G7</f>
        <v>19159.3</v>
      </c>
      <c r="E36" s="1">
        <v>21000</v>
      </c>
      <c r="F36" s="1">
        <v>654.20000000000005</v>
      </c>
      <c r="G36" s="1">
        <v>882</v>
      </c>
      <c r="H36" s="1">
        <v>304.5</v>
      </c>
      <c r="I36" s="1">
        <v>0</v>
      </c>
      <c r="J36" s="1">
        <f t="shared" si="1"/>
        <v>19159.3</v>
      </c>
      <c r="K36" s="236">
        <f t="shared" ref="K36:K37" si="2">J36-C36</f>
        <v>0</v>
      </c>
    </row>
    <row r="37" spans="1:11">
      <c r="A37" s="5" t="s">
        <v>37</v>
      </c>
      <c r="B37" s="5"/>
      <c r="C37" s="10">
        <f>Jan!G8+Feb!G8+Mar!G8+Apr!G8+May!G8+Jun!G8+July!G8+Aug!G8+Sep!G8+Oct!G8+Nov!G8+Dec!G8</f>
        <v>2547.4300000000003</v>
      </c>
      <c r="E37" s="1">
        <v>2700</v>
      </c>
      <c r="F37" s="1">
        <v>0</v>
      </c>
      <c r="G37" s="1">
        <v>113.4</v>
      </c>
      <c r="H37" s="1">
        <v>39.15</v>
      </c>
      <c r="I37" s="1">
        <v>0</v>
      </c>
      <c r="J37" s="1">
        <f t="shared" si="1"/>
        <v>2547.4499999999998</v>
      </c>
      <c r="K37" s="236">
        <f t="shared" si="2"/>
        <v>1.9999999999527063E-2</v>
      </c>
    </row>
    <row r="38" spans="1:11">
      <c r="A38" s="5"/>
      <c r="B38" s="5"/>
      <c r="C38" s="10"/>
    </row>
    <row r="39" spans="1:11" ht="13.5" thickBot="1">
      <c r="C39" s="1" t="s">
        <v>38</v>
      </c>
      <c r="D39" s="13">
        <f>SUM(D33:D34)</f>
        <v>109844.69999999998</v>
      </c>
      <c r="E39" s="13">
        <f>SUM(E33:E37)</f>
        <v>141098.41</v>
      </c>
      <c r="F39" s="13">
        <f t="shared" ref="F39:K39" si="3">SUM(F33:F37)</f>
        <v>15795.26</v>
      </c>
      <c r="G39" s="13">
        <f t="shared" si="3"/>
        <v>6508.5499999999993</v>
      </c>
      <c r="H39" s="13">
        <f t="shared" si="3"/>
        <v>2247</v>
      </c>
      <c r="I39" s="13">
        <f t="shared" si="3"/>
        <v>5894.8899999999994</v>
      </c>
      <c r="J39" s="13">
        <f t="shared" si="3"/>
        <v>110652.71</v>
      </c>
      <c r="K39" s="13">
        <f t="shared" si="3"/>
        <v>808.01000000001932</v>
      </c>
    </row>
    <row r="40" spans="1:11" ht="13.5" thickTop="1"/>
    <row r="41" spans="1:11">
      <c r="G41" s="1">
        <v>-4624.2</v>
      </c>
    </row>
    <row r="42" spans="1:11">
      <c r="D42" t="s">
        <v>784</v>
      </c>
      <c r="E42" s="1">
        <f>SUM(E35:E37)</f>
        <v>25905</v>
      </c>
      <c r="G42" s="238">
        <f>SUM(G39:G41)</f>
        <v>1884.3499999999995</v>
      </c>
    </row>
    <row r="44" spans="1:11">
      <c r="E44" s="38">
        <f>E42/E39</f>
        <v>0.18359526517697825</v>
      </c>
    </row>
    <row r="65536" ht="13.5" customHeight="1"/>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dimension ref="A1:S98"/>
  <sheetViews>
    <sheetView topLeftCell="A43" zoomScale="84" zoomScaleNormal="84" workbookViewId="0">
      <pane ySplit="1" activePane="bottomLeft"/>
      <selection activeCell="N2" sqref="N2"/>
      <selection pane="bottomLeft" activeCell="K50" sqref="K50"/>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449</v>
      </c>
      <c r="L1" s="137">
        <f>N2+N3+N4</f>
        <v>2217.37</v>
      </c>
    </row>
    <row r="2" spans="1:16">
      <c r="A2" s="138" t="s">
        <v>331</v>
      </c>
      <c r="B2" s="137" t="s">
        <v>19</v>
      </c>
      <c r="C2" s="141"/>
      <c r="J2" s="137" t="s">
        <v>549</v>
      </c>
      <c r="N2" s="137">
        <f>B84</f>
        <v>345.78000000000003</v>
      </c>
    </row>
    <row r="3" spans="1:16">
      <c r="J3" s="137" t="s">
        <v>550</v>
      </c>
      <c r="N3" s="137">
        <f>577.04</f>
        <v>577.04</v>
      </c>
    </row>
    <row r="4" spans="1:16">
      <c r="A4" s="138" t="s">
        <v>9</v>
      </c>
      <c r="B4" s="143">
        <f>SUM(G5:G9)</f>
        <v>9614.4599999999991</v>
      </c>
      <c r="C4" s="143"/>
      <c r="G4" s="137" t="s">
        <v>185</v>
      </c>
      <c r="J4" s="137" t="s">
        <v>604</v>
      </c>
      <c r="N4" s="137">
        <f>866.8+427.75</f>
        <v>1294.55</v>
      </c>
      <c r="O4" s="142"/>
    </row>
    <row r="5" spans="1:16">
      <c r="B5" s="137" t="s">
        <v>34</v>
      </c>
      <c r="D5" s="137">
        <v>3162.38</v>
      </c>
      <c r="E5" s="137">
        <v>3227.12</v>
      </c>
      <c r="F5" s="137">
        <v>3224.96</v>
      </c>
      <c r="G5" s="144">
        <f>SUM(D5:F5)</f>
        <v>9614.4599999999991</v>
      </c>
      <c r="H5" s="144"/>
      <c r="I5" s="144"/>
      <c r="J5" s="144"/>
      <c r="O5" s="142"/>
    </row>
    <row r="6" spans="1:16">
      <c r="B6" s="137" t="s">
        <v>36</v>
      </c>
      <c r="D6" s="142"/>
      <c r="E6" s="137">
        <v>0</v>
      </c>
      <c r="G6" s="144">
        <f>SUM(D6:F6)</f>
        <v>0</v>
      </c>
      <c r="H6" s="144"/>
      <c r="I6" s="144"/>
      <c r="J6" s="144"/>
      <c r="O6" s="142"/>
    </row>
    <row r="7" spans="1:16">
      <c r="B7" s="137" t="s">
        <v>397</v>
      </c>
      <c r="G7" s="144">
        <f>SUM(D7:F7)</f>
        <v>0</v>
      </c>
      <c r="H7" s="144"/>
      <c r="I7" s="144"/>
      <c r="J7" s="144"/>
      <c r="O7" s="142"/>
    </row>
    <row r="8" spans="1:16">
      <c r="B8" s="137" t="s">
        <v>37</v>
      </c>
      <c r="D8" s="137">
        <v>0</v>
      </c>
      <c r="G8" s="144">
        <f>SUM(D8:F8)</f>
        <v>0</v>
      </c>
      <c r="H8" s="144"/>
      <c r="I8" s="144"/>
      <c r="J8" s="144"/>
      <c r="O8" s="142"/>
    </row>
    <row r="9" spans="1:16">
      <c r="P9" s="142"/>
    </row>
    <row r="11" spans="1:16">
      <c r="A11" s="138" t="s">
        <v>11</v>
      </c>
      <c r="B11" s="143">
        <f>Tithe!D11</f>
        <v>940</v>
      </c>
      <c r="C11" s="143"/>
      <c r="D11" s="137" t="s">
        <v>187</v>
      </c>
      <c r="E11" s="145">
        <f>B11/B4</f>
        <v>9.7769401505648793E-2</v>
      </c>
    </row>
    <row r="12" spans="1:16">
      <c r="A12" s="138"/>
      <c r="B12" s="143"/>
      <c r="C12" s="143"/>
      <c r="E12" s="145"/>
    </row>
    <row r="13" spans="1:16">
      <c r="A13" s="138" t="s">
        <v>403</v>
      </c>
      <c r="B13" s="146">
        <f>SUM(D14:D17)+SUM(E14:E17)</f>
        <v>6719</v>
      </c>
      <c r="E13" s="137" t="s">
        <v>404</v>
      </c>
    </row>
    <row r="14" spans="1:16" ht="12.75">
      <c r="A14" s="137"/>
      <c r="B14" s="141" t="s">
        <v>405</v>
      </c>
      <c r="C14" s="141"/>
      <c r="D14" s="146">
        <v>750</v>
      </c>
      <c r="E14" s="137">
        <v>4469</v>
      </c>
    </row>
    <row r="15" spans="1:16">
      <c r="A15" s="138"/>
      <c r="B15" s="141" t="s">
        <v>406</v>
      </c>
      <c r="C15" s="141"/>
      <c r="D15" s="146">
        <f>200+500</f>
        <v>700</v>
      </c>
    </row>
    <row r="16" spans="1:16">
      <c r="A16" s="138"/>
      <c r="B16" s="141" t="s">
        <v>407</v>
      </c>
      <c r="C16" s="141"/>
      <c r="D16" s="146">
        <f>200+500</f>
        <v>700</v>
      </c>
    </row>
    <row r="17" spans="1:19">
      <c r="A17" s="138"/>
      <c r="B17" s="141" t="s">
        <v>408</v>
      </c>
      <c r="C17" s="141"/>
      <c r="D17" s="146">
        <v>100</v>
      </c>
    </row>
    <row r="18" spans="1:19">
      <c r="A18" s="138"/>
      <c r="B18" s="141"/>
      <c r="C18" s="141"/>
      <c r="D18" s="146"/>
    </row>
    <row r="19" spans="1:19">
      <c r="A19" s="138" t="s">
        <v>409</v>
      </c>
      <c r="E19" s="137" t="s">
        <v>551</v>
      </c>
    </row>
    <row r="20" spans="1:19">
      <c r="B20" s="141"/>
    </row>
    <row r="21" spans="1:19">
      <c r="A21" s="138" t="s">
        <v>410</v>
      </c>
      <c r="B21" s="137">
        <f>SUM(E21:E22)</f>
        <v>3172.7718</v>
      </c>
      <c r="C21" s="137" t="s">
        <v>411</v>
      </c>
      <c r="D21" s="144"/>
      <c r="E21" s="137">
        <f>0.33*G5</f>
        <v>3172.7718</v>
      </c>
      <c r="F21" s="137" t="s">
        <v>412</v>
      </c>
    </row>
    <row r="22" spans="1:19">
      <c r="C22" s="137" t="s">
        <v>413</v>
      </c>
      <c r="D22" s="144"/>
      <c r="E22" s="137">
        <f>SUM(G6:G8)</f>
        <v>0</v>
      </c>
      <c r="F22" s="137" t="s">
        <v>458</v>
      </c>
    </row>
    <row r="23" spans="1:19">
      <c r="E23" s="144"/>
    </row>
    <row r="24" spans="1:19">
      <c r="A24" s="147" t="s">
        <v>415</v>
      </c>
      <c r="B24" s="148"/>
      <c r="C24" s="148"/>
      <c r="E24" s="149">
        <f>B4-B11-B13+D19-E21-E22</f>
        <v>-1217.3118000000009</v>
      </c>
      <c r="F24" s="137" t="s">
        <v>416</v>
      </c>
      <c r="G24" s="146">
        <f>E24-D27</f>
        <v>-5194.4717999999993</v>
      </c>
    </row>
    <row r="25" spans="1:19">
      <c r="A25" s="147" t="s">
        <v>417</v>
      </c>
      <c r="B25" s="148"/>
      <c r="C25" s="148"/>
      <c r="E25" s="149">
        <f>SUM(E21:E22)+G24+4469</f>
        <v>2447.3000000000006</v>
      </c>
      <c r="F25" s="137" t="s">
        <v>418</v>
      </c>
      <c r="G25" s="150">
        <f>E25/B4</f>
        <v>0.25454367691997271</v>
      </c>
      <c r="H25" s="137" t="s">
        <v>419</v>
      </c>
      <c r="L25" s="137">
        <f>L26-200-K26</f>
        <v>0</v>
      </c>
    </row>
    <row r="26" spans="1:19">
      <c r="A26" s="138"/>
      <c r="B26" s="148"/>
      <c r="C26" s="148"/>
      <c r="E26" s="149"/>
      <c r="K26" s="137">
        <f>3267.66</f>
        <v>3267.66</v>
      </c>
      <c r="L26" s="137">
        <f>K27+L27</f>
        <v>3467.6599999999989</v>
      </c>
    </row>
    <row r="27" spans="1:19">
      <c r="A27" s="138" t="s">
        <v>420</v>
      </c>
      <c r="D27" s="146">
        <f>J27+K27+L27</f>
        <v>3977.1599999999989</v>
      </c>
      <c r="F27" s="137">
        <f>SUM(F30:F98)</f>
        <v>3977.1599999999989</v>
      </c>
      <c r="G27" s="137">
        <f>SUM(G30:G98)</f>
        <v>2350</v>
      </c>
      <c r="H27" s="137">
        <f>SUM(H30:H98)</f>
        <v>-1627.1600000000003</v>
      </c>
      <c r="J27" s="137">
        <f>SUM(J30:J98)</f>
        <v>509.5</v>
      </c>
      <c r="K27" s="137">
        <f>SUM(K30:K98)</f>
        <v>2743.7099999999991</v>
      </c>
      <c r="L27" s="137">
        <f>SUM(L30:L98)</f>
        <v>723.95</v>
      </c>
    </row>
    <row r="28" spans="1:19">
      <c r="A28" s="138"/>
      <c r="B28" s="141"/>
      <c r="D28" s="144"/>
      <c r="K28" s="137" t="s">
        <v>552</v>
      </c>
    </row>
    <row r="29" spans="1:19" ht="12.75">
      <c r="A29" s="141"/>
      <c r="B29" s="143"/>
      <c r="F29" s="154" t="s">
        <v>426</v>
      </c>
      <c r="G29" s="137" t="s">
        <v>427</v>
      </c>
      <c r="H29" s="154" t="s">
        <v>487</v>
      </c>
      <c r="J29" s="155" t="s">
        <v>428</v>
      </c>
      <c r="K29" s="156" t="s">
        <v>429</v>
      </c>
      <c r="L29" s="156" t="s">
        <v>430</v>
      </c>
      <c r="S29" s="154"/>
    </row>
    <row r="30" spans="1:19" ht="12.75">
      <c r="A30" s="141" t="s">
        <v>105</v>
      </c>
      <c r="B30" s="141">
        <f>F30</f>
        <v>0</v>
      </c>
      <c r="C30" s="137" t="s">
        <v>106</v>
      </c>
      <c r="F30" s="137">
        <f>SUM(J30:L30)</f>
        <v>0</v>
      </c>
      <c r="G30" s="137">
        <f>0</f>
        <v>0</v>
      </c>
      <c r="H30" s="137">
        <f>G30-F30</f>
        <v>0</v>
      </c>
      <c r="J30" s="157"/>
      <c r="K30" s="157"/>
      <c r="L30" s="157"/>
    </row>
    <row r="31" spans="1:19" ht="12.75">
      <c r="A31" s="137"/>
      <c r="J31" s="157"/>
      <c r="K31" s="157"/>
      <c r="L31" s="157"/>
    </row>
    <row r="32" spans="1:19" ht="12.75">
      <c r="A32" s="141" t="s">
        <v>107</v>
      </c>
      <c r="B32" s="141">
        <f>SUM(F33:F36)</f>
        <v>155.5</v>
      </c>
      <c r="C32" s="141">
        <f>SUM(G33:G36)</f>
        <v>340</v>
      </c>
      <c r="D32" s="141">
        <f>C32-B32</f>
        <v>184.5</v>
      </c>
      <c r="J32" s="157"/>
      <c r="K32" s="157"/>
      <c r="L32" s="157"/>
    </row>
    <row r="33" spans="1:12">
      <c r="B33" s="137" t="s">
        <v>54</v>
      </c>
      <c r="C33" s="137" t="s">
        <v>55</v>
      </c>
      <c r="F33" s="137">
        <f>SUM(J33:L33)</f>
        <v>57.5</v>
      </c>
      <c r="G33" s="137">
        <v>115</v>
      </c>
      <c r="H33" s="137">
        <f>G33-F33</f>
        <v>57.5</v>
      </c>
      <c r="J33" s="157">
        <v>57.5</v>
      </c>
      <c r="K33" s="157"/>
      <c r="L33" s="157"/>
    </row>
    <row r="34" spans="1:12">
      <c r="B34" s="137" t="s">
        <v>56</v>
      </c>
      <c r="C34" s="137" t="s">
        <v>57</v>
      </c>
      <c r="F34" s="137">
        <f>SUM(J34:L34)</f>
        <v>98</v>
      </c>
      <c r="G34" s="137">
        <v>40</v>
      </c>
      <c r="H34" s="137">
        <f>G34-F34</f>
        <v>-58</v>
      </c>
      <c r="J34" s="157">
        <v>98</v>
      </c>
      <c r="K34" s="157"/>
      <c r="L34" s="157"/>
    </row>
    <row r="35" spans="1:12">
      <c r="B35" s="137" t="s">
        <v>108</v>
      </c>
      <c r="C35" s="137" t="s">
        <v>109</v>
      </c>
      <c r="D35" s="137" t="s">
        <v>432</v>
      </c>
      <c r="F35" s="137">
        <f>SUM(J35:L35)</f>
        <v>0</v>
      </c>
      <c r="G35" s="137">
        <v>85</v>
      </c>
      <c r="H35" s="137">
        <f>G35-F35</f>
        <v>85</v>
      </c>
      <c r="J35" s="157"/>
      <c r="K35" s="157"/>
      <c r="L35" s="157"/>
    </row>
    <row r="36" spans="1:12">
      <c r="B36" s="137" t="s">
        <v>111</v>
      </c>
      <c r="C36" s="137" t="s">
        <v>112</v>
      </c>
      <c r="D36" s="137" t="s">
        <v>113</v>
      </c>
      <c r="F36" s="137">
        <f>SUM(J36:L36)</f>
        <v>0</v>
      </c>
      <c r="G36" s="137">
        <v>100</v>
      </c>
      <c r="H36" s="137">
        <f>G36-F36</f>
        <v>100</v>
      </c>
      <c r="J36" s="157"/>
      <c r="K36" s="157"/>
      <c r="L36" s="157"/>
    </row>
    <row r="37" spans="1:12">
      <c r="J37" s="157"/>
      <c r="K37" s="157"/>
      <c r="L37" s="157"/>
    </row>
    <row r="38" spans="1:12" ht="12.75">
      <c r="A38" s="141" t="s">
        <v>518</v>
      </c>
      <c r="B38" s="141">
        <f>SUM(F39:F40)</f>
        <v>138.18</v>
      </c>
      <c r="C38" s="141">
        <f>SUM(G39:G40)</f>
        <v>138</v>
      </c>
      <c r="D38" s="141">
        <f>C38-B38</f>
        <v>-0.18000000000000682</v>
      </c>
      <c r="J38" s="157"/>
      <c r="K38" s="157"/>
      <c r="L38" s="157"/>
    </row>
    <row r="39" spans="1:12" ht="12.75">
      <c r="A39" s="137" t="s">
        <v>460</v>
      </c>
      <c r="B39" s="137" t="s">
        <v>64</v>
      </c>
      <c r="C39" s="137" t="s">
        <v>65</v>
      </c>
      <c r="F39" s="137">
        <f>SUM(J39:L39)</f>
        <v>66.319999999999993</v>
      </c>
      <c r="G39" s="137">
        <v>63</v>
      </c>
      <c r="H39" s="137">
        <f>G39-F39</f>
        <v>-3.3199999999999932</v>
      </c>
      <c r="J39" s="157"/>
      <c r="K39" s="157">
        <v>66.319999999999993</v>
      </c>
      <c r="L39" s="157"/>
    </row>
    <row r="40" spans="1:12">
      <c r="B40" s="137" t="s">
        <v>115</v>
      </c>
      <c r="C40" s="137" t="s">
        <v>116</v>
      </c>
      <c r="F40" s="137">
        <f>SUM(J40:L40)</f>
        <v>71.86</v>
      </c>
      <c r="G40" s="137">
        <v>75</v>
      </c>
      <c r="H40" s="137">
        <f>G40-F40</f>
        <v>3.1400000000000006</v>
      </c>
      <c r="J40" s="157"/>
      <c r="K40" s="157">
        <v>71.86</v>
      </c>
      <c r="L40" s="157"/>
    </row>
    <row r="41" spans="1:12">
      <c r="J41" s="157"/>
      <c r="K41" s="157"/>
      <c r="L41" s="157"/>
    </row>
    <row r="42" spans="1:12" ht="12.75">
      <c r="A42" s="141" t="s">
        <v>117</v>
      </c>
      <c r="B42" s="141">
        <f>SUM(F43:F45)</f>
        <v>0</v>
      </c>
      <c r="C42" s="141">
        <f>SUM(G43:G45)</f>
        <v>177</v>
      </c>
      <c r="D42" s="141">
        <f>C42-B42</f>
        <v>177</v>
      </c>
      <c r="J42" s="157"/>
      <c r="K42" s="157"/>
      <c r="L42" s="157"/>
    </row>
    <row r="43" spans="1:12" ht="12.75">
      <c r="A43" s="137"/>
      <c r="B43" s="137" t="s">
        <v>118</v>
      </c>
      <c r="C43" s="137" t="s">
        <v>119</v>
      </c>
      <c r="F43" s="137">
        <f>SUM(J43:L43)</f>
        <v>0</v>
      </c>
      <c r="G43" s="137">
        <v>56.5</v>
      </c>
      <c r="H43" s="137">
        <f>G43-F43</f>
        <v>56.5</v>
      </c>
      <c r="J43" s="157"/>
      <c r="K43" s="157"/>
      <c r="L43" s="157"/>
    </row>
    <row r="44" spans="1:12" ht="12.75">
      <c r="A44" s="137"/>
      <c r="B44" s="137" t="s">
        <v>120</v>
      </c>
      <c r="C44" s="137" t="s">
        <v>119</v>
      </c>
      <c r="F44" s="137">
        <f>SUM(J44:L44)</f>
        <v>0</v>
      </c>
      <c r="G44" s="137">
        <v>84.5</v>
      </c>
      <c r="H44" s="137">
        <f>G44-F44</f>
        <v>84.5</v>
      </c>
      <c r="J44" s="157"/>
      <c r="K44" s="157"/>
      <c r="L44" s="157"/>
    </row>
    <row r="45" spans="1:12" ht="12.75">
      <c r="A45" s="137"/>
      <c r="B45" s="137" t="s">
        <v>121</v>
      </c>
      <c r="F45" s="137">
        <f>SUM(J45:L45)</f>
        <v>0</v>
      </c>
      <c r="G45" s="137">
        <v>36</v>
      </c>
      <c r="H45" s="137">
        <f>G45-F45</f>
        <v>36</v>
      </c>
      <c r="J45" s="157"/>
      <c r="K45" s="157"/>
      <c r="L45" s="157"/>
    </row>
    <row r="46" spans="1:12" ht="12.75">
      <c r="A46" s="137"/>
      <c r="D46" s="141"/>
      <c r="J46" s="157"/>
      <c r="K46" s="157"/>
      <c r="L46" s="157"/>
    </row>
    <row r="47" spans="1:12" ht="12.75">
      <c r="A47" s="141" t="s">
        <v>122</v>
      </c>
      <c r="B47" s="141">
        <f>SUM(F48:F51)</f>
        <v>2108.06</v>
      </c>
      <c r="C47" s="141">
        <f>SUM(G48:G51)</f>
        <v>130</v>
      </c>
      <c r="D47" s="141">
        <f>C47-B47</f>
        <v>-1978.06</v>
      </c>
      <c r="J47" s="157"/>
      <c r="K47" s="157"/>
      <c r="L47" s="157"/>
    </row>
    <row r="48" spans="1:12" ht="12.75">
      <c r="A48" s="137"/>
      <c r="B48" s="137" t="s">
        <v>124</v>
      </c>
      <c r="F48" s="137">
        <f>SUM(J48:L48)</f>
        <v>0</v>
      </c>
      <c r="G48" s="137">
        <v>20</v>
      </c>
      <c r="H48" s="137">
        <f>G48-F48</f>
        <v>20</v>
      </c>
      <c r="J48" s="157"/>
      <c r="K48" s="157"/>
      <c r="L48" s="157"/>
    </row>
    <row r="49" spans="1:13">
      <c r="B49" s="137" t="s">
        <v>125</v>
      </c>
      <c r="F49" s="137">
        <f>SUM(J49:L49)</f>
        <v>0</v>
      </c>
      <c r="G49" s="137">
        <v>10</v>
      </c>
      <c r="H49" s="137">
        <f>G49-F49</f>
        <v>10</v>
      </c>
      <c r="J49" s="157"/>
      <c r="K49" s="157"/>
      <c r="L49" s="157"/>
    </row>
    <row r="50" spans="1:13">
      <c r="B50" s="137" t="s">
        <v>126</v>
      </c>
      <c r="F50" s="137">
        <f>SUM(J50:L50)</f>
        <v>2108.06</v>
      </c>
      <c r="G50" s="137">
        <v>50</v>
      </c>
      <c r="H50" s="137">
        <f>G50-F50</f>
        <v>-2058.06</v>
      </c>
      <c r="J50" s="157"/>
      <c r="K50" s="157">
        <f>577.04+866.8+427.75+134.52+89.51-80.23</f>
        <v>2015.3899999999999</v>
      </c>
      <c r="L50" s="157">
        <f>15.73+76.94</f>
        <v>92.67</v>
      </c>
      <c r="M50" s="137" t="s">
        <v>601</v>
      </c>
    </row>
    <row r="51" spans="1:13">
      <c r="B51" s="137" t="s">
        <v>127</v>
      </c>
      <c r="F51" s="137">
        <f>SUM(J51:L51)</f>
        <v>0</v>
      </c>
      <c r="G51" s="137">
        <v>50</v>
      </c>
      <c r="H51" s="137">
        <f>G51-F51</f>
        <v>50</v>
      </c>
      <c r="J51" s="157"/>
      <c r="K51" s="157"/>
      <c r="L51" s="157"/>
    </row>
    <row r="52" spans="1:13">
      <c r="J52" s="157"/>
      <c r="K52" s="157"/>
      <c r="L52" s="157"/>
    </row>
    <row r="53" spans="1:13" ht="12.75">
      <c r="A53" s="141" t="s">
        <v>436</v>
      </c>
      <c r="B53" s="141">
        <f>SUM(F54:F56)</f>
        <v>11.87</v>
      </c>
      <c r="C53" s="141">
        <f>SUM(G54:G56)</f>
        <v>80</v>
      </c>
      <c r="D53" s="141">
        <f>C53-B53</f>
        <v>68.13</v>
      </c>
      <c r="J53" s="157"/>
      <c r="K53" s="157"/>
      <c r="L53" s="157"/>
    </row>
    <row r="54" spans="1:13">
      <c r="B54" s="137" t="s">
        <v>520</v>
      </c>
      <c r="F54" s="137">
        <f>SUM(J54:L54)</f>
        <v>0</v>
      </c>
      <c r="G54" s="137">
        <f>50</f>
        <v>50</v>
      </c>
      <c r="H54" s="137">
        <f>G54-F54</f>
        <v>50</v>
      </c>
      <c r="J54" s="157"/>
      <c r="K54" s="157"/>
      <c r="L54" s="157"/>
    </row>
    <row r="55" spans="1:13">
      <c r="B55" s="137" t="s">
        <v>131</v>
      </c>
      <c r="F55" s="137">
        <f>SUM(J55:L55)</f>
        <v>0</v>
      </c>
      <c r="G55" s="137">
        <v>20</v>
      </c>
      <c r="H55" s="137">
        <f>G55-F55</f>
        <v>20</v>
      </c>
      <c r="J55" s="157"/>
      <c r="K55" s="157"/>
      <c r="L55" s="157"/>
    </row>
    <row r="56" spans="1:13">
      <c r="B56" s="137" t="s">
        <v>132</v>
      </c>
      <c r="D56" s="137" t="s">
        <v>438</v>
      </c>
      <c r="F56" s="137">
        <f>SUM(J56:L56)</f>
        <v>11.87</v>
      </c>
      <c r="G56" s="137">
        <v>10</v>
      </c>
      <c r="H56" s="137">
        <f>G56-F56</f>
        <v>-1.8699999999999992</v>
      </c>
      <c r="J56" s="157"/>
      <c r="K56" s="157">
        <v>11.87</v>
      </c>
      <c r="L56" s="157"/>
    </row>
    <row r="57" spans="1:13">
      <c r="J57" s="157"/>
      <c r="K57" s="157"/>
      <c r="L57" s="157"/>
    </row>
    <row r="58" spans="1:13" ht="12.75">
      <c r="A58" s="141" t="s">
        <v>133</v>
      </c>
      <c r="B58" s="141">
        <f>SUM(F59:F64)</f>
        <v>536.42000000000007</v>
      </c>
      <c r="C58" s="141">
        <f>SUM(G59:G64)</f>
        <v>500</v>
      </c>
      <c r="D58" s="141">
        <f>C58-B58</f>
        <v>-36.420000000000073</v>
      </c>
      <c r="J58" s="157"/>
      <c r="K58" s="157"/>
      <c r="L58" s="157"/>
    </row>
    <row r="59" spans="1:13" ht="12.75">
      <c r="A59" s="137"/>
      <c r="B59" s="137" t="s">
        <v>134</v>
      </c>
      <c r="F59" s="137">
        <f t="shared" ref="F59:F64" si="0">SUM(J59:L59)</f>
        <v>150</v>
      </c>
      <c r="G59" s="137">
        <v>100</v>
      </c>
      <c r="H59" s="137">
        <f t="shared" ref="H59:H64" si="1">G59-F59</f>
        <v>-50</v>
      </c>
      <c r="J59" s="157">
        <v>150</v>
      </c>
      <c r="K59" s="157"/>
      <c r="L59" s="157"/>
    </row>
    <row r="60" spans="1:13">
      <c r="B60" s="137" t="s">
        <v>135</v>
      </c>
      <c r="F60" s="137">
        <f t="shared" si="0"/>
        <v>265.79000000000002</v>
      </c>
      <c r="G60" s="137">
        <v>300</v>
      </c>
      <c r="H60" s="137">
        <f t="shared" si="1"/>
        <v>34.20999999999998</v>
      </c>
      <c r="J60" s="157"/>
      <c r="K60" s="157">
        <f>4.97+3.96</f>
        <v>8.93</v>
      </c>
      <c r="L60" s="157">
        <f>13.48+29.49+50.72+78.53+23.59+34.09+64.34+51.29-88.67</f>
        <v>256.86</v>
      </c>
      <c r="M60" s="137" t="s">
        <v>553</v>
      </c>
    </row>
    <row r="61" spans="1:13">
      <c r="B61" s="137" t="s">
        <v>136</v>
      </c>
      <c r="F61" s="137">
        <f t="shared" si="0"/>
        <v>0</v>
      </c>
      <c r="G61" s="137">
        <v>30</v>
      </c>
      <c r="H61" s="137">
        <f t="shared" si="1"/>
        <v>30</v>
      </c>
      <c r="J61" s="157"/>
      <c r="K61" s="157"/>
      <c r="L61" s="157"/>
      <c r="M61" s="167"/>
    </row>
    <row r="62" spans="1:13">
      <c r="B62" s="137" t="s">
        <v>138</v>
      </c>
      <c r="F62" s="137">
        <f t="shared" si="0"/>
        <v>80.680000000000007</v>
      </c>
      <c r="G62" s="137">
        <v>30</v>
      </c>
      <c r="H62" s="137">
        <f t="shared" si="1"/>
        <v>-50.680000000000007</v>
      </c>
      <c r="J62" s="157"/>
      <c r="K62" s="157">
        <v>10</v>
      </c>
      <c r="L62" s="157">
        <f>22.7+3.96+44.02</f>
        <v>70.680000000000007</v>
      </c>
      <c r="M62" s="137" t="s">
        <v>554</v>
      </c>
    </row>
    <row r="63" spans="1:13">
      <c r="B63" s="137" t="s">
        <v>139</v>
      </c>
      <c r="F63" s="137">
        <f t="shared" si="0"/>
        <v>39.950000000000003</v>
      </c>
      <c r="G63" s="137">
        <v>30</v>
      </c>
      <c r="H63" s="137">
        <f t="shared" si="1"/>
        <v>-9.9500000000000028</v>
      </c>
      <c r="J63" s="157"/>
      <c r="K63" s="157">
        <f>13.99*2</f>
        <v>27.98</v>
      </c>
      <c r="L63" s="157">
        <v>11.97</v>
      </c>
    </row>
    <row r="64" spans="1:13">
      <c r="B64" s="137" t="s">
        <v>140</v>
      </c>
      <c r="F64" s="137">
        <f t="shared" si="0"/>
        <v>0</v>
      </c>
      <c r="G64" s="137">
        <v>10</v>
      </c>
      <c r="H64" s="137">
        <f t="shared" si="1"/>
        <v>10</v>
      </c>
      <c r="J64" s="157"/>
      <c r="K64" s="157"/>
      <c r="L64" s="157"/>
    </row>
    <row r="65" spans="1:12">
      <c r="J65" s="157"/>
      <c r="K65" s="157"/>
      <c r="L65" s="157"/>
    </row>
    <row r="66" spans="1:12" ht="12.75">
      <c r="A66" s="141" t="s">
        <v>141</v>
      </c>
      <c r="B66" s="141">
        <f>SUM(F67:F69)</f>
        <v>197.14</v>
      </c>
      <c r="C66" s="141">
        <f>SUM(G67:G69)</f>
        <v>105</v>
      </c>
      <c r="D66" s="141">
        <f>C66-B66</f>
        <v>-92.139999999999986</v>
      </c>
      <c r="J66" s="157"/>
      <c r="K66" s="157"/>
      <c r="L66" s="157"/>
    </row>
    <row r="67" spans="1:12">
      <c r="B67" s="137" t="s">
        <v>142</v>
      </c>
      <c r="F67" s="137">
        <f>SUM(J67:L67)</f>
        <v>0</v>
      </c>
      <c r="G67" s="137">
        <v>25</v>
      </c>
      <c r="H67" s="137">
        <f>G67-F67</f>
        <v>25</v>
      </c>
      <c r="J67" s="157"/>
      <c r="K67" s="157"/>
      <c r="L67" s="157"/>
    </row>
    <row r="68" spans="1:12">
      <c r="B68" s="137" t="s">
        <v>143</v>
      </c>
      <c r="F68" s="137">
        <f>SUM(J68:L68)</f>
        <v>0</v>
      </c>
      <c r="G68" s="137">
        <v>20</v>
      </c>
      <c r="H68" s="137">
        <f>G68-F68</f>
        <v>20</v>
      </c>
      <c r="J68" s="157"/>
      <c r="K68" s="157"/>
      <c r="L68" s="157"/>
    </row>
    <row r="69" spans="1:12">
      <c r="B69" s="137" t="s">
        <v>144</v>
      </c>
      <c r="F69" s="137">
        <f>SUM(J69:L69)</f>
        <v>197.14</v>
      </c>
      <c r="G69" s="137">
        <v>60</v>
      </c>
      <c r="H69" s="137">
        <f>G69-F69</f>
        <v>-137.13999999999999</v>
      </c>
      <c r="J69" s="157"/>
      <c r="K69" s="157">
        <f>66.26+65.44</f>
        <v>131.69999999999999</v>
      </c>
      <c r="L69" s="157">
        <v>65.44</v>
      </c>
    </row>
    <row r="70" spans="1:12">
      <c r="J70" s="157"/>
      <c r="K70" s="157"/>
      <c r="L70" s="157"/>
    </row>
    <row r="71" spans="1:12" ht="12.75">
      <c r="A71" s="141" t="s">
        <v>145</v>
      </c>
      <c r="B71" s="141">
        <f>SUM(F72:F76)</f>
        <v>205.55</v>
      </c>
      <c r="C71" s="141">
        <f>SUM(G72:G76)</f>
        <v>370</v>
      </c>
      <c r="D71" s="141">
        <f>C71-B71</f>
        <v>164.45</v>
      </c>
      <c r="J71" s="157"/>
      <c r="K71" s="157"/>
      <c r="L71" s="157"/>
    </row>
    <row r="72" spans="1:12">
      <c r="B72" s="137" t="s">
        <v>146</v>
      </c>
      <c r="F72" s="137">
        <f>SUM(J72:L72)</f>
        <v>32.51</v>
      </c>
      <c r="G72" s="137">
        <v>100</v>
      </c>
      <c r="H72" s="137">
        <f>G72-F72</f>
        <v>67.490000000000009</v>
      </c>
      <c r="J72" s="157"/>
      <c r="K72" s="157">
        <v>32.51</v>
      </c>
      <c r="L72" s="157"/>
    </row>
    <row r="73" spans="1:12">
      <c r="B73" s="137" t="s">
        <v>147</v>
      </c>
      <c r="D73" s="137" t="s">
        <v>148</v>
      </c>
      <c r="F73" s="137">
        <f>SUM(J73:L73)</f>
        <v>10</v>
      </c>
      <c r="G73" s="137">
        <f>85*2</f>
        <v>170</v>
      </c>
      <c r="H73" s="137">
        <f>G73-F73</f>
        <v>160</v>
      </c>
      <c r="J73" s="157"/>
      <c r="K73" s="157">
        <f>5+5</f>
        <v>10</v>
      </c>
      <c r="L73" s="157"/>
    </row>
    <row r="74" spans="1:12">
      <c r="B74" s="137" t="s">
        <v>149</v>
      </c>
      <c r="F74" s="137">
        <f>SUM(J74:L74)</f>
        <v>0</v>
      </c>
      <c r="G74" s="137">
        <v>30</v>
      </c>
      <c r="H74" s="137">
        <f>G74-F74</f>
        <v>30</v>
      </c>
      <c r="J74" s="157"/>
      <c r="K74" s="157"/>
      <c r="L74" s="157"/>
    </row>
    <row r="75" spans="1:12" ht="12.75">
      <c r="A75" s="141"/>
      <c r="B75" s="137" t="s">
        <v>150</v>
      </c>
      <c r="F75" s="137">
        <f>SUM(J75:L75)</f>
        <v>0</v>
      </c>
      <c r="G75" s="137">
        <v>20</v>
      </c>
      <c r="H75" s="137">
        <f>G75-F75</f>
        <v>20</v>
      </c>
      <c r="J75" s="157"/>
      <c r="K75" s="157"/>
      <c r="L75" s="157"/>
    </row>
    <row r="76" spans="1:12" ht="12.75">
      <c r="A76" s="141"/>
      <c r="B76" s="137" t="s">
        <v>151</v>
      </c>
      <c r="F76" s="137">
        <f>SUM(J76:L76)</f>
        <v>163.04000000000002</v>
      </c>
      <c r="G76" s="137">
        <v>50</v>
      </c>
      <c r="H76" s="137">
        <f>G76-F76</f>
        <v>-113.04000000000002</v>
      </c>
      <c r="J76" s="157"/>
      <c r="K76" s="157">
        <f>2.75+12.58+15.58+20.83</f>
        <v>51.739999999999995</v>
      </c>
      <c r="L76" s="157">
        <f>40.31+21.76+35+5.65+8.58</f>
        <v>111.30000000000001</v>
      </c>
    </row>
    <row r="77" spans="1:12" ht="12.75">
      <c r="A77" s="141"/>
      <c r="B77" s="141"/>
      <c r="J77" s="157"/>
      <c r="K77" s="157"/>
      <c r="L77" s="157"/>
    </row>
    <row r="78" spans="1:12" ht="12.75">
      <c r="A78" s="141" t="s">
        <v>152</v>
      </c>
      <c r="B78" s="141">
        <f>SUM(F79:F82)</f>
        <v>278.65999999999997</v>
      </c>
      <c r="C78" s="141">
        <f>SUM(G79:G82)</f>
        <v>290</v>
      </c>
      <c r="D78" s="141">
        <f>C78-B78</f>
        <v>11.340000000000032</v>
      </c>
      <c r="J78" s="157"/>
      <c r="K78" s="157"/>
      <c r="L78" s="157"/>
    </row>
    <row r="79" spans="1:12" ht="12.75">
      <c r="A79" s="137"/>
      <c r="B79" s="137" t="s">
        <v>153</v>
      </c>
      <c r="D79" s="137" t="s">
        <v>154</v>
      </c>
      <c r="F79" s="137">
        <f>SUM(J79:L79)</f>
        <v>0</v>
      </c>
      <c r="G79" s="137">
        <f>1200/12</f>
        <v>100</v>
      </c>
      <c r="H79" s="137">
        <f>G79-F79</f>
        <v>100</v>
      </c>
      <c r="J79" s="157"/>
      <c r="K79" s="157"/>
      <c r="L79" s="157"/>
    </row>
    <row r="80" spans="1:12">
      <c r="B80" s="137" t="s">
        <v>155</v>
      </c>
      <c r="D80" s="137" t="s">
        <v>156</v>
      </c>
      <c r="F80" s="137">
        <f>SUM(J80:L80)</f>
        <v>24.66</v>
      </c>
      <c r="G80" s="137">
        <v>10</v>
      </c>
      <c r="H80" s="137">
        <f>G80-F80</f>
        <v>-14.66</v>
      </c>
      <c r="J80" s="157"/>
      <c r="K80" s="157">
        <f>5.87+18.79</f>
        <v>24.66</v>
      </c>
      <c r="L80" s="157"/>
    </row>
    <row r="81" spans="1:13" ht="12.75">
      <c r="A81" s="141"/>
      <c r="B81" s="137" t="s">
        <v>157</v>
      </c>
      <c r="D81" s="137" t="s">
        <v>602</v>
      </c>
      <c r="F81" s="137">
        <f>SUM(J81:L81)</f>
        <v>164</v>
      </c>
      <c r="G81" s="137">
        <f>150</f>
        <v>150</v>
      </c>
      <c r="H81" s="137">
        <f>G81-F81</f>
        <v>-14</v>
      </c>
      <c r="J81" s="157">
        <f>150+14</f>
        <v>164</v>
      </c>
      <c r="K81" s="157"/>
      <c r="L81" s="157"/>
    </row>
    <row r="82" spans="1:13" ht="12.75">
      <c r="A82" s="141"/>
      <c r="B82" s="137" t="s">
        <v>158</v>
      </c>
      <c r="D82" s="137" t="s">
        <v>555</v>
      </c>
      <c r="F82" s="137">
        <f>SUM(J82:L82)</f>
        <v>90</v>
      </c>
      <c r="G82" s="137">
        <v>30</v>
      </c>
      <c r="H82" s="137">
        <f>G82-F82</f>
        <v>-60</v>
      </c>
      <c r="J82" s="157">
        <v>90</v>
      </c>
      <c r="K82" s="157"/>
      <c r="L82" s="157"/>
    </row>
    <row r="83" spans="1:13" ht="12.75">
      <c r="A83" s="141"/>
      <c r="B83" s="141"/>
      <c r="J83" s="157"/>
      <c r="K83" s="157"/>
      <c r="L83" s="157"/>
    </row>
    <row r="84" spans="1:13" ht="12.75">
      <c r="A84" s="141" t="s">
        <v>159</v>
      </c>
      <c r="B84" s="141">
        <f>SUM(F85:F88)</f>
        <v>345.78000000000003</v>
      </c>
      <c r="C84" s="141">
        <f>SUM(G85:G88)</f>
        <v>120</v>
      </c>
      <c r="D84" s="141">
        <f>C84-B84</f>
        <v>-225.78000000000003</v>
      </c>
      <c r="J84" s="157"/>
      <c r="K84" s="157"/>
      <c r="L84" s="157"/>
    </row>
    <row r="85" spans="1:13" ht="12.75">
      <c r="A85" s="141"/>
      <c r="B85" s="137" t="s">
        <v>473</v>
      </c>
      <c r="D85" s="137" t="s">
        <v>556</v>
      </c>
      <c r="F85" s="137">
        <f>SUM(J85:L85)</f>
        <v>136.93</v>
      </c>
      <c r="G85" s="137">
        <v>50</v>
      </c>
      <c r="H85" s="137">
        <f>G85-F85</f>
        <v>-86.93</v>
      </c>
      <c r="J85" s="157">
        <v>-50</v>
      </c>
      <c r="K85" s="157">
        <f>8.68+2.45+13.65+18.5+28.62</f>
        <v>71.900000000000006</v>
      </c>
      <c r="L85" s="157">
        <f>99.51+(27.49-11.97)</f>
        <v>115.03</v>
      </c>
      <c r="M85" s="137" t="s">
        <v>557</v>
      </c>
    </row>
    <row r="86" spans="1:13" ht="12.75">
      <c r="A86" s="141"/>
      <c r="B86" s="137" t="s">
        <v>162</v>
      </c>
      <c r="D86" s="137" t="s">
        <v>556</v>
      </c>
      <c r="F86" s="137">
        <f>SUM(J86:L86)</f>
        <v>152.18</v>
      </c>
      <c r="G86" s="137">
        <v>20</v>
      </c>
      <c r="H86" s="137">
        <f>G86-F86</f>
        <v>-132.18</v>
      </c>
      <c r="J86" s="157"/>
      <c r="K86" s="157">
        <f>54.38+25.94+71.86</f>
        <v>152.18</v>
      </c>
      <c r="L86" s="157"/>
    </row>
    <row r="87" spans="1:13" ht="12.75">
      <c r="A87" s="141"/>
      <c r="B87" s="137" t="s">
        <v>164</v>
      </c>
      <c r="D87" s="137" t="s">
        <v>556</v>
      </c>
      <c r="F87" s="137">
        <f>SUM(J87:L87)</f>
        <v>25</v>
      </c>
      <c r="G87" s="137">
        <v>30</v>
      </c>
      <c r="H87" s="137">
        <f>G87-F87</f>
        <v>5</v>
      </c>
      <c r="J87" s="157"/>
      <c r="K87" s="157">
        <f>25</f>
        <v>25</v>
      </c>
      <c r="L87" s="157"/>
    </row>
    <row r="88" spans="1:13" ht="12.75">
      <c r="A88" s="141"/>
      <c r="B88" s="137" t="s">
        <v>165</v>
      </c>
      <c r="F88" s="137">
        <f>SUM(J88:L88)</f>
        <v>31.67</v>
      </c>
      <c r="G88" s="137">
        <v>20</v>
      </c>
      <c r="H88" s="137">
        <f>G88-F88</f>
        <v>-11.670000000000002</v>
      </c>
      <c r="J88" s="157"/>
      <c r="K88" s="157">
        <f>31.67</f>
        <v>31.67</v>
      </c>
      <c r="L88" s="157"/>
      <c r="M88" s="137" t="s">
        <v>558</v>
      </c>
    </row>
    <row r="89" spans="1:13" ht="12.75">
      <c r="A89" s="141"/>
      <c r="J89" s="157"/>
      <c r="K89" s="157"/>
      <c r="L89" s="157"/>
    </row>
    <row r="90" spans="1:13" ht="12.75">
      <c r="A90" s="141" t="s">
        <v>166</v>
      </c>
      <c r="B90" s="141">
        <f>SUM(F91:F92)</f>
        <v>0</v>
      </c>
      <c r="C90" s="141">
        <f>SUM(G91:G92)</f>
        <v>70</v>
      </c>
      <c r="D90" s="141">
        <f>C90-B90</f>
        <v>70</v>
      </c>
      <c r="J90" s="157"/>
      <c r="K90" s="157"/>
      <c r="L90" s="157"/>
    </row>
    <row r="91" spans="1:13" ht="12.75">
      <c r="A91" s="141"/>
      <c r="B91" s="137" t="s">
        <v>167</v>
      </c>
      <c r="F91" s="137">
        <f>SUM(J91:L91)</f>
        <v>0</v>
      </c>
      <c r="G91" s="137">
        <v>40</v>
      </c>
      <c r="H91" s="137">
        <f>G91-F91</f>
        <v>40</v>
      </c>
      <c r="J91" s="157"/>
      <c r="K91" s="157"/>
      <c r="L91" s="157"/>
    </row>
    <row r="92" spans="1:13" ht="12.75">
      <c r="A92" s="141"/>
      <c r="B92" s="137" t="s">
        <v>168</v>
      </c>
      <c r="D92" s="137" t="s">
        <v>169</v>
      </c>
      <c r="F92" s="137">
        <f>SUM(J92:L92)</f>
        <v>0</v>
      </c>
      <c r="G92" s="137">
        <v>30</v>
      </c>
      <c r="H92" s="137">
        <f>G92-F92</f>
        <v>30</v>
      </c>
      <c r="J92" s="157"/>
      <c r="K92" s="157"/>
      <c r="L92" s="157"/>
    </row>
    <row r="93" spans="1:13" ht="12.75">
      <c r="A93" s="141"/>
      <c r="J93" s="157"/>
      <c r="K93" s="157"/>
      <c r="L93" s="157"/>
    </row>
    <row r="94" spans="1:13" ht="12.75">
      <c r="A94" s="141" t="s">
        <v>170</v>
      </c>
      <c r="B94" s="141">
        <f>F95</f>
        <v>0</v>
      </c>
      <c r="C94" s="141">
        <f>G95</f>
        <v>20</v>
      </c>
      <c r="D94" s="141">
        <f>C94-B94</f>
        <v>20</v>
      </c>
      <c r="J94" s="157"/>
      <c r="K94" s="157"/>
      <c r="L94" s="157"/>
    </row>
    <row r="95" spans="1:13" ht="12.75">
      <c r="A95" s="141"/>
      <c r="B95" s="137" t="s">
        <v>171</v>
      </c>
      <c r="F95" s="137">
        <f>SUM(J95:L95)</f>
        <v>0</v>
      </c>
      <c r="G95" s="137">
        <v>20</v>
      </c>
      <c r="H95" s="137">
        <f>G95-F95</f>
        <v>20</v>
      </c>
      <c r="J95" s="157"/>
      <c r="K95" s="157"/>
      <c r="L95" s="157"/>
    </row>
    <row r="96" spans="1:13" ht="12.75">
      <c r="A96" s="141"/>
      <c r="J96" s="157"/>
      <c r="K96" s="157"/>
      <c r="L96" s="157"/>
    </row>
    <row r="97" spans="1:12" ht="12.75">
      <c r="A97" s="141" t="s">
        <v>172</v>
      </c>
      <c r="B97" s="141">
        <f>F98</f>
        <v>0</v>
      </c>
      <c r="C97" s="141">
        <f>G98</f>
        <v>10</v>
      </c>
      <c r="D97" s="141">
        <f>C97-B97</f>
        <v>10</v>
      </c>
      <c r="J97" s="157"/>
      <c r="K97" s="157"/>
      <c r="L97" s="157"/>
    </row>
    <row r="98" spans="1:12">
      <c r="B98" s="137" t="s">
        <v>173</v>
      </c>
      <c r="F98" s="137">
        <f>SUM(J98:L98)</f>
        <v>0</v>
      </c>
      <c r="G98" s="137">
        <v>10</v>
      </c>
      <c r="H98" s="137">
        <f>G98-F98</f>
        <v>10</v>
      </c>
      <c r="J98" s="157"/>
      <c r="K98" s="157"/>
      <c r="L98" s="157"/>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dimension ref="A1:S98"/>
  <sheetViews>
    <sheetView zoomScale="84" zoomScaleNormal="84" workbookViewId="0">
      <pane ySplit="1" activePane="bottomLeft"/>
      <selection activeCell="L60" sqref="L60"/>
      <selection pane="bottomLeft" activeCell="D6" sqref="D6"/>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8">
      <c r="A1" s="138" t="s">
        <v>344</v>
      </c>
      <c r="B1" s="139">
        <v>2012</v>
      </c>
      <c r="C1" s="139"/>
      <c r="J1" s="137" t="s">
        <v>449</v>
      </c>
      <c r="M1" s="137">
        <f>R2+N3+N4+N5</f>
        <v>1680.0100000000002</v>
      </c>
    </row>
    <row r="2" spans="1:18">
      <c r="A2" s="138" t="s">
        <v>331</v>
      </c>
      <c r="B2" s="137" t="s">
        <v>21</v>
      </c>
      <c r="C2" s="141"/>
      <c r="J2" s="137" t="s">
        <v>624</v>
      </c>
      <c r="R2" s="137">
        <f>F60+F85</f>
        <v>663.1</v>
      </c>
    </row>
    <row r="3" spans="1:18">
      <c r="J3" s="137" t="s">
        <v>605</v>
      </c>
      <c r="N3" s="137">
        <f>K50+65.04</f>
        <v>187.49</v>
      </c>
    </row>
    <row r="4" spans="1:18">
      <c r="A4" s="138" t="s">
        <v>9</v>
      </c>
      <c r="B4" s="143">
        <f>SUM(G5:G9)</f>
        <v>6844.21</v>
      </c>
      <c r="C4" s="143"/>
      <c r="G4" s="137" t="s">
        <v>185</v>
      </c>
      <c r="J4" s="137" t="s">
        <v>606</v>
      </c>
      <c r="N4" s="137">
        <v>395</v>
      </c>
      <c r="O4" s="142"/>
    </row>
    <row r="5" spans="1:18">
      <c r="B5" s="137" t="s">
        <v>34</v>
      </c>
      <c r="D5" s="137">
        <v>3162.37</v>
      </c>
      <c r="E5" s="137">
        <v>3162.38</v>
      </c>
      <c r="F5" s="137">
        <v>0</v>
      </c>
      <c r="G5" s="144">
        <f>SUM(D5:F5)</f>
        <v>6324.75</v>
      </c>
      <c r="H5" s="144"/>
      <c r="I5" s="144"/>
      <c r="J5" s="144" t="s">
        <v>625</v>
      </c>
      <c r="N5" s="137">
        <f>415.44+18.98</f>
        <v>434.42</v>
      </c>
      <c r="O5" s="142"/>
    </row>
    <row r="6" spans="1:18">
      <c r="B6" s="137" t="s">
        <v>36</v>
      </c>
      <c r="D6" s="142">
        <v>519.46</v>
      </c>
      <c r="E6" s="137">
        <v>0</v>
      </c>
      <c r="G6" s="144">
        <f>SUM(D6:F6)</f>
        <v>519.46</v>
      </c>
      <c r="H6" s="144"/>
      <c r="I6" s="144"/>
      <c r="J6" s="144"/>
      <c r="O6" s="142"/>
    </row>
    <row r="7" spans="1:18">
      <c r="B7" s="137" t="s">
        <v>397</v>
      </c>
      <c r="G7" s="144">
        <f>SUM(D7:F7)</f>
        <v>0</v>
      </c>
      <c r="H7" s="144"/>
      <c r="I7" s="144"/>
      <c r="J7" s="144"/>
      <c r="O7" s="142"/>
    </row>
    <row r="8" spans="1:18">
      <c r="B8" s="137" t="s">
        <v>37</v>
      </c>
      <c r="D8" s="137">
        <v>0</v>
      </c>
      <c r="G8" s="144">
        <f>SUM(D8:F8)</f>
        <v>0</v>
      </c>
      <c r="H8" s="144"/>
      <c r="I8" s="144"/>
      <c r="J8" s="144" t="s">
        <v>641</v>
      </c>
      <c r="O8" s="142"/>
    </row>
    <row r="9" spans="1:18">
      <c r="J9" s="137" t="s">
        <v>642</v>
      </c>
      <c r="P9" s="142"/>
    </row>
    <row r="11" spans="1:18">
      <c r="A11" s="138" t="s">
        <v>11</v>
      </c>
      <c r="B11" s="143">
        <f>Tithe!D12</f>
        <v>1220</v>
      </c>
      <c r="C11" s="143"/>
      <c r="D11" s="137" t="s">
        <v>187</v>
      </c>
      <c r="E11" s="145">
        <f>B11/B4</f>
        <v>0.17825285898591656</v>
      </c>
    </row>
    <row r="13" spans="1:18">
      <c r="A13" s="138" t="s">
        <v>403</v>
      </c>
      <c r="B13" s="146">
        <f>SUM(D14:D17)+SUM(E14:E17)</f>
        <v>1250</v>
      </c>
      <c r="E13" s="137" t="s">
        <v>404</v>
      </c>
    </row>
    <row r="14" spans="1:18" ht="12.75">
      <c r="A14" s="137"/>
      <c r="B14" s="141" t="s">
        <v>405</v>
      </c>
      <c r="C14" s="141"/>
      <c r="D14" s="146">
        <v>750</v>
      </c>
    </row>
    <row r="15" spans="1:18">
      <c r="A15" s="138"/>
      <c r="B15" s="141" t="s">
        <v>406</v>
      </c>
      <c r="C15" s="141"/>
      <c r="D15" s="146">
        <v>200</v>
      </c>
    </row>
    <row r="16" spans="1:18">
      <c r="A16" s="138"/>
      <c r="B16" s="141" t="s">
        <v>407</v>
      </c>
      <c r="C16" s="141"/>
      <c r="D16" s="146">
        <v>200</v>
      </c>
    </row>
    <row r="17" spans="1:19">
      <c r="A17" s="138"/>
      <c r="B17" s="141" t="s">
        <v>408</v>
      </c>
      <c r="C17" s="141"/>
      <c r="D17" s="146">
        <v>100</v>
      </c>
    </row>
    <row r="18" spans="1:19">
      <c r="A18" s="138"/>
      <c r="B18" s="141"/>
      <c r="C18" s="141"/>
      <c r="D18" s="146"/>
    </row>
    <row r="19" spans="1:19">
      <c r="A19" s="138" t="s">
        <v>409</v>
      </c>
      <c r="D19" s="137">
        <v>3258.21</v>
      </c>
      <c r="F19" s="137" t="s">
        <v>613</v>
      </c>
      <c r="K19" s="170" t="s">
        <v>632</v>
      </c>
      <c r="L19" s="137">
        <f>3258.21-2908.66</f>
        <v>349.55000000000018</v>
      </c>
    </row>
    <row r="20" spans="1:19">
      <c r="B20" s="141"/>
    </row>
    <row r="21" spans="1:19">
      <c r="A21" s="138" t="s">
        <v>410</v>
      </c>
      <c r="B21" s="137">
        <f>SUM(E21:E22)</f>
        <v>2606.6275000000001</v>
      </c>
      <c r="C21" s="137" t="s">
        <v>411</v>
      </c>
      <c r="D21" s="144"/>
      <c r="E21" s="137">
        <f>0.33*G5</f>
        <v>2087.1675</v>
      </c>
      <c r="F21" s="137" t="s">
        <v>412</v>
      </c>
    </row>
    <row r="22" spans="1:19">
      <c r="C22" s="137" t="s">
        <v>413</v>
      </c>
      <c r="D22" s="144"/>
      <c r="E22" s="137">
        <f>SUM(G6:G8)</f>
        <v>519.46</v>
      </c>
      <c r="F22" s="137" t="s">
        <v>458</v>
      </c>
    </row>
    <row r="23" spans="1:19">
      <c r="E23" s="144"/>
    </row>
    <row r="24" spans="1:19">
      <c r="A24" s="147" t="s">
        <v>415</v>
      </c>
      <c r="B24" s="148"/>
      <c r="C24" s="148"/>
      <c r="E24" s="149">
        <f>B4-B11-B13+D19-E21-E22</f>
        <v>5025.7925000000005</v>
      </c>
      <c r="F24" s="137" t="s">
        <v>416</v>
      </c>
      <c r="G24" s="146">
        <f>E24-D27</f>
        <v>1965.8525</v>
      </c>
    </row>
    <row r="25" spans="1:19">
      <c r="A25" s="147" t="s">
        <v>417</v>
      </c>
      <c r="B25" s="148"/>
      <c r="C25" s="148"/>
      <c r="E25" s="149">
        <f>SUM(E21:E22)+G24</f>
        <v>4572.4799999999996</v>
      </c>
      <c r="F25" s="137" t="s">
        <v>418</v>
      </c>
      <c r="G25" s="150">
        <f>E25/B4</f>
        <v>0.66808002676715061</v>
      </c>
      <c r="H25" s="137" t="s">
        <v>419</v>
      </c>
    </row>
    <row r="26" spans="1:19">
      <c r="A26" s="138"/>
      <c r="B26" s="148"/>
      <c r="C26" s="148"/>
      <c r="E26" s="149"/>
      <c r="K26" s="137">
        <f>K27+L27</f>
        <v>1784.5200000000002</v>
      </c>
      <c r="L26" s="137">
        <v>1784.52</v>
      </c>
    </row>
    <row r="27" spans="1:19">
      <c r="A27" s="138" t="s">
        <v>420</v>
      </c>
      <c r="D27" s="146">
        <f>J27+K27+L27</f>
        <v>3059.9400000000005</v>
      </c>
      <c r="F27" s="137">
        <f>SUM(F30:F98)</f>
        <v>3059.94</v>
      </c>
      <c r="G27" s="137">
        <f>SUM(G30:G98)</f>
        <v>2350</v>
      </c>
      <c r="H27" s="137">
        <f>SUM(H30:H98)</f>
        <v>-709.94000000000017</v>
      </c>
      <c r="J27" s="137">
        <f>SUM(J30:J98)</f>
        <v>1275.42</v>
      </c>
      <c r="K27" s="137">
        <f>SUM(K30:K98)</f>
        <v>953.01</v>
      </c>
      <c r="L27" s="137">
        <f>SUM(L30:L98)</f>
        <v>831.51000000000022</v>
      </c>
    </row>
    <row r="28" spans="1:19">
      <c r="A28" s="138"/>
      <c r="B28" s="141"/>
      <c r="D28" s="144"/>
    </row>
    <row r="29" spans="1:19" ht="12.75">
      <c r="A29" s="141"/>
      <c r="B29" s="143"/>
      <c r="F29" s="154" t="s">
        <v>426</v>
      </c>
      <c r="G29" s="137" t="s">
        <v>427</v>
      </c>
      <c r="H29" s="154" t="s">
        <v>487</v>
      </c>
      <c r="J29" s="155" t="s">
        <v>428</v>
      </c>
      <c r="K29" s="156" t="s">
        <v>429</v>
      </c>
      <c r="L29" s="156" t="s">
        <v>430</v>
      </c>
      <c r="S29" s="154"/>
    </row>
    <row r="30" spans="1:19" ht="12.75">
      <c r="A30" s="141" t="s">
        <v>105</v>
      </c>
      <c r="B30" s="141">
        <f>F30</f>
        <v>0</v>
      </c>
      <c r="C30" s="137" t="s">
        <v>106</v>
      </c>
      <c r="F30" s="137">
        <f>SUM(J30:L30)</f>
        <v>0</v>
      </c>
      <c r="G30" s="137">
        <f>0</f>
        <v>0</v>
      </c>
      <c r="H30" s="137">
        <f>G30-F30</f>
        <v>0</v>
      </c>
      <c r="J30" s="157"/>
      <c r="K30" s="157"/>
      <c r="L30" s="157"/>
    </row>
    <row r="31" spans="1:19" ht="12.75">
      <c r="A31" s="137"/>
      <c r="J31" s="157"/>
      <c r="K31" s="157"/>
      <c r="L31" s="157"/>
    </row>
    <row r="32" spans="1:19" ht="12.75">
      <c r="A32" s="141" t="s">
        <v>107</v>
      </c>
      <c r="B32" s="141">
        <f>SUM(F33:F36)</f>
        <v>84.71</v>
      </c>
      <c r="C32" s="141">
        <f>SUM(G33:G36)</f>
        <v>340</v>
      </c>
      <c r="D32" s="141">
        <f>C32-B32</f>
        <v>255.29000000000002</v>
      </c>
      <c r="J32" s="157"/>
      <c r="K32" s="157"/>
      <c r="L32" s="157"/>
    </row>
    <row r="33" spans="1:12">
      <c r="B33" s="137" t="s">
        <v>54</v>
      </c>
      <c r="C33" s="137" t="s">
        <v>55</v>
      </c>
      <c r="F33" s="137">
        <f>SUM(J33:L33)</f>
        <v>84.71</v>
      </c>
      <c r="G33" s="137">
        <v>115</v>
      </c>
      <c r="H33" s="137">
        <f>G33-F33</f>
        <v>30.290000000000006</v>
      </c>
      <c r="J33" s="157">
        <v>84.71</v>
      </c>
      <c r="K33" s="157"/>
      <c r="L33" s="157"/>
    </row>
    <row r="34" spans="1:12">
      <c r="B34" s="137" t="s">
        <v>56</v>
      </c>
      <c r="C34" s="137" t="s">
        <v>57</v>
      </c>
      <c r="F34" s="137">
        <f>SUM(J34:L34)</f>
        <v>0</v>
      </c>
      <c r="G34" s="137">
        <v>40</v>
      </c>
      <c r="H34" s="137">
        <f>G34-F34</f>
        <v>40</v>
      </c>
      <c r="J34" s="157"/>
      <c r="K34" s="157"/>
      <c r="L34" s="157"/>
    </row>
    <row r="35" spans="1:12">
      <c r="B35" s="137" t="s">
        <v>108</v>
      </c>
      <c r="C35" s="137" t="s">
        <v>109</v>
      </c>
      <c r="D35" s="137" t="s">
        <v>432</v>
      </c>
      <c r="F35" s="137">
        <f>SUM(J35:L35)</f>
        <v>0</v>
      </c>
      <c r="G35" s="137">
        <v>85</v>
      </c>
      <c r="H35" s="137">
        <f>G35-F35</f>
        <v>85</v>
      </c>
      <c r="J35" s="157"/>
      <c r="K35" s="157"/>
      <c r="L35" s="157"/>
    </row>
    <row r="36" spans="1:12">
      <c r="B36" s="137" t="s">
        <v>111</v>
      </c>
      <c r="C36" s="137" t="s">
        <v>112</v>
      </c>
      <c r="D36" s="137" t="s">
        <v>113</v>
      </c>
      <c r="F36" s="137">
        <f>SUM(J36:L36)</f>
        <v>0</v>
      </c>
      <c r="G36" s="137">
        <v>100</v>
      </c>
      <c r="H36" s="137">
        <f>G36-F36</f>
        <v>100</v>
      </c>
      <c r="J36" s="157"/>
      <c r="K36" s="157"/>
      <c r="L36" s="157"/>
    </row>
    <row r="37" spans="1:12">
      <c r="J37" s="157"/>
      <c r="K37" s="157"/>
      <c r="L37" s="157"/>
    </row>
    <row r="38" spans="1:12" ht="12.75">
      <c r="A38" s="141" t="s">
        <v>518</v>
      </c>
      <c r="B38" s="141">
        <f>SUM(F39:F40)</f>
        <v>140.41999999999999</v>
      </c>
      <c r="C38" s="141">
        <f>SUM(G39:G40)</f>
        <v>138</v>
      </c>
      <c r="D38" s="141">
        <f>C38-B38</f>
        <v>-2.4199999999999875</v>
      </c>
      <c r="J38" s="157"/>
      <c r="K38" s="157"/>
      <c r="L38" s="157"/>
    </row>
    <row r="39" spans="1:12" ht="12.75">
      <c r="A39" s="137" t="s">
        <v>460</v>
      </c>
      <c r="B39" s="137" t="s">
        <v>64</v>
      </c>
      <c r="C39" s="137" t="s">
        <v>65</v>
      </c>
      <c r="F39" s="137">
        <f>SUM(J39:L39)</f>
        <v>66.319999999999993</v>
      </c>
      <c r="G39" s="137">
        <v>63</v>
      </c>
      <c r="H39" s="137">
        <f>G39-F39</f>
        <v>-3.3199999999999932</v>
      </c>
      <c r="J39" s="157"/>
      <c r="K39" s="157">
        <v>66.319999999999993</v>
      </c>
      <c r="L39" s="157"/>
    </row>
    <row r="40" spans="1:12">
      <c r="B40" s="137" t="s">
        <v>115</v>
      </c>
      <c r="C40" s="137" t="s">
        <v>116</v>
      </c>
      <c r="F40" s="137">
        <f>SUM(J40:L40)</f>
        <v>74.099999999999994</v>
      </c>
      <c r="G40" s="137">
        <v>75</v>
      </c>
      <c r="H40" s="137">
        <f>G40-F40</f>
        <v>0.90000000000000568</v>
      </c>
      <c r="J40" s="157"/>
      <c r="K40" s="157">
        <v>74.099999999999994</v>
      </c>
      <c r="L40" s="157"/>
    </row>
    <row r="41" spans="1:12">
      <c r="J41" s="157"/>
      <c r="K41" s="157"/>
      <c r="L41" s="157"/>
    </row>
    <row r="42" spans="1:12" ht="12.75">
      <c r="A42" s="141" t="s">
        <v>117</v>
      </c>
      <c r="B42" s="141">
        <f>SUM(F43:F45)</f>
        <v>0</v>
      </c>
      <c r="C42" s="141">
        <f>SUM(G43:G45)</f>
        <v>177</v>
      </c>
      <c r="D42" s="141">
        <f>C42-B42</f>
        <v>177</v>
      </c>
      <c r="J42" s="157"/>
      <c r="K42" s="157"/>
      <c r="L42" s="157"/>
    </row>
    <row r="43" spans="1:12" ht="12.75">
      <c r="A43" s="137"/>
      <c r="B43" s="137" t="s">
        <v>118</v>
      </c>
      <c r="C43" s="137" t="s">
        <v>119</v>
      </c>
      <c r="F43" s="137">
        <f>SUM(J43:L43)</f>
        <v>0</v>
      </c>
      <c r="G43" s="137">
        <v>56.5</v>
      </c>
      <c r="H43" s="137">
        <f>G43-F43</f>
        <v>56.5</v>
      </c>
      <c r="J43" s="157"/>
      <c r="K43" s="157"/>
      <c r="L43" s="157"/>
    </row>
    <row r="44" spans="1:12" ht="12.75">
      <c r="A44" s="137"/>
      <c r="B44" s="137" t="s">
        <v>120</v>
      </c>
      <c r="C44" s="137" t="s">
        <v>119</v>
      </c>
      <c r="F44" s="137">
        <f>SUM(J44:L44)</f>
        <v>0</v>
      </c>
      <c r="G44" s="137">
        <v>84.5</v>
      </c>
      <c r="H44" s="137">
        <f>G44-F44</f>
        <v>84.5</v>
      </c>
      <c r="J44" s="157"/>
      <c r="K44" s="157"/>
      <c r="L44" s="157"/>
    </row>
    <row r="45" spans="1:12" ht="12.75">
      <c r="A45" s="137"/>
      <c r="B45" s="137" t="s">
        <v>121</v>
      </c>
      <c r="F45" s="137">
        <f>SUM(J45:L45)</f>
        <v>0</v>
      </c>
      <c r="G45" s="137">
        <v>36</v>
      </c>
      <c r="H45" s="137">
        <f>G45-F45</f>
        <v>36</v>
      </c>
      <c r="J45" s="157"/>
      <c r="K45" s="157"/>
      <c r="L45" s="157"/>
    </row>
    <row r="46" spans="1:12" ht="12.75">
      <c r="A46" s="137"/>
      <c r="D46" s="141"/>
      <c r="J46" s="157"/>
      <c r="K46" s="157"/>
      <c r="L46" s="157"/>
    </row>
    <row r="47" spans="1:12" ht="12.75">
      <c r="A47" s="141" t="s">
        <v>122</v>
      </c>
      <c r="B47" s="141">
        <f>SUM(F48:F51)</f>
        <v>517.45000000000005</v>
      </c>
      <c r="C47" s="141">
        <f>SUM(G48:G51)</f>
        <v>130</v>
      </c>
      <c r="D47" s="141">
        <f>C47-B47</f>
        <v>-387.45000000000005</v>
      </c>
      <c r="J47" s="157"/>
      <c r="K47" s="157"/>
      <c r="L47" s="157"/>
    </row>
    <row r="48" spans="1:12" ht="12.75">
      <c r="A48" s="137"/>
      <c r="B48" s="137" t="s">
        <v>124</v>
      </c>
      <c r="F48" s="137">
        <f>SUM(J48:L48)</f>
        <v>0</v>
      </c>
      <c r="G48" s="137">
        <v>20</v>
      </c>
      <c r="H48" s="137">
        <f>G48-F48</f>
        <v>20</v>
      </c>
      <c r="J48" s="157"/>
      <c r="K48" s="157"/>
      <c r="L48" s="157"/>
    </row>
    <row r="49" spans="1:13">
      <c r="B49" s="137" t="s">
        <v>125</v>
      </c>
      <c r="F49" s="137">
        <f>SUM(J49:L49)</f>
        <v>0</v>
      </c>
      <c r="G49" s="137">
        <v>10</v>
      </c>
      <c r="H49" s="137">
        <f>G49-F49</f>
        <v>10</v>
      </c>
      <c r="J49" s="157"/>
      <c r="K49" s="157"/>
      <c r="L49" s="157"/>
    </row>
    <row r="50" spans="1:13">
      <c r="B50" s="137" t="s">
        <v>126</v>
      </c>
      <c r="F50" s="137">
        <f>SUM(J50:L50)</f>
        <v>517.45000000000005</v>
      </c>
      <c r="G50" s="137">
        <v>50</v>
      </c>
      <c r="H50" s="137">
        <f>G50-F50</f>
        <v>-467.45000000000005</v>
      </c>
      <c r="J50" s="157">
        <v>395</v>
      </c>
      <c r="K50" s="157">
        <f>1.39+81.92+43.92+36.32+23.94-65.04</f>
        <v>122.45</v>
      </c>
      <c r="L50" s="157"/>
      <c r="M50" s="137" t="s">
        <v>607</v>
      </c>
    </row>
    <row r="51" spans="1:13">
      <c r="B51" s="137" t="s">
        <v>127</v>
      </c>
      <c r="F51" s="137">
        <f>SUM(J51:L51)</f>
        <v>0</v>
      </c>
      <c r="G51" s="137">
        <v>50</v>
      </c>
      <c r="H51" s="137">
        <f>G51-F51</f>
        <v>50</v>
      </c>
      <c r="J51" s="157"/>
      <c r="K51" s="157"/>
      <c r="L51" s="157"/>
    </row>
    <row r="52" spans="1:13">
      <c r="J52" s="157"/>
      <c r="K52" s="157"/>
      <c r="L52" s="157"/>
    </row>
    <row r="53" spans="1:13" ht="12.75">
      <c r="A53" s="141" t="s">
        <v>436</v>
      </c>
      <c r="B53" s="141">
        <f>SUM(F54:F56)</f>
        <v>0</v>
      </c>
      <c r="C53" s="141">
        <f>SUM(G54:G56)</f>
        <v>80</v>
      </c>
      <c r="D53" s="141">
        <f>C53-B53</f>
        <v>80</v>
      </c>
      <c r="J53" s="157"/>
      <c r="K53" s="157"/>
      <c r="L53" s="157"/>
    </row>
    <row r="54" spans="1:13">
      <c r="B54" s="137" t="s">
        <v>520</v>
      </c>
      <c r="F54" s="137">
        <f>SUM(J54:L54)</f>
        <v>0</v>
      </c>
      <c r="G54" s="137">
        <f>50</f>
        <v>50</v>
      </c>
      <c r="H54" s="137">
        <f>G54-F54</f>
        <v>50</v>
      </c>
      <c r="J54" s="157"/>
      <c r="K54" s="157"/>
      <c r="L54" s="157"/>
    </row>
    <row r="55" spans="1:13">
      <c r="B55" s="137" t="s">
        <v>131</v>
      </c>
      <c r="F55" s="137">
        <f>SUM(J55:L55)</f>
        <v>0</v>
      </c>
      <c r="G55" s="137">
        <v>20</v>
      </c>
      <c r="H55" s="137">
        <f>G55-F55</f>
        <v>20</v>
      </c>
      <c r="J55" s="157"/>
      <c r="K55" s="157"/>
      <c r="L55" s="157"/>
    </row>
    <row r="56" spans="1:13">
      <c r="B56" s="137" t="s">
        <v>132</v>
      </c>
      <c r="D56" s="137" t="s">
        <v>438</v>
      </c>
      <c r="F56" s="137">
        <f>SUM(J56:L56)</f>
        <v>0</v>
      </c>
      <c r="G56" s="137">
        <v>10</v>
      </c>
      <c r="H56" s="137">
        <f>G56-F56</f>
        <v>10</v>
      </c>
      <c r="J56" s="157"/>
      <c r="K56" s="157"/>
      <c r="L56" s="157"/>
    </row>
    <row r="57" spans="1:13">
      <c r="J57" s="157"/>
      <c r="K57" s="157"/>
      <c r="L57" s="157"/>
    </row>
    <row r="58" spans="1:13" ht="12.75">
      <c r="A58" s="141" t="s">
        <v>133</v>
      </c>
      <c r="B58" s="141">
        <f>SUM(F59:F64)</f>
        <v>771.13</v>
      </c>
      <c r="C58" s="141">
        <f>SUM(G59:G64)</f>
        <v>500</v>
      </c>
      <c r="D58" s="141">
        <f>C58-B58</f>
        <v>-271.13</v>
      </c>
      <c r="J58" s="157"/>
      <c r="K58" s="157"/>
      <c r="L58" s="157"/>
    </row>
    <row r="59" spans="1:13" ht="12.75">
      <c r="A59" s="137"/>
      <c r="B59" s="137" t="s">
        <v>134</v>
      </c>
      <c r="F59" s="137">
        <f t="shared" ref="F59:F64" si="0">SUM(J59:L59)</f>
        <v>184.56</v>
      </c>
      <c r="G59" s="137">
        <v>100</v>
      </c>
      <c r="H59" s="137">
        <f t="shared" ref="H59:H64" si="1">G59-F59</f>
        <v>-84.56</v>
      </c>
      <c r="J59" s="157">
        <f>100+84.56</f>
        <v>184.56</v>
      </c>
      <c r="K59" s="157"/>
      <c r="L59" s="157"/>
    </row>
    <row r="60" spans="1:13">
      <c r="B60" s="137" t="s">
        <v>135</v>
      </c>
      <c r="F60" s="137">
        <f t="shared" si="0"/>
        <v>519.11</v>
      </c>
      <c r="G60" s="137">
        <v>300</v>
      </c>
      <c r="H60" s="137">
        <f t="shared" si="1"/>
        <v>-219.11</v>
      </c>
      <c r="J60" s="157"/>
      <c r="K60" s="157">
        <v>7.99</v>
      </c>
      <c r="L60" s="157">
        <f>13.46+(87.15-19.16)+13.05+78.81+44.76+66.56+29.99+10.22+(101.17-31.28-11.75-14.96-10)+147.13+5.97</f>
        <v>511.12000000000006</v>
      </c>
      <c r="M60" s="167" t="s">
        <v>560</v>
      </c>
    </row>
    <row r="61" spans="1:13">
      <c r="B61" s="137" t="s">
        <v>136</v>
      </c>
      <c r="F61" s="137">
        <f t="shared" si="0"/>
        <v>19.16</v>
      </c>
      <c r="G61" s="137">
        <v>30</v>
      </c>
      <c r="H61" s="137">
        <f t="shared" si="1"/>
        <v>10.84</v>
      </c>
      <c r="J61" s="157"/>
      <c r="K61" s="157"/>
      <c r="L61" s="157">
        <v>19.16</v>
      </c>
      <c r="M61" s="167"/>
    </row>
    <row r="62" spans="1:13">
      <c r="B62" s="137" t="s">
        <v>138</v>
      </c>
      <c r="F62" s="137">
        <f t="shared" si="0"/>
        <v>11.75</v>
      </c>
      <c r="G62" s="137">
        <v>30</v>
      </c>
      <c r="H62" s="137">
        <f t="shared" si="1"/>
        <v>18.25</v>
      </c>
      <c r="J62" s="157">
        <v>-58.84</v>
      </c>
      <c r="K62" s="157"/>
      <c r="L62" s="157">
        <f>11.75+58.84</f>
        <v>70.59</v>
      </c>
      <c r="M62" s="137" t="s">
        <v>603</v>
      </c>
    </row>
    <row r="63" spans="1:13">
      <c r="B63" s="137" t="s">
        <v>139</v>
      </c>
      <c r="F63" s="137">
        <f t="shared" si="0"/>
        <v>36.549999999999997</v>
      </c>
      <c r="G63" s="137">
        <v>30</v>
      </c>
      <c r="H63" s="137">
        <f t="shared" si="1"/>
        <v>-6.5499999999999972</v>
      </c>
      <c r="J63" s="157"/>
      <c r="K63" s="157">
        <v>26.55</v>
      </c>
      <c r="L63" s="157">
        <v>10</v>
      </c>
      <c r="M63" s="137" t="s">
        <v>612</v>
      </c>
    </row>
    <row r="64" spans="1:13">
      <c r="B64" s="137" t="s">
        <v>140</v>
      </c>
      <c r="F64" s="137">
        <f t="shared" si="0"/>
        <v>0</v>
      </c>
      <c r="G64" s="137">
        <v>10</v>
      </c>
      <c r="H64" s="137">
        <f t="shared" si="1"/>
        <v>10</v>
      </c>
      <c r="J64" s="157"/>
      <c r="K64" s="157"/>
      <c r="L64" s="157"/>
    </row>
    <row r="65" spans="1:13">
      <c r="J65" s="157"/>
      <c r="K65" s="157"/>
      <c r="L65" s="157"/>
    </row>
    <row r="66" spans="1:13" ht="12.75">
      <c r="A66" s="141" t="s">
        <v>141</v>
      </c>
      <c r="B66" s="141">
        <f>SUM(F67:F69)</f>
        <v>109.46000000000001</v>
      </c>
      <c r="C66" s="141">
        <f>SUM(G67:G69)</f>
        <v>105</v>
      </c>
      <c r="D66" s="141">
        <f>C66-B66</f>
        <v>-4.460000000000008</v>
      </c>
      <c r="J66" s="157"/>
      <c r="K66" s="157"/>
      <c r="L66" s="157"/>
    </row>
    <row r="67" spans="1:13">
      <c r="B67" s="137" t="s">
        <v>142</v>
      </c>
      <c r="F67" s="137">
        <f>SUM(J67:L67)</f>
        <v>0</v>
      </c>
      <c r="G67" s="137">
        <v>25</v>
      </c>
      <c r="H67" s="137">
        <f>G67-F67</f>
        <v>25</v>
      </c>
      <c r="J67" s="157"/>
      <c r="K67" s="157"/>
      <c r="L67" s="157"/>
    </row>
    <row r="68" spans="1:13">
      <c r="B68" s="137" t="s">
        <v>143</v>
      </c>
      <c r="F68" s="137">
        <f>SUM(J68:L68)</f>
        <v>0</v>
      </c>
      <c r="G68" s="137">
        <v>20</v>
      </c>
      <c r="H68" s="137">
        <f>G68-F68</f>
        <v>20</v>
      </c>
      <c r="J68" s="157"/>
      <c r="K68" s="157"/>
      <c r="L68" s="157"/>
    </row>
    <row r="69" spans="1:13">
      <c r="B69" s="137" t="s">
        <v>144</v>
      </c>
      <c r="F69" s="137">
        <f>SUM(J69:L69)</f>
        <v>109.46000000000001</v>
      </c>
      <c r="G69" s="137">
        <v>60</v>
      </c>
      <c r="H69" s="137">
        <f>G69-F69</f>
        <v>-49.460000000000008</v>
      </c>
      <c r="J69" s="157"/>
      <c r="K69" s="157"/>
      <c r="L69" s="157">
        <f>45.51+63.95</f>
        <v>109.46000000000001</v>
      </c>
    </row>
    <row r="70" spans="1:13">
      <c r="J70" s="157"/>
      <c r="K70" s="157"/>
      <c r="L70" s="157"/>
    </row>
    <row r="71" spans="1:13" ht="12.75">
      <c r="A71" s="141" t="s">
        <v>145</v>
      </c>
      <c r="B71" s="141">
        <f>SUM(F72:F76)</f>
        <v>601.39</v>
      </c>
      <c r="C71" s="141">
        <f>SUM(G72:G76)</f>
        <v>370</v>
      </c>
      <c r="D71" s="141">
        <f>C71-B71</f>
        <v>-231.39</v>
      </c>
      <c r="J71" s="157"/>
      <c r="K71" s="157"/>
      <c r="L71" s="157"/>
    </row>
    <row r="72" spans="1:13">
      <c r="B72" s="137" t="s">
        <v>146</v>
      </c>
      <c r="F72" s="137">
        <f>SUM(J72:L72)</f>
        <v>38.99</v>
      </c>
      <c r="G72" s="137">
        <v>100</v>
      </c>
      <c r="H72" s="137">
        <f>G72-F72</f>
        <v>61.01</v>
      </c>
      <c r="J72" s="157"/>
      <c r="K72" s="157">
        <v>38.99</v>
      </c>
      <c r="L72" s="157"/>
    </row>
    <row r="73" spans="1:13">
      <c r="B73" s="137" t="s">
        <v>147</v>
      </c>
      <c r="D73" s="137" t="s">
        <v>148</v>
      </c>
      <c r="F73" s="137">
        <f>SUM(J73:L73)</f>
        <v>35.24</v>
      </c>
      <c r="G73" s="137">
        <f>85*2</f>
        <v>170</v>
      </c>
      <c r="H73" s="137">
        <f>G73-F73</f>
        <v>134.76</v>
      </c>
      <c r="J73" s="157">
        <f>24.1+11.14</f>
        <v>35.24</v>
      </c>
      <c r="K73" s="157"/>
      <c r="L73" s="157"/>
    </row>
    <row r="74" spans="1:13">
      <c r="B74" s="137" t="s">
        <v>149</v>
      </c>
      <c r="F74" s="137">
        <f>SUM(J74:L74)</f>
        <v>107.62</v>
      </c>
      <c r="G74" s="137">
        <v>30</v>
      </c>
      <c r="H74" s="137">
        <f>G74-F74</f>
        <v>-77.62</v>
      </c>
      <c r="J74" s="157">
        <v>45.51</v>
      </c>
      <c r="K74" s="157">
        <f>21.99+40.12</f>
        <v>62.11</v>
      </c>
      <c r="L74" s="157"/>
    </row>
    <row r="75" spans="1:13" ht="12.75">
      <c r="A75" s="141"/>
      <c r="B75" s="137" t="s">
        <v>150</v>
      </c>
      <c r="F75" s="137">
        <f>SUM(J75:L75)</f>
        <v>399</v>
      </c>
      <c r="G75" s="137">
        <v>20</v>
      </c>
      <c r="H75" s="137">
        <f>G75-F75</f>
        <v>-379</v>
      </c>
      <c r="J75" s="157"/>
      <c r="K75" s="157">
        <v>399</v>
      </c>
      <c r="L75" s="157"/>
      <c r="M75" s="137" t="s">
        <v>622</v>
      </c>
    </row>
    <row r="76" spans="1:13" ht="12.75">
      <c r="A76" s="141"/>
      <c r="B76" s="137" t="s">
        <v>151</v>
      </c>
      <c r="F76" s="137">
        <f>SUM(J76:L76)</f>
        <v>20.54</v>
      </c>
      <c r="G76" s="137">
        <v>50</v>
      </c>
      <c r="H76" s="137">
        <f>G76-F76</f>
        <v>29.46</v>
      </c>
      <c r="J76" s="157"/>
      <c r="K76" s="157">
        <f>10.72+2.56+7.26</f>
        <v>20.54</v>
      </c>
      <c r="L76" s="157"/>
    </row>
    <row r="77" spans="1:13" ht="12.75">
      <c r="A77" s="141"/>
      <c r="B77" s="141"/>
      <c r="J77" s="157"/>
      <c r="K77" s="157"/>
      <c r="L77" s="157"/>
    </row>
    <row r="78" spans="1:13" ht="12.75">
      <c r="A78" s="141" t="s">
        <v>152</v>
      </c>
      <c r="B78" s="141">
        <f>SUM(F79:F82)</f>
        <v>238.74</v>
      </c>
      <c r="C78" s="141">
        <f>SUM(G79:G82)</f>
        <v>290</v>
      </c>
      <c r="D78" s="141">
        <f>C78-B78</f>
        <v>51.259999999999991</v>
      </c>
      <c r="J78" s="157"/>
      <c r="K78" s="157"/>
      <c r="L78" s="157"/>
    </row>
    <row r="79" spans="1:13" ht="12.75">
      <c r="A79" s="137"/>
      <c r="B79" s="137" t="s">
        <v>153</v>
      </c>
      <c r="D79" s="137" t="s">
        <v>154</v>
      </c>
      <c r="F79" s="137">
        <f>SUM(J79:L79)</f>
        <v>0</v>
      </c>
      <c r="G79" s="137">
        <f>1200/12</f>
        <v>100</v>
      </c>
      <c r="H79" s="137">
        <f>G79-F79</f>
        <v>100</v>
      </c>
      <c r="J79" s="157"/>
      <c r="K79" s="157"/>
      <c r="L79" s="157"/>
    </row>
    <row r="80" spans="1:13">
      <c r="B80" s="137" t="s">
        <v>155</v>
      </c>
      <c r="D80" s="137" t="s">
        <v>156</v>
      </c>
      <c r="F80" s="137">
        <f>SUM(J80:L80)</f>
        <v>46.94</v>
      </c>
      <c r="G80" s="137">
        <v>10</v>
      </c>
      <c r="H80" s="137">
        <f>G80-F80</f>
        <v>-36.94</v>
      </c>
      <c r="J80" s="157">
        <v>-18</v>
      </c>
      <c r="K80" s="157"/>
      <c r="L80" s="157">
        <f>24.99+39.95</f>
        <v>64.94</v>
      </c>
      <c r="M80" s="137" t="s">
        <v>603</v>
      </c>
    </row>
    <row r="81" spans="1:15" ht="12.75">
      <c r="A81" s="141"/>
      <c r="B81" s="137" t="s">
        <v>157</v>
      </c>
      <c r="F81" s="137">
        <f>SUM(J81:L81)</f>
        <v>191.8</v>
      </c>
      <c r="G81" s="137">
        <f>150</f>
        <v>150</v>
      </c>
      <c r="H81" s="137">
        <f>G81-F81</f>
        <v>-41.800000000000011</v>
      </c>
      <c r="J81" s="157">
        <f>241.8-50</f>
        <v>191.8</v>
      </c>
      <c r="K81" s="157"/>
      <c r="L81" s="157"/>
      <c r="M81" s="137" t="s">
        <v>603</v>
      </c>
      <c r="O81" s="137" t="s">
        <v>631</v>
      </c>
    </row>
    <row r="82" spans="1:15" ht="12.75">
      <c r="A82" s="141"/>
      <c r="B82" s="137" t="s">
        <v>158</v>
      </c>
      <c r="F82" s="137">
        <f>SUM(J82:L82)</f>
        <v>0</v>
      </c>
      <c r="G82" s="137">
        <v>30</v>
      </c>
      <c r="H82" s="137">
        <f>G82-F82</f>
        <v>30</v>
      </c>
      <c r="J82" s="157"/>
      <c r="K82" s="157"/>
      <c r="L82" s="157"/>
    </row>
    <row r="83" spans="1:15" ht="12.75">
      <c r="A83" s="141"/>
      <c r="B83" s="141"/>
      <c r="J83" s="157"/>
      <c r="K83" s="157"/>
      <c r="L83" s="157"/>
    </row>
    <row r="84" spans="1:15" ht="12.75">
      <c r="A84" s="141" t="s">
        <v>159</v>
      </c>
      <c r="B84" s="141">
        <f>SUM(F85:F88)</f>
        <v>578.41000000000008</v>
      </c>
      <c r="C84" s="141">
        <f>SUM(G85:G88)</f>
        <v>120</v>
      </c>
      <c r="D84" s="141">
        <f>C84-B84</f>
        <v>-458.41000000000008</v>
      </c>
      <c r="J84" s="157"/>
      <c r="K84" s="157"/>
      <c r="L84" s="157"/>
    </row>
    <row r="85" spans="1:15" ht="12.75">
      <c r="A85" s="141"/>
      <c r="B85" s="137" t="s">
        <v>610</v>
      </c>
      <c r="F85" s="137">
        <f>SUM(J85:L85)</f>
        <v>143.99</v>
      </c>
      <c r="G85" s="137">
        <v>50</v>
      </c>
      <c r="H85" s="137">
        <f>G85-F85</f>
        <v>-93.990000000000009</v>
      </c>
      <c r="J85" s="157"/>
      <c r="K85" s="157">
        <f>25.23+27+21.8+25.6+13.08</f>
        <v>112.71</v>
      </c>
      <c r="L85" s="157">
        <f>31.28</f>
        <v>31.28</v>
      </c>
      <c r="M85" s="137" t="s">
        <v>611</v>
      </c>
    </row>
    <row r="86" spans="1:15" ht="12.75">
      <c r="A86" s="141"/>
      <c r="B86" s="137" t="s">
        <v>609</v>
      </c>
      <c r="F86" s="137">
        <f>SUM(J86:L86)</f>
        <v>0</v>
      </c>
      <c r="G86" s="137">
        <v>20</v>
      </c>
      <c r="H86" s="137">
        <f>G86-F86</f>
        <v>20</v>
      </c>
      <c r="J86" s="157"/>
      <c r="K86" s="157"/>
      <c r="L86" s="157"/>
    </row>
    <row r="87" spans="1:15" ht="12.75">
      <c r="A87" s="141"/>
      <c r="B87" s="137" t="s">
        <v>164</v>
      </c>
      <c r="F87" s="137">
        <f>SUM(J87:L87)</f>
        <v>434.42</v>
      </c>
      <c r="G87" s="137">
        <v>30</v>
      </c>
      <c r="H87" s="137">
        <f>G87-F87</f>
        <v>-404.42</v>
      </c>
      <c r="J87" s="157">
        <v>415.44</v>
      </c>
      <c r="K87" s="157">
        <v>18.98</v>
      </c>
      <c r="L87" s="157"/>
      <c r="M87" s="137" t="s">
        <v>623</v>
      </c>
    </row>
    <row r="88" spans="1:15" ht="12.75">
      <c r="A88" s="141"/>
      <c r="B88" s="137" t="s">
        <v>165</v>
      </c>
      <c r="F88" s="137">
        <f>SUM(J88:L88)</f>
        <v>0</v>
      </c>
      <c r="G88" s="137">
        <v>20</v>
      </c>
      <c r="H88" s="137">
        <f>G88-F88</f>
        <v>20</v>
      </c>
      <c r="J88" s="157"/>
      <c r="K88" s="157"/>
      <c r="L88" s="157"/>
    </row>
    <row r="89" spans="1:15" ht="12.75">
      <c r="A89" s="141"/>
      <c r="J89" s="157"/>
      <c r="K89" s="157"/>
      <c r="L89" s="157"/>
    </row>
    <row r="90" spans="1:15" ht="12.75">
      <c r="A90" s="141" t="s">
        <v>166</v>
      </c>
      <c r="B90" s="141">
        <f>SUM(F91:F92)</f>
        <v>0</v>
      </c>
      <c r="C90" s="141">
        <f>SUM(G91:G92)</f>
        <v>70</v>
      </c>
      <c r="D90" s="141">
        <f>C90-B90</f>
        <v>70</v>
      </c>
      <c r="J90" s="157"/>
      <c r="K90" s="157"/>
      <c r="L90" s="157"/>
    </row>
    <row r="91" spans="1:15" ht="12.75">
      <c r="A91" s="141"/>
      <c r="B91" s="137" t="s">
        <v>167</v>
      </c>
      <c r="F91" s="137">
        <f>SUM(J91:L91)</f>
        <v>0</v>
      </c>
      <c r="G91" s="137">
        <v>40</v>
      </c>
      <c r="H91" s="137">
        <f>G91-F91</f>
        <v>40</v>
      </c>
      <c r="J91" s="157"/>
      <c r="K91" s="157"/>
      <c r="L91" s="157"/>
    </row>
    <row r="92" spans="1:15" ht="12.75">
      <c r="A92" s="141"/>
      <c r="B92" s="137" t="s">
        <v>168</v>
      </c>
      <c r="D92" s="137" t="s">
        <v>169</v>
      </c>
      <c r="F92" s="137">
        <f>SUM(J92:L92)</f>
        <v>0</v>
      </c>
      <c r="G92" s="137">
        <v>30</v>
      </c>
      <c r="H92" s="137">
        <f>G92-F92</f>
        <v>30</v>
      </c>
      <c r="J92" s="157"/>
      <c r="K92" s="157"/>
      <c r="L92" s="157"/>
    </row>
    <row r="93" spans="1:15" ht="12.75">
      <c r="A93" s="141"/>
      <c r="J93" s="157"/>
      <c r="K93" s="157"/>
      <c r="L93" s="157"/>
    </row>
    <row r="94" spans="1:15" ht="12.75">
      <c r="A94" s="141" t="s">
        <v>170</v>
      </c>
      <c r="B94" s="141">
        <f>F95</f>
        <v>0</v>
      </c>
      <c r="C94" s="141">
        <f>G95</f>
        <v>20</v>
      </c>
      <c r="D94" s="141">
        <f>C94-B94</f>
        <v>20</v>
      </c>
      <c r="J94" s="157"/>
      <c r="K94" s="157"/>
      <c r="L94" s="157"/>
    </row>
    <row r="95" spans="1:15" ht="12.75">
      <c r="A95" s="141"/>
      <c r="B95" s="137" t="s">
        <v>171</v>
      </c>
      <c r="F95" s="137">
        <f>SUM(J95:L95)</f>
        <v>0</v>
      </c>
      <c r="G95" s="137">
        <v>20</v>
      </c>
      <c r="H95" s="137">
        <f>G95-F95</f>
        <v>20</v>
      </c>
      <c r="J95" s="157"/>
      <c r="K95" s="157"/>
      <c r="L95" s="157"/>
    </row>
    <row r="96" spans="1:15" ht="12.75">
      <c r="A96" s="141"/>
      <c r="J96" s="157"/>
      <c r="K96" s="157"/>
      <c r="L96" s="157"/>
    </row>
    <row r="97" spans="1:13" ht="12.75">
      <c r="A97" s="141" t="s">
        <v>172</v>
      </c>
      <c r="B97" s="141">
        <f>F98</f>
        <v>18.23</v>
      </c>
      <c r="C97" s="141">
        <f>G98</f>
        <v>10</v>
      </c>
      <c r="D97" s="141">
        <f>C97-B97</f>
        <v>-8.23</v>
      </c>
      <c r="J97" s="157"/>
      <c r="K97" s="157"/>
      <c r="L97" s="157"/>
    </row>
    <row r="98" spans="1:13">
      <c r="B98" s="137" t="s">
        <v>173</v>
      </c>
      <c r="F98" s="137">
        <f>SUM(J98:L98)</f>
        <v>18.23</v>
      </c>
      <c r="G98" s="137">
        <v>10</v>
      </c>
      <c r="H98" s="137">
        <f>G98-F98</f>
        <v>-8.23</v>
      </c>
      <c r="J98" s="157"/>
      <c r="K98" s="157">
        <f>3.27</f>
        <v>3.27</v>
      </c>
      <c r="L98" s="157">
        <v>14.96</v>
      </c>
      <c r="M98" s="137" t="s">
        <v>626</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dimension ref="A1:T98"/>
  <sheetViews>
    <sheetView topLeftCell="A41" zoomScale="84" zoomScaleNormal="84" workbookViewId="0">
      <pane ySplit="1" activePane="bottomLeft"/>
      <selection activeCell="D17" sqref="D17"/>
      <selection pane="bottomLeft" activeCell="E25" sqref="E25"/>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20">
      <c r="A1" s="138" t="s">
        <v>344</v>
      </c>
      <c r="B1" s="139">
        <v>2012</v>
      </c>
      <c r="C1" s="139"/>
      <c r="J1" s="137" t="s">
        <v>449</v>
      </c>
      <c r="Q1" s="137" t="s">
        <v>621</v>
      </c>
    </row>
    <row r="2" spans="1:20">
      <c r="A2" s="138" t="s">
        <v>331</v>
      </c>
      <c r="B2" s="137" t="s">
        <v>23</v>
      </c>
      <c r="C2" s="141"/>
      <c r="J2" s="137" t="s">
        <v>559</v>
      </c>
      <c r="Q2" s="137" t="s">
        <v>616</v>
      </c>
      <c r="R2" s="137">
        <f>July!L85+14.59+7.18+10.57</f>
        <v>63.620000000000005</v>
      </c>
    </row>
    <row r="3" spans="1:20">
      <c r="J3" s="137" t="s">
        <v>614</v>
      </c>
      <c r="N3" s="137">
        <f>SUM(R2:R6)</f>
        <v>761.5</v>
      </c>
      <c r="Q3" s="137" t="s">
        <v>617</v>
      </c>
      <c r="R3" s="137">
        <f>80+18.24+5.08+5.76+16.19+11.03</f>
        <v>136.29999999999998</v>
      </c>
    </row>
    <row r="4" spans="1:20">
      <c r="A4" s="138" t="s">
        <v>9</v>
      </c>
      <c r="B4" s="143">
        <f>SUM(G5:G9)</f>
        <v>7987.7999999999993</v>
      </c>
      <c r="C4" s="143"/>
      <c r="G4" s="137" t="s">
        <v>185</v>
      </c>
      <c r="J4" s="137" t="s">
        <v>638</v>
      </c>
      <c r="N4" s="137">
        <f>SUM(T10:T13)</f>
        <v>568.31000000000006</v>
      </c>
      <c r="O4" s="142"/>
      <c r="Q4" s="137" t="s">
        <v>618</v>
      </c>
      <c r="R4" s="137">
        <f>334.25</f>
        <v>334.25</v>
      </c>
      <c r="T4" s="137">
        <f>R3+R2-31.28</f>
        <v>168.64</v>
      </c>
    </row>
    <row r="5" spans="1:20">
      <c r="B5" s="137" t="s">
        <v>34</v>
      </c>
      <c r="D5" s="137">
        <v>3168.06</v>
      </c>
      <c r="E5" s="137">
        <v>3261.33</v>
      </c>
      <c r="F5" s="137">
        <v>0</v>
      </c>
      <c r="G5" s="144">
        <f>SUM(D5:F5)</f>
        <v>6429.3899999999994</v>
      </c>
      <c r="H5" s="144"/>
      <c r="I5" s="144"/>
      <c r="J5" s="144"/>
      <c r="O5" s="142"/>
      <c r="Q5" s="137" t="s">
        <v>619</v>
      </c>
      <c r="R5" s="137">
        <f>L86</f>
        <v>168.62</v>
      </c>
    </row>
    <row r="6" spans="1:20">
      <c r="B6" s="137" t="s">
        <v>36</v>
      </c>
      <c r="D6" s="142">
        <v>519.48</v>
      </c>
      <c r="E6" s="137">
        <v>519.46</v>
      </c>
      <c r="F6" s="137">
        <v>519.47</v>
      </c>
      <c r="G6" s="144">
        <f>SUM(D6:F6)</f>
        <v>1558.41</v>
      </c>
      <c r="H6" s="144"/>
      <c r="I6" s="144"/>
      <c r="J6" s="144"/>
      <c r="O6" s="142"/>
      <c r="Q6" s="137" t="s">
        <v>620</v>
      </c>
      <c r="R6" s="137">
        <f>49+9.71</f>
        <v>58.71</v>
      </c>
    </row>
    <row r="7" spans="1:20">
      <c r="B7" s="137" t="s">
        <v>397</v>
      </c>
      <c r="G7" s="144">
        <f>SUM(D7:F7)</f>
        <v>0</v>
      </c>
      <c r="H7" s="144"/>
      <c r="I7" s="144"/>
      <c r="J7" s="144"/>
      <c r="O7" s="142"/>
    </row>
    <row r="8" spans="1:20">
      <c r="B8" s="137" t="s">
        <v>37</v>
      </c>
      <c r="D8" s="137">
        <v>0</v>
      </c>
      <c r="G8" s="144">
        <f>SUM(D8:F8)</f>
        <v>0</v>
      </c>
      <c r="H8" s="144"/>
      <c r="I8" s="144"/>
      <c r="J8" s="144" t="s">
        <v>641</v>
      </c>
      <c r="O8" s="142"/>
    </row>
    <row r="9" spans="1:20">
      <c r="J9" s="137" t="s">
        <v>643</v>
      </c>
      <c r="P9" s="142"/>
      <c r="Q9" s="137" t="s">
        <v>640</v>
      </c>
    </row>
    <row r="10" spans="1:20">
      <c r="J10" s="137" t="s">
        <v>644</v>
      </c>
      <c r="Q10" s="137" t="s">
        <v>615</v>
      </c>
      <c r="T10" s="137">
        <f>141</f>
        <v>141</v>
      </c>
    </row>
    <row r="11" spans="1:20">
      <c r="A11" s="138" t="s">
        <v>11</v>
      </c>
      <c r="B11" s="143">
        <f>Tithe!D13</f>
        <v>1040</v>
      </c>
      <c r="C11" s="143"/>
      <c r="D11" s="137" t="s">
        <v>187</v>
      </c>
      <c r="E11" s="145">
        <f>B11/B4</f>
        <v>0.13019855279300935</v>
      </c>
      <c r="Q11" s="137" t="s">
        <v>616</v>
      </c>
      <c r="T11" s="137">
        <f>119.84+10.89+11.94</f>
        <v>142.67000000000002</v>
      </c>
    </row>
    <row r="12" spans="1:20">
      <c r="A12" s="138"/>
      <c r="B12" s="143"/>
      <c r="C12" s="143"/>
      <c r="E12" s="145"/>
      <c r="Q12" s="137" t="s">
        <v>619</v>
      </c>
      <c r="T12" s="137">
        <f>K86</f>
        <v>165.87</v>
      </c>
    </row>
    <row r="13" spans="1:20">
      <c r="A13" s="138" t="s">
        <v>403</v>
      </c>
      <c r="B13" s="146">
        <f>SUM(D14:D17)+SUM(E14:E17)</f>
        <v>1250</v>
      </c>
      <c r="E13" s="137" t="s">
        <v>404</v>
      </c>
      <c r="Q13" s="137" t="s">
        <v>639</v>
      </c>
      <c r="T13" s="137">
        <f>84+34.77</f>
        <v>118.77000000000001</v>
      </c>
    </row>
    <row r="14" spans="1:20" ht="12.75">
      <c r="A14" s="137"/>
      <c r="B14" s="141" t="s">
        <v>405</v>
      </c>
      <c r="C14" s="141"/>
      <c r="D14" s="146">
        <v>750</v>
      </c>
    </row>
    <row r="15" spans="1:20">
      <c r="A15" s="138"/>
      <c r="B15" s="141" t="s">
        <v>406</v>
      </c>
      <c r="C15" s="141"/>
      <c r="D15" s="146">
        <v>200</v>
      </c>
    </row>
    <row r="16" spans="1:20">
      <c r="A16" s="138"/>
      <c r="B16" s="141" t="s">
        <v>407</v>
      </c>
      <c r="C16" s="141"/>
      <c r="D16" s="146">
        <v>200</v>
      </c>
      <c r="E16" s="137">
        <v>0</v>
      </c>
    </row>
    <row r="17" spans="1:19">
      <c r="A17" s="138"/>
      <c r="B17" s="141" t="s">
        <v>408</v>
      </c>
      <c r="C17" s="141"/>
      <c r="D17" s="146">
        <v>100</v>
      </c>
    </row>
    <row r="18" spans="1:19">
      <c r="A18" s="138"/>
      <c r="B18" s="141"/>
      <c r="C18" s="141"/>
      <c r="D18" s="146"/>
    </row>
    <row r="19" spans="1:19">
      <c r="A19" s="138" t="s">
        <v>409</v>
      </c>
    </row>
    <row r="20" spans="1:19">
      <c r="B20" s="141"/>
    </row>
    <row r="21" spans="1:19">
      <c r="A21" s="138" t="s">
        <v>410</v>
      </c>
      <c r="B21" s="137">
        <f>SUM(E21:E22)</f>
        <v>3680.1086999999998</v>
      </c>
      <c r="C21" s="137" t="s">
        <v>411</v>
      </c>
      <c r="D21" s="144"/>
      <c r="E21" s="137">
        <f>0.33*G5</f>
        <v>2121.6986999999999</v>
      </c>
      <c r="F21" s="137" t="s">
        <v>412</v>
      </c>
    </row>
    <row r="22" spans="1:19">
      <c r="C22" s="137" t="s">
        <v>413</v>
      </c>
      <c r="D22" s="144"/>
      <c r="E22" s="137">
        <f>SUM(G6:G8)</f>
        <v>1558.41</v>
      </c>
      <c r="F22" s="137" t="s">
        <v>458</v>
      </c>
    </row>
    <row r="23" spans="1:19">
      <c r="E23" s="144"/>
    </row>
    <row r="24" spans="1:19">
      <c r="A24" s="147" t="s">
        <v>415</v>
      </c>
      <c r="B24" s="148"/>
      <c r="C24" s="148"/>
      <c r="E24" s="149">
        <f>B4-B11-B13+D19-E21-E22</f>
        <v>2017.6912999999993</v>
      </c>
      <c r="F24" s="137" t="s">
        <v>416</v>
      </c>
      <c r="G24" s="146">
        <f>E24-D27</f>
        <v>-1621.4987000000012</v>
      </c>
    </row>
    <row r="25" spans="1:19">
      <c r="A25" s="147" t="s">
        <v>417</v>
      </c>
      <c r="B25" s="148"/>
      <c r="C25" s="148"/>
      <c r="E25" s="149">
        <f>SUM(E21:E22)+G24</f>
        <v>2058.6099999999988</v>
      </c>
      <c r="F25" s="137" t="s">
        <v>418</v>
      </c>
      <c r="G25" s="150">
        <f>E25/B4</f>
        <v>0.25771927188963156</v>
      </c>
      <c r="H25" s="137" t="s">
        <v>419</v>
      </c>
      <c r="K25" s="137">
        <f>K27+L27</f>
        <v>3451.09</v>
      </c>
      <c r="L25" s="137">
        <v>3451.09</v>
      </c>
    </row>
    <row r="26" spans="1:19">
      <c r="A26" s="138"/>
      <c r="B26" s="148"/>
      <c r="C26" s="148"/>
      <c r="E26" s="149"/>
    </row>
    <row r="27" spans="1:19">
      <c r="A27" s="138" t="s">
        <v>420</v>
      </c>
      <c r="D27" s="146">
        <f>J27+K27+L27</f>
        <v>3639.1900000000005</v>
      </c>
      <c r="F27" s="137">
        <f>SUM(F30:F98)</f>
        <v>3639.1899999999996</v>
      </c>
      <c r="G27" s="137">
        <f>SUM(G30:G98)</f>
        <v>2350</v>
      </c>
      <c r="H27" s="137">
        <f>SUM(H30:H98)</f>
        <v>-1289.19</v>
      </c>
      <c r="J27" s="137">
        <f>SUM(J30:J98)</f>
        <v>188.09999999999985</v>
      </c>
      <c r="K27" s="137">
        <f>SUM(K30:K98)</f>
        <v>1124.18</v>
      </c>
      <c r="L27" s="137">
        <f>SUM(L30:L98)</f>
        <v>2326.9100000000003</v>
      </c>
    </row>
    <row r="28" spans="1:19">
      <c r="A28" s="138"/>
      <c r="B28" s="141"/>
      <c r="D28" s="144"/>
    </row>
    <row r="29" spans="1:19" ht="12.75">
      <c r="A29" s="141"/>
      <c r="B29" s="143"/>
      <c r="F29" s="154" t="s">
        <v>426</v>
      </c>
      <c r="G29" s="137" t="s">
        <v>427</v>
      </c>
      <c r="H29" s="154" t="s">
        <v>487</v>
      </c>
      <c r="J29" s="155" t="s">
        <v>428</v>
      </c>
      <c r="K29" s="156" t="s">
        <v>429</v>
      </c>
      <c r="L29" s="156" t="s">
        <v>430</v>
      </c>
      <c r="S29" s="154"/>
    </row>
    <row r="30" spans="1:19" ht="12.75">
      <c r="A30" s="141" t="s">
        <v>105</v>
      </c>
      <c r="B30" s="141">
        <f>F30</f>
        <v>0</v>
      </c>
      <c r="C30" s="137" t="s">
        <v>106</v>
      </c>
      <c r="F30" s="137">
        <f>SUM(J30:L30)</f>
        <v>0</v>
      </c>
      <c r="G30" s="137">
        <f>0</f>
        <v>0</v>
      </c>
      <c r="H30" s="137">
        <f>G30-F30</f>
        <v>0</v>
      </c>
      <c r="J30" s="157"/>
      <c r="K30" s="157"/>
      <c r="L30" s="157"/>
    </row>
    <row r="31" spans="1:19" ht="12.75">
      <c r="A31" s="137"/>
      <c r="J31" s="157"/>
      <c r="K31" s="157"/>
      <c r="L31" s="157"/>
    </row>
    <row r="32" spans="1:19" ht="12.75">
      <c r="A32" s="141" t="s">
        <v>107</v>
      </c>
      <c r="B32" s="141">
        <f>SUM(F33:F36)</f>
        <v>117.91</v>
      </c>
      <c r="C32" s="141">
        <f>SUM(G33:G36)</f>
        <v>340</v>
      </c>
      <c r="D32" s="141">
        <f>C32-B32</f>
        <v>222.09</v>
      </c>
      <c r="J32" s="157"/>
      <c r="K32" s="157"/>
      <c r="L32" s="157"/>
    </row>
    <row r="33" spans="1:12">
      <c r="B33" s="137" t="s">
        <v>54</v>
      </c>
      <c r="C33" s="137" t="s">
        <v>55</v>
      </c>
      <c r="F33" s="137">
        <f>SUM(J33:L33)</f>
        <v>117.91</v>
      </c>
      <c r="G33" s="137">
        <v>115</v>
      </c>
      <c r="H33" s="137">
        <f>G33-F33</f>
        <v>-2.9099999999999966</v>
      </c>
      <c r="J33" s="157">
        <v>117.91</v>
      </c>
      <c r="K33" s="157"/>
      <c r="L33" s="157"/>
    </row>
    <row r="34" spans="1:12">
      <c r="B34" s="137" t="s">
        <v>56</v>
      </c>
      <c r="C34" s="137" t="s">
        <v>57</v>
      </c>
      <c r="F34" s="137">
        <f>SUM(J34:L34)</f>
        <v>0</v>
      </c>
      <c r="G34" s="137">
        <v>40</v>
      </c>
      <c r="H34" s="137">
        <f>G34-F34</f>
        <v>40</v>
      </c>
      <c r="J34" s="157"/>
      <c r="K34" s="157"/>
      <c r="L34" s="157"/>
    </row>
    <row r="35" spans="1:12">
      <c r="B35" s="137" t="s">
        <v>108</v>
      </c>
      <c r="C35" s="137" t="s">
        <v>109</v>
      </c>
      <c r="D35" s="137" t="s">
        <v>432</v>
      </c>
      <c r="F35" s="137">
        <f>SUM(J35:L35)</f>
        <v>0</v>
      </c>
      <c r="G35" s="137">
        <v>85</v>
      </c>
      <c r="H35" s="137">
        <f>G35-F35</f>
        <v>85</v>
      </c>
      <c r="J35" s="157"/>
      <c r="K35" s="157"/>
      <c r="L35" s="157"/>
    </row>
    <row r="36" spans="1:12">
      <c r="B36" s="137" t="s">
        <v>111</v>
      </c>
      <c r="C36" s="137" t="s">
        <v>112</v>
      </c>
      <c r="D36" s="137" t="s">
        <v>113</v>
      </c>
      <c r="F36" s="137">
        <f>SUM(J36:L36)</f>
        <v>0</v>
      </c>
      <c r="G36" s="137">
        <v>100</v>
      </c>
      <c r="H36" s="137">
        <f>G36-F36</f>
        <v>100</v>
      </c>
      <c r="J36" s="157"/>
      <c r="K36" s="157"/>
      <c r="L36" s="157"/>
    </row>
    <row r="37" spans="1:12">
      <c r="J37" s="157"/>
      <c r="K37" s="157"/>
      <c r="L37" s="157"/>
    </row>
    <row r="38" spans="1:12" ht="12.75">
      <c r="A38" s="141" t="s">
        <v>518</v>
      </c>
      <c r="B38" s="141">
        <f>SUM(F39:F40)</f>
        <v>135.67000000000002</v>
      </c>
      <c r="C38" s="141">
        <f>SUM(G39:G40)</f>
        <v>138</v>
      </c>
      <c r="D38" s="141">
        <f>C38-B38</f>
        <v>2.3299999999999841</v>
      </c>
      <c r="J38" s="157"/>
      <c r="K38" s="157"/>
      <c r="L38" s="157"/>
    </row>
    <row r="39" spans="1:12" ht="12.75">
      <c r="A39" s="137" t="s">
        <v>460</v>
      </c>
      <c r="B39" s="137" t="s">
        <v>64</v>
      </c>
      <c r="C39" s="137" t="s">
        <v>65</v>
      </c>
      <c r="F39" s="137">
        <f>SUM(J39:L39)</f>
        <v>60.34</v>
      </c>
      <c r="G39" s="137">
        <v>63</v>
      </c>
      <c r="H39" s="137">
        <f>G39-F39</f>
        <v>2.6599999999999966</v>
      </c>
      <c r="J39" s="157"/>
      <c r="K39" s="157">
        <v>60.34</v>
      </c>
      <c r="L39" s="157"/>
    </row>
    <row r="40" spans="1:12">
      <c r="B40" s="137" t="s">
        <v>115</v>
      </c>
      <c r="C40" s="137" t="s">
        <v>116</v>
      </c>
      <c r="F40" s="137">
        <f>SUM(J40:L40)</f>
        <v>75.33</v>
      </c>
      <c r="G40" s="137">
        <v>75</v>
      </c>
      <c r="H40" s="137">
        <f>G40-F40</f>
        <v>-0.32999999999999829</v>
      </c>
      <c r="J40" s="157"/>
      <c r="K40" s="157">
        <v>75.33</v>
      </c>
      <c r="L40" s="157"/>
    </row>
    <row r="41" spans="1:12">
      <c r="J41" s="157"/>
      <c r="K41" s="157"/>
      <c r="L41" s="157"/>
    </row>
    <row r="42" spans="1:12" ht="12.75">
      <c r="A42" s="141" t="s">
        <v>117</v>
      </c>
      <c r="B42" s="141">
        <f>SUM(F43:F45)</f>
        <v>0</v>
      </c>
      <c r="C42" s="141">
        <f>SUM(G43:G45)</f>
        <v>177</v>
      </c>
      <c r="D42" s="141">
        <f>C42-B42</f>
        <v>177</v>
      </c>
      <c r="J42" s="157"/>
      <c r="K42" s="157"/>
      <c r="L42" s="157"/>
    </row>
    <row r="43" spans="1:12" ht="12.75">
      <c r="A43" s="137"/>
      <c r="B43" s="137" t="s">
        <v>118</v>
      </c>
      <c r="C43" s="137" t="s">
        <v>119</v>
      </c>
      <c r="F43" s="137">
        <f>SUM(J43:L43)</f>
        <v>0</v>
      </c>
      <c r="G43" s="137">
        <v>56.5</v>
      </c>
      <c r="H43" s="137">
        <f>G43-F43</f>
        <v>56.5</v>
      </c>
      <c r="J43" s="157"/>
      <c r="K43" s="157"/>
      <c r="L43" s="157"/>
    </row>
    <row r="44" spans="1:12" ht="12.75">
      <c r="A44" s="137"/>
      <c r="B44" s="137" t="s">
        <v>120</v>
      </c>
      <c r="C44" s="137" t="s">
        <v>119</v>
      </c>
      <c r="F44" s="137">
        <f>SUM(J44:L44)</f>
        <v>0</v>
      </c>
      <c r="G44" s="137">
        <v>84.5</v>
      </c>
      <c r="H44" s="137">
        <f>G44-F44</f>
        <v>84.5</v>
      </c>
      <c r="J44" s="157"/>
      <c r="K44" s="157"/>
      <c r="L44" s="157"/>
    </row>
    <row r="45" spans="1:12" ht="12.75">
      <c r="A45" s="137"/>
      <c r="B45" s="137" t="s">
        <v>121</v>
      </c>
      <c r="F45" s="137">
        <f>SUM(J45:L45)</f>
        <v>0</v>
      </c>
      <c r="G45" s="137">
        <v>36</v>
      </c>
      <c r="H45" s="137">
        <f>G45-F45</f>
        <v>36</v>
      </c>
      <c r="J45" s="157"/>
      <c r="K45" s="157"/>
      <c r="L45" s="157"/>
    </row>
    <row r="46" spans="1:12" ht="12.75">
      <c r="A46" s="137"/>
      <c r="D46" s="141"/>
      <c r="J46" s="157"/>
      <c r="K46" s="157"/>
      <c r="L46" s="157"/>
    </row>
    <row r="47" spans="1:12" ht="12.75">
      <c r="A47" s="141" t="s">
        <v>122</v>
      </c>
      <c r="B47" s="141">
        <f>SUM(F48:F51)</f>
        <v>162.12</v>
      </c>
      <c r="C47" s="141">
        <f>SUM(G48:G51)</f>
        <v>130</v>
      </c>
      <c r="D47" s="141">
        <f>C47-B47</f>
        <v>-32.120000000000005</v>
      </c>
      <c r="J47" s="157"/>
      <c r="K47" s="157"/>
      <c r="L47" s="157"/>
    </row>
    <row r="48" spans="1:12" ht="12.75">
      <c r="A48" s="137"/>
      <c r="B48" s="137" t="s">
        <v>124</v>
      </c>
      <c r="F48" s="137">
        <f>SUM(J48:L48)</f>
        <v>0</v>
      </c>
      <c r="G48" s="137">
        <v>20</v>
      </c>
      <c r="H48" s="137">
        <f>G48-F48</f>
        <v>20</v>
      </c>
      <c r="J48" s="157"/>
      <c r="K48" s="157"/>
      <c r="L48" s="157"/>
    </row>
    <row r="49" spans="1:13">
      <c r="B49" s="137" t="s">
        <v>125</v>
      </c>
      <c r="F49" s="137">
        <f>SUM(J49:L49)</f>
        <v>0</v>
      </c>
      <c r="G49" s="137">
        <v>10</v>
      </c>
      <c r="H49" s="137">
        <f>G49-F49</f>
        <v>10</v>
      </c>
      <c r="J49" s="157"/>
      <c r="K49" s="157"/>
      <c r="L49" s="157"/>
    </row>
    <row r="50" spans="1:13">
      <c r="B50" s="137" t="s">
        <v>126</v>
      </c>
      <c r="F50" s="137">
        <f>SUM(J50:L50)</f>
        <v>162.12</v>
      </c>
      <c r="G50" s="137">
        <v>50</v>
      </c>
      <c r="H50" s="137">
        <f>G50-F50</f>
        <v>-112.12</v>
      </c>
      <c r="J50" s="157">
        <v>77</v>
      </c>
      <c r="K50" s="157">
        <f>7.98+77.14</f>
        <v>85.12</v>
      </c>
      <c r="L50" s="157"/>
      <c r="M50" s="137" t="s">
        <v>634</v>
      </c>
    </row>
    <row r="51" spans="1:13">
      <c r="B51" s="137" t="s">
        <v>127</v>
      </c>
      <c r="F51" s="137">
        <f>SUM(J51:L51)</f>
        <v>0</v>
      </c>
      <c r="G51" s="137">
        <v>50</v>
      </c>
      <c r="H51" s="137">
        <f>G51-F51</f>
        <v>50</v>
      </c>
      <c r="J51" s="157"/>
      <c r="K51" s="157"/>
      <c r="L51" s="157"/>
    </row>
    <row r="52" spans="1:13">
      <c r="J52" s="157"/>
      <c r="K52" s="157"/>
      <c r="L52" s="157"/>
    </row>
    <row r="53" spans="1:13" ht="12.75">
      <c r="A53" s="141" t="s">
        <v>436</v>
      </c>
      <c r="B53" s="141">
        <f>SUM(F54:F56)</f>
        <v>162.99</v>
      </c>
      <c r="C53" s="141">
        <f>SUM(G54:G56)</f>
        <v>80</v>
      </c>
      <c r="D53" s="141">
        <f>C53-B53</f>
        <v>-82.990000000000009</v>
      </c>
      <c r="J53" s="157"/>
      <c r="K53" s="157"/>
      <c r="L53" s="157"/>
    </row>
    <row r="54" spans="1:13">
      <c r="B54" s="137" t="s">
        <v>520</v>
      </c>
      <c r="F54" s="137">
        <f>SUM(J54:L54)</f>
        <v>0</v>
      </c>
      <c r="G54" s="137">
        <f>50</f>
        <v>50</v>
      </c>
      <c r="H54" s="137">
        <f>G54-F54</f>
        <v>50</v>
      </c>
      <c r="J54" s="157"/>
      <c r="K54" s="157"/>
      <c r="L54" s="157"/>
    </row>
    <row r="55" spans="1:13">
      <c r="B55" s="137" t="s">
        <v>131</v>
      </c>
      <c r="F55" s="137">
        <f>SUM(J55:L55)</f>
        <v>162.99</v>
      </c>
      <c r="G55" s="137">
        <v>20</v>
      </c>
      <c r="H55" s="137">
        <f>G55-F55</f>
        <v>-142.99</v>
      </c>
      <c r="J55" s="157"/>
      <c r="K55" s="157">
        <v>162.99</v>
      </c>
      <c r="L55" s="157"/>
      <c r="M55" s="137" t="s">
        <v>636</v>
      </c>
    </row>
    <row r="56" spans="1:13">
      <c r="B56" s="137" t="s">
        <v>132</v>
      </c>
      <c r="D56" s="137" t="s">
        <v>438</v>
      </c>
      <c r="F56" s="137">
        <f>SUM(J56:L56)</f>
        <v>0</v>
      </c>
      <c r="G56" s="137">
        <v>10</v>
      </c>
      <c r="H56" s="137">
        <f>G56-F56</f>
        <v>10</v>
      </c>
      <c r="J56" s="157"/>
      <c r="K56" s="157"/>
      <c r="L56" s="157"/>
    </row>
    <row r="57" spans="1:13">
      <c r="J57" s="157"/>
      <c r="K57" s="157"/>
      <c r="L57" s="157"/>
    </row>
    <row r="58" spans="1:13" ht="12.75">
      <c r="A58" s="141" t="s">
        <v>133</v>
      </c>
      <c r="B58" s="141">
        <f>SUM(F59:F64)</f>
        <v>1150.47</v>
      </c>
      <c r="C58" s="141">
        <f>SUM(G59:G64)</f>
        <v>500</v>
      </c>
      <c r="D58" s="141">
        <f>C58-B58</f>
        <v>-650.47</v>
      </c>
      <c r="J58" s="157"/>
      <c r="K58" s="157"/>
      <c r="L58" s="157"/>
    </row>
    <row r="59" spans="1:13" ht="12.75">
      <c r="A59" s="137"/>
      <c r="B59" s="137" t="s">
        <v>134</v>
      </c>
      <c r="F59" s="137">
        <f t="shared" ref="F59:F64" si="0">SUM(J59:L59)</f>
        <v>0</v>
      </c>
      <c r="G59" s="137">
        <v>100</v>
      </c>
      <c r="H59" s="137">
        <f t="shared" ref="H59:H64" si="1">G59-F59</f>
        <v>100</v>
      </c>
      <c r="J59" s="157"/>
      <c r="K59" s="157"/>
      <c r="L59" s="157"/>
    </row>
    <row r="60" spans="1:13">
      <c r="B60" s="137" t="s">
        <v>135</v>
      </c>
      <c r="F60" s="137">
        <f t="shared" si="0"/>
        <v>700.98</v>
      </c>
      <c r="G60" s="137">
        <v>300</v>
      </c>
      <c r="H60" s="137">
        <f t="shared" si="1"/>
        <v>-400.98</v>
      </c>
      <c r="J60" s="157">
        <f>-24.93+55.24+30.22+45.98</f>
        <v>106.50999999999999</v>
      </c>
      <c r="K60" s="157"/>
      <c r="L60" s="157">
        <f>10.97+24.04+5.48+43.11+24.77+77.29-4+13.5+75.85+(14.36-4.99)+105.5+119.84+11.94+76.81</f>
        <v>594.47</v>
      </c>
      <c r="M60" s="167" t="s">
        <v>491</v>
      </c>
    </row>
    <row r="61" spans="1:13">
      <c r="B61" s="137" t="s">
        <v>136</v>
      </c>
      <c r="F61" s="137">
        <f t="shared" si="0"/>
        <v>48.42</v>
      </c>
      <c r="G61" s="137">
        <v>30</v>
      </c>
      <c r="H61" s="137">
        <f t="shared" si="1"/>
        <v>-18.420000000000002</v>
      </c>
      <c r="J61" s="157">
        <v>48.42</v>
      </c>
      <c r="K61" s="157"/>
      <c r="L61" s="157"/>
      <c r="M61" s="167"/>
    </row>
    <row r="62" spans="1:13">
      <c r="B62" s="137" t="s">
        <v>138</v>
      </c>
      <c r="F62" s="137">
        <f t="shared" si="0"/>
        <v>314.81</v>
      </c>
      <c r="G62" s="137">
        <v>30</v>
      </c>
      <c r="H62" s="137">
        <f t="shared" si="1"/>
        <v>-284.81</v>
      </c>
      <c r="J62" s="157">
        <f>153.32+51.5+46.99+76.76-13.76</f>
        <v>314.81</v>
      </c>
      <c r="K62" s="157"/>
      <c r="L62" s="157"/>
    </row>
    <row r="63" spans="1:13">
      <c r="B63" s="137" t="s">
        <v>139</v>
      </c>
      <c r="F63" s="137">
        <f t="shared" si="0"/>
        <v>86.259999999999991</v>
      </c>
      <c r="G63" s="137">
        <v>30</v>
      </c>
      <c r="H63" s="137">
        <f t="shared" si="1"/>
        <v>-56.259999999999991</v>
      </c>
      <c r="J63" s="157">
        <v>-10</v>
      </c>
      <c r="K63" s="157">
        <v>9.99</v>
      </c>
      <c r="L63" s="157">
        <f>10.79+55.49+19.99</f>
        <v>86.27</v>
      </c>
      <c r="M63" s="137" t="s">
        <v>637</v>
      </c>
    </row>
    <row r="64" spans="1:13">
      <c r="B64" s="137" t="s">
        <v>140</v>
      </c>
      <c r="F64" s="137">
        <f t="shared" si="0"/>
        <v>0</v>
      </c>
      <c r="G64" s="137">
        <v>10</v>
      </c>
      <c r="H64" s="137">
        <f t="shared" si="1"/>
        <v>10</v>
      </c>
      <c r="J64" s="157">
        <f>-105.99-399-165.68-77.08-15-84.95-63.26</f>
        <v>-910.96000000000015</v>
      </c>
      <c r="K64" s="157"/>
      <c r="L64" s="157">
        <f>105.99+399+165.68+(112.07-19.99)+84.95+63.26</f>
        <v>910.96000000000015</v>
      </c>
      <c r="M64" s="137" t="s">
        <v>635</v>
      </c>
    </row>
    <row r="65" spans="1:13">
      <c r="J65" s="157"/>
      <c r="K65" s="157"/>
      <c r="L65" s="157"/>
    </row>
    <row r="66" spans="1:13" ht="12.75">
      <c r="A66" s="141" t="s">
        <v>141</v>
      </c>
      <c r="B66" s="141">
        <f>SUM(F67:F69)</f>
        <v>0</v>
      </c>
      <c r="C66" s="141">
        <f>SUM(G67:G69)</f>
        <v>105</v>
      </c>
      <c r="D66" s="141">
        <f>C66-B66</f>
        <v>105</v>
      </c>
      <c r="J66" s="157"/>
      <c r="K66" s="157"/>
      <c r="L66" s="157"/>
    </row>
    <row r="67" spans="1:13">
      <c r="B67" s="137" t="s">
        <v>142</v>
      </c>
      <c r="F67" s="137">
        <f>SUM(J67:L67)</f>
        <v>0</v>
      </c>
      <c r="G67" s="137">
        <v>25</v>
      </c>
      <c r="H67" s="137">
        <f>G67-F67</f>
        <v>25</v>
      </c>
      <c r="J67" s="157"/>
      <c r="K67" s="157"/>
      <c r="L67" s="157"/>
    </row>
    <row r="68" spans="1:13">
      <c r="B68" s="137" t="s">
        <v>143</v>
      </c>
      <c r="F68" s="137">
        <f>SUM(J68:L68)</f>
        <v>0</v>
      </c>
      <c r="G68" s="137">
        <v>20</v>
      </c>
      <c r="H68" s="137">
        <f>G68-F68</f>
        <v>20</v>
      </c>
      <c r="J68" s="157"/>
      <c r="K68" s="157"/>
      <c r="L68" s="157"/>
    </row>
    <row r="69" spans="1:13">
      <c r="B69" s="137" t="s">
        <v>144</v>
      </c>
      <c r="F69" s="137">
        <f>SUM(J69:L69)</f>
        <v>0</v>
      </c>
      <c r="G69" s="137">
        <v>60</v>
      </c>
      <c r="H69" s="137">
        <f>G69-F69</f>
        <v>60</v>
      </c>
      <c r="J69" s="157"/>
      <c r="K69" s="157"/>
      <c r="L69" s="157"/>
    </row>
    <row r="70" spans="1:13">
      <c r="J70" s="157"/>
      <c r="K70" s="157"/>
      <c r="L70" s="157"/>
    </row>
    <row r="71" spans="1:13" ht="12.75">
      <c r="A71" s="141" t="s">
        <v>145</v>
      </c>
      <c r="B71" s="141">
        <f>SUM(F72:F76)</f>
        <v>293.38</v>
      </c>
      <c r="C71" s="141">
        <f>SUM(G72:G76)</f>
        <v>370</v>
      </c>
      <c r="D71" s="141">
        <f>C71-B71</f>
        <v>76.62</v>
      </c>
      <c r="J71" s="157"/>
      <c r="K71" s="157"/>
      <c r="L71" s="157"/>
    </row>
    <row r="72" spans="1:13">
      <c r="B72" s="137" t="s">
        <v>146</v>
      </c>
      <c r="F72" s="137">
        <f>SUM(J72:L72)</f>
        <v>33.299999999999997</v>
      </c>
      <c r="G72" s="137">
        <v>100</v>
      </c>
      <c r="H72" s="137">
        <f>G72-F72</f>
        <v>66.7</v>
      </c>
      <c r="J72" s="157"/>
      <c r="K72" s="157">
        <v>33.299999999999997</v>
      </c>
      <c r="L72" s="157"/>
    </row>
    <row r="73" spans="1:13">
      <c r="B73" s="137" t="s">
        <v>147</v>
      </c>
      <c r="D73" s="137" t="s">
        <v>148</v>
      </c>
      <c r="F73" s="137">
        <f>SUM(J73:L73)</f>
        <v>218.7</v>
      </c>
      <c r="G73" s="137">
        <f>85*2</f>
        <v>170</v>
      </c>
      <c r="H73" s="137">
        <f>G73-F73</f>
        <v>-48.699999999999989</v>
      </c>
      <c r="J73" s="157">
        <f>22.77+10+15.93</f>
        <v>48.699999999999996</v>
      </c>
      <c r="K73" s="157">
        <f>85+85</f>
        <v>170</v>
      </c>
      <c r="L73" s="157"/>
    </row>
    <row r="74" spans="1:13">
      <c r="B74" s="137" t="s">
        <v>149</v>
      </c>
      <c r="F74" s="137">
        <f>SUM(J74:L74)</f>
        <v>-38.049999999999997</v>
      </c>
      <c r="G74" s="137">
        <v>30</v>
      </c>
      <c r="H74" s="137">
        <f>G74-F74</f>
        <v>68.05</v>
      </c>
      <c r="J74" s="157">
        <v>-63.89</v>
      </c>
      <c r="K74" s="157">
        <v>25.84</v>
      </c>
      <c r="L74" s="157"/>
    </row>
    <row r="75" spans="1:13" ht="12.75">
      <c r="A75" s="141"/>
      <c r="B75" s="137" t="s">
        <v>150</v>
      </c>
      <c r="F75" s="137">
        <f>SUM(J75:L75)</f>
        <v>14.209999999999999</v>
      </c>
      <c r="G75" s="137">
        <v>20</v>
      </c>
      <c r="H75" s="137">
        <f>G75-F75</f>
        <v>5.7900000000000009</v>
      </c>
      <c r="J75" s="157">
        <v>3.6</v>
      </c>
      <c r="K75" s="157">
        <v>10.61</v>
      </c>
      <c r="L75" s="157"/>
      <c r="M75" s="137" t="s">
        <v>633</v>
      </c>
    </row>
    <row r="76" spans="1:13" ht="12.75">
      <c r="A76" s="141"/>
      <c r="B76" s="137" t="s">
        <v>151</v>
      </c>
      <c r="F76" s="137">
        <f>SUM(J76:L76)</f>
        <v>65.22</v>
      </c>
      <c r="G76" s="137">
        <v>50</v>
      </c>
      <c r="H76" s="137">
        <f>G76-F76</f>
        <v>-15.219999999999999</v>
      </c>
      <c r="J76" s="157">
        <v>18.05</v>
      </c>
      <c r="K76" s="157">
        <f>6.2+6.5+3.05+8.06+8.01+3.6+6.41+5.34</f>
        <v>47.17</v>
      </c>
      <c r="L76" s="157"/>
    </row>
    <row r="77" spans="1:13" ht="12.75">
      <c r="A77" s="141"/>
      <c r="B77" s="141"/>
      <c r="J77" s="157"/>
      <c r="K77" s="157"/>
      <c r="L77" s="157"/>
    </row>
    <row r="78" spans="1:13" ht="12.75">
      <c r="A78" s="141" t="s">
        <v>152</v>
      </c>
      <c r="B78" s="141">
        <f>SUM(F79:F82)</f>
        <v>482.93999999999994</v>
      </c>
      <c r="C78" s="141">
        <f>SUM(G79:G82)</f>
        <v>290</v>
      </c>
      <c r="D78" s="141">
        <f>C78-B78</f>
        <v>-192.93999999999994</v>
      </c>
      <c r="J78" s="157"/>
      <c r="K78" s="157"/>
      <c r="L78" s="157"/>
    </row>
    <row r="79" spans="1:13" ht="12.75">
      <c r="A79" s="137"/>
      <c r="B79" s="137" t="s">
        <v>153</v>
      </c>
      <c r="D79" s="137" t="s">
        <v>154</v>
      </c>
      <c r="F79" s="137">
        <f>SUM(J79:L79)</f>
        <v>104.99</v>
      </c>
      <c r="G79" s="137">
        <f>1200/12</f>
        <v>100</v>
      </c>
      <c r="H79" s="137">
        <f>G79-F79</f>
        <v>-4.9899999999999949</v>
      </c>
      <c r="J79" s="157">
        <v>100</v>
      </c>
      <c r="K79" s="157"/>
      <c r="L79" s="157">
        <v>4.99</v>
      </c>
      <c r="M79" s="137" t="s">
        <v>650</v>
      </c>
    </row>
    <row r="80" spans="1:13">
      <c r="B80" s="137" t="s">
        <v>155</v>
      </c>
      <c r="D80" s="137" t="s">
        <v>156</v>
      </c>
      <c r="F80" s="137">
        <f>SUM(J80:L80)</f>
        <v>27.99</v>
      </c>
      <c r="G80" s="137">
        <v>10</v>
      </c>
      <c r="H80" s="137">
        <f>G80-F80</f>
        <v>-17.989999999999998</v>
      </c>
      <c r="J80" s="157">
        <v>27.99</v>
      </c>
      <c r="K80" s="157"/>
      <c r="L80" s="157"/>
    </row>
    <row r="81" spans="1:13" ht="12.75">
      <c r="A81" s="141"/>
      <c r="B81" s="137" t="s">
        <v>157</v>
      </c>
      <c r="F81" s="137">
        <f>SUM(J81:L81)</f>
        <v>349.96</v>
      </c>
      <c r="G81" s="137">
        <f>150</f>
        <v>150</v>
      </c>
      <c r="H81" s="137">
        <f>G81-F81</f>
        <v>-199.95999999999998</v>
      </c>
      <c r="J81" s="157">
        <f>100-75-49+373.96</f>
        <v>349.96</v>
      </c>
      <c r="K81" s="157"/>
      <c r="L81" s="157"/>
      <c r="M81" s="137" t="s">
        <v>669</v>
      </c>
    </row>
    <row r="82" spans="1:13" ht="12.75">
      <c r="A82" s="141"/>
      <c r="B82" s="137" t="s">
        <v>158</v>
      </c>
      <c r="F82" s="137">
        <f>SUM(J82:L82)</f>
        <v>0</v>
      </c>
      <c r="G82" s="137">
        <v>30</v>
      </c>
      <c r="H82" s="137">
        <f>G82-F82</f>
        <v>30</v>
      </c>
      <c r="J82" s="157"/>
      <c r="K82" s="157"/>
      <c r="L82" s="157"/>
    </row>
    <row r="83" spans="1:13" ht="12.75">
      <c r="A83" s="141"/>
      <c r="B83" s="141"/>
      <c r="J83" s="157"/>
      <c r="K83" s="157"/>
      <c r="L83" s="157"/>
    </row>
    <row r="84" spans="1:13" ht="12.75">
      <c r="A84" s="141" t="s">
        <v>159</v>
      </c>
      <c r="B84" s="141">
        <f>SUM(F85:F88)</f>
        <v>1079.21</v>
      </c>
      <c r="C84" s="141">
        <f>SUM(G85:G88)</f>
        <v>120</v>
      </c>
      <c r="D84" s="141">
        <f>C84-B84</f>
        <v>-959.21</v>
      </c>
      <c r="J84" s="157"/>
      <c r="K84" s="157"/>
      <c r="L84" s="157"/>
    </row>
    <row r="85" spans="1:13" ht="12.75">
      <c r="A85" s="141"/>
      <c r="B85" s="137" t="s">
        <v>473</v>
      </c>
      <c r="F85" s="137">
        <f>SUM(J85:L85)</f>
        <v>351.76</v>
      </c>
      <c r="G85" s="137">
        <v>50</v>
      </c>
      <c r="H85" s="137">
        <f>G85-F85</f>
        <v>-301.76</v>
      </c>
      <c r="J85" s="157">
        <f>-30-30-30</f>
        <v>-90</v>
      </c>
      <c r="K85" s="157">
        <f>63.15+84+13.16+10.89+34.77+67.15</f>
        <v>273.12</v>
      </c>
      <c r="L85" s="157">
        <f>11.03+14.59+16.19+18.24+5.76+7.18+10.57+5.08+80</f>
        <v>168.64</v>
      </c>
    </row>
    <row r="86" spans="1:13" ht="12.75">
      <c r="A86" s="141"/>
      <c r="B86" s="137" t="s">
        <v>162</v>
      </c>
      <c r="F86" s="137">
        <f>SUM(J86:L86)</f>
        <v>334.49</v>
      </c>
      <c r="G86" s="137">
        <v>20</v>
      </c>
      <c r="H86" s="137">
        <f>G86-F86</f>
        <v>-314.49</v>
      </c>
      <c r="J86" s="157"/>
      <c r="K86" s="157">
        <f>63.73+55.11+47.03</f>
        <v>165.87</v>
      </c>
      <c r="L86" s="157">
        <f>60.24+53.68+54.7</f>
        <v>168.62</v>
      </c>
    </row>
    <row r="87" spans="1:13" ht="12.75">
      <c r="A87" s="141"/>
      <c r="B87" s="137" t="s">
        <v>164</v>
      </c>
      <c r="F87" s="137">
        <f>SUM(J87:L87)</f>
        <v>58.71</v>
      </c>
      <c r="G87" s="137">
        <v>30</v>
      </c>
      <c r="H87" s="137">
        <f>G87-F87</f>
        <v>-28.71</v>
      </c>
      <c r="J87" s="157"/>
      <c r="K87" s="157"/>
      <c r="L87" s="157">
        <f>49+9.71</f>
        <v>58.71</v>
      </c>
    </row>
    <row r="88" spans="1:13" ht="12.75">
      <c r="A88" s="141"/>
      <c r="B88" s="137" t="s">
        <v>165</v>
      </c>
      <c r="F88" s="137">
        <f>SUM(J88:L88)</f>
        <v>334.25</v>
      </c>
      <c r="G88" s="137">
        <v>20</v>
      </c>
      <c r="H88" s="137">
        <f>G88-F88</f>
        <v>-314.25</v>
      </c>
      <c r="J88" s="157"/>
      <c r="K88" s="157"/>
      <c r="L88" s="157">
        <v>334.25</v>
      </c>
    </row>
    <row r="89" spans="1:13" ht="12.75">
      <c r="A89" s="141"/>
      <c r="J89" s="157"/>
      <c r="K89" s="157"/>
      <c r="L89" s="157"/>
    </row>
    <row r="90" spans="1:13" ht="12.75">
      <c r="A90" s="141" t="s">
        <v>166</v>
      </c>
      <c r="B90" s="141">
        <f>SUM(F91:F92)</f>
        <v>50</v>
      </c>
      <c r="C90" s="141">
        <f>SUM(G91:G92)</f>
        <v>70</v>
      </c>
      <c r="D90" s="141">
        <f>C90-B90</f>
        <v>20</v>
      </c>
      <c r="J90" s="157"/>
      <c r="K90" s="157"/>
      <c r="L90" s="157"/>
    </row>
    <row r="91" spans="1:13" ht="12.75">
      <c r="A91" s="141"/>
      <c r="B91" s="137" t="s">
        <v>167</v>
      </c>
      <c r="F91" s="137">
        <f>SUM(J91:L91)</f>
        <v>0</v>
      </c>
      <c r="G91" s="137">
        <v>40</v>
      </c>
      <c r="H91" s="137">
        <f>G91-F91</f>
        <v>40</v>
      </c>
      <c r="J91" s="157"/>
      <c r="K91" s="157"/>
      <c r="L91" s="157"/>
    </row>
    <row r="92" spans="1:13" ht="12.75">
      <c r="A92" s="141"/>
      <c r="B92" s="137" t="s">
        <v>168</v>
      </c>
      <c r="D92" s="137" t="s">
        <v>169</v>
      </c>
      <c r="F92" s="137">
        <f>SUM(J92:L92)</f>
        <v>50</v>
      </c>
      <c r="G92" s="137">
        <v>30</v>
      </c>
      <c r="H92" s="137">
        <f>G92-F92</f>
        <v>-20</v>
      </c>
      <c r="J92" s="157">
        <v>50</v>
      </c>
      <c r="K92" s="157"/>
      <c r="L92" s="157"/>
      <c r="M92" s="137" t="s">
        <v>674</v>
      </c>
    </row>
    <row r="93" spans="1:13" ht="12.75">
      <c r="A93" s="141"/>
      <c r="J93" s="157"/>
      <c r="K93" s="157"/>
      <c r="L93" s="157"/>
    </row>
    <row r="94" spans="1:13" ht="12.75">
      <c r="A94" s="141" t="s">
        <v>170</v>
      </c>
      <c r="B94" s="141">
        <f>F95</f>
        <v>0</v>
      </c>
      <c r="C94" s="141">
        <f>G95</f>
        <v>20</v>
      </c>
      <c r="D94" s="141">
        <f>C94-B94</f>
        <v>20</v>
      </c>
      <c r="J94" s="157"/>
      <c r="K94" s="157"/>
      <c r="L94" s="157"/>
    </row>
    <row r="95" spans="1:13" ht="12.75">
      <c r="A95" s="141"/>
      <c r="B95" s="137" t="s">
        <v>171</v>
      </c>
      <c r="F95" s="137">
        <f>SUM(J95:L95)</f>
        <v>0</v>
      </c>
      <c r="G95" s="137">
        <v>20</v>
      </c>
      <c r="H95" s="137">
        <f>G95-F95</f>
        <v>20</v>
      </c>
      <c r="J95" s="157"/>
      <c r="K95" s="157"/>
      <c r="L95" s="157"/>
    </row>
    <row r="96" spans="1:13" ht="12.75">
      <c r="A96" s="141"/>
      <c r="J96" s="157"/>
      <c r="K96" s="157"/>
      <c r="L96" s="157"/>
    </row>
    <row r="97" spans="1:12" ht="12.75">
      <c r="A97" s="141" t="s">
        <v>172</v>
      </c>
      <c r="B97" s="141">
        <f>F98</f>
        <v>4.5</v>
      </c>
      <c r="C97" s="141">
        <f>G98</f>
        <v>10</v>
      </c>
      <c r="D97" s="141">
        <f>C97-B97</f>
        <v>5.5</v>
      </c>
      <c r="J97" s="157"/>
      <c r="K97" s="157"/>
      <c r="L97" s="157"/>
    </row>
    <row r="98" spans="1:12">
      <c r="B98" s="137" t="s">
        <v>173</v>
      </c>
      <c r="F98" s="137">
        <f>SUM(J98:L98)</f>
        <v>4.5</v>
      </c>
      <c r="G98" s="137">
        <v>10</v>
      </c>
      <c r="H98" s="137">
        <f>G98-F98</f>
        <v>5.5</v>
      </c>
      <c r="J98" s="157"/>
      <c r="K98" s="157">
        <v>4.5</v>
      </c>
      <c r="L98" s="157"/>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dimension ref="A1:S98"/>
  <sheetViews>
    <sheetView zoomScale="84" zoomScaleNormal="84" workbookViewId="0">
      <selection activeCell="G16" sqref="G16"/>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449</v>
      </c>
    </row>
    <row r="2" spans="1:16">
      <c r="A2" s="138" t="s">
        <v>331</v>
      </c>
      <c r="B2" s="137" t="s">
        <v>24</v>
      </c>
      <c r="C2" s="141"/>
      <c r="J2" s="137" t="s">
        <v>675</v>
      </c>
      <c r="N2" s="137">
        <v>42.5</v>
      </c>
    </row>
    <row r="4" spans="1:16">
      <c r="A4" s="138" t="s">
        <v>9</v>
      </c>
      <c r="B4" s="143">
        <f>SUM(G5:G9)</f>
        <v>7159.5099999999993</v>
      </c>
      <c r="C4" s="143"/>
      <c r="G4" s="137" t="s">
        <v>185</v>
      </c>
      <c r="O4" s="142"/>
    </row>
    <row r="5" spans="1:16">
      <c r="B5" s="137" t="s">
        <v>34</v>
      </c>
      <c r="D5" s="137">
        <v>3261.33</v>
      </c>
      <c r="E5" s="137">
        <v>3261.32</v>
      </c>
      <c r="F5" s="137">
        <v>0</v>
      </c>
      <c r="G5" s="144">
        <f>SUM(D5:F5)</f>
        <v>6522.65</v>
      </c>
      <c r="H5" s="144"/>
      <c r="I5" s="144"/>
      <c r="J5" s="144"/>
      <c r="O5" s="142"/>
    </row>
    <row r="6" spans="1:16">
      <c r="B6" s="137" t="s">
        <v>36</v>
      </c>
      <c r="D6" s="142"/>
      <c r="E6" s="137">
        <v>0</v>
      </c>
      <c r="G6" s="144">
        <f>SUM(D6:F6)</f>
        <v>0</v>
      </c>
      <c r="H6" s="144"/>
      <c r="I6" s="144"/>
      <c r="J6" s="144"/>
      <c r="O6" s="142"/>
    </row>
    <row r="7" spans="1:16">
      <c r="B7" s="137" t="s">
        <v>397</v>
      </c>
      <c r="G7" s="144">
        <f>SUM(D7:F7)</f>
        <v>0</v>
      </c>
      <c r="H7" s="144"/>
      <c r="I7" s="144"/>
      <c r="J7" s="144" t="s">
        <v>641</v>
      </c>
      <c r="O7" s="142"/>
    </row>
    <row r="8" spans="1:16">
      <c r="B8" s="137" t="s">
        <v>37</v>
      </c>
      <c r="D8" s="137">
        <v>318.43</v>
      </c>
      <c r="E8" s="137">
        <v>318.43</v>
      </c>
      <c r="G8" s="144">
        <f>SUM(D8:F8)</f>
        <v>636.86</v>
      </c>
      <c r="H8" s="144"/>
      <c r="I8" s="144"/>
      <c r="J8" s="144" t="s">
        <v>703</v>
      </c>
      <c r="O8" s="142"/>
    </row>
    <row r="9" spans="1:16">
      <c r="J9" s="137" t="s">
        <v>704</v>
      </c>
      <c r="P9" s="142"/>
    </row>
    <row r="10" spans="1:16">
      <c r="J10" s="137" t="s">
        <v>705</v>
      </c>
    </row>
    <row r="11" spans="1:16">
      <c r="A11" s="138" t="s">
        <v>11</v>
      </c>
      <c r="B11" s="143">
        <f>Tithe!D14</f>
        <v>990</v>
      </c>
      <c r="C11" s="143"/>
      <c r="D11" s="137" t="s">
        <v>187</v>
      </c>
      <c r="E11" s="145">
        <f>B11/B4</f>
        <v>0.13827761955776305</v>
      </c>
      <c r="J11" s="137" t="s">
        <v>706</v>
      </c>
    </row>
    <row r="12" spans="1:16">
      <c r="J12" s="137" t="s">
        <v>707</v>
      </c>
    </row>
    <row r="13" spans="1:16">
      <c r="A13" s="138" t="s">
        <v>403</v>
      </c>
      <c r="B13" s="146">
        <f>SUM(D14:D17)+SUM(E14:E17)</f>
        <v>1250</v>
      </c>
      <c r="E13" s="137" t="s">
        <v>404</v>
      </c>
    </row>
    <row r="14" spans="1:16" ht="12.75">
      <c r="A14" s="137"/>
      <c r="B14" s="141" t="s">
        <v>405</v>
      </c>
      <c r="C14" s="141"/>
      <c r="D14" s="146">
        <v>750</v>
      </c>
    </row>
    <row r="15" spans="1:16">
      <c r="A15" s="138"/>
      <c r="B15" s="141" t="s">
        <v>406</v>
      </c>
      <c r="C15" s="141"/>
      <c r="D15" s="146">
        <v>200</v>
      </c>
    </row>
    <row r="16" spans="1:16">
      <c r="A16" s="138"/>
      <c r="B16" s="141" t="s">
        <v>407</v>
      </c>
      <c r="C16" s="141"/>
      <c r="D16" s="146">
        <v>200</v>
      </c>
    </row>
    <row r="17" spans="1:19">
      <c r="A17" s="138"/>
      <c r="B17" s="141" t="s">
        <v>408</v>
      </c>
      <c r="C17" s="141"/>
      <c r="D17" s="146">
        <v>100</v>
      </c>
    </row>
    <row r="18" spans="1:19">
      <c r="A18" s="138"/>
      <c r="B18" s="141"/>
      <c r="C18" s="141"/>
      <c r="D18" s="146"/>
    </row>
    <row r="19" spans="1:19">
      <c r="A19" s="138" t="s">
        <v>409</v>
      </c>
    </row>
    <row r="20" spans="1:19">
      <c r="B20" s="141"/>
    </row>
    <row r="21" spans="1:19">
      <c r="A21" s="138" t="s">
        <v>410</v>
      </c>
      <c r="B21" s="137">
        <f>SUM(E21:E22)</f>
        <v>2789.3344999999999</v>
      </c>
      <c r="C21" s="137" t="s">
        <v>411</v>
      </c>
      <c r="D21" s="144"/>
      <c r="E21" s="137">
        <f>0.33*G5</f>
        <v>2152.4744999999998</v>
      </c>
      <c r="F21" s="137" t="s">
        <v>412</v>
      </c>
      <c r="H21" s="137">
        <v>2000</v>
      </c>
      <c r="J21" s="137">
        <f>H21/B4</f>
        <v>0.27934872637931929</v>
      </c>
    </row>
    <row r="22" spans="1:19">
      <c r="C22" s="137" t="s">
        <v>413</v>
      </c>
      <c r="D22" s="144"/>
      <c r="E22" s="137">
        <f>SUM(G6:G8)</f>
        <v>636.86</v>
      </c>
      <c r="F22" s="137" t="s">
        <v>458</v>
      </c>
    </row>
    <row r="23" spans="1:19">
      <c r="E23" s="144"/>
    </row>
    <row r="24" spans="1:19">
      <c r="A24" s="147" t="s">
        <v>415</v>
      </c>
      <c r="B24" s="148"/>
      <c r="C24" s="148"/>
      <c r="E24" s="149">
        <f>B4-B11-B13+D19-E21-E22</f>
        <v>2130.1754999999994</v>
      </c>
      <c r="F24" s="137" t="s">
        <v>416</v>
      </c>
      <c r="G24" s="146">
        <f>E24-D27</f>
        <v>-3274.6945000000005</v>
      </c>
    </row>
    <row r="25" spans="1:19" ht="16.5" thickBot="1">
      <c r="A25" s="147" t="s">
        <v>417</v>
      </c>
      <c r="B25" s="148"/>
      <c r="C25" s="148"/>
      <c r="E25" s="149">
        <f>SUM(E21:E22)+G24</f>
        <v>-485.36000000000058</v>
      </c>
      <c r="F25" s="137" t="s">
        <v>418</v>
      </c>
      <c r="G25" s="150">
        <f>E25/B4</f>
        <v>-6.7792348917733281E-2</v>
      </c>
      <c r="H25" s="137" t="s">
        <v>419</v>
      </c>
    </row>
    <row r="26" spans="1:19" ht="16.5" thickBot="1">
      <c r="A26" s="138"/>
      <c r="B26" s="148"/>
      <c r="C26" s="148"/>
      <c r="E26" s="149"/>
      <c r="K26" s="217">
        <f>K27+L27+L28</f>
        <v>1750.49</v>
      </c>
      <c r="L26" s="137">
        <v>1750.49</v>
      </c>
      <c r="M26" s="137">
        <f>L26-K26</f>
        <v>0</v>
      </c>
    </row>
    <row r="27" spans="1:19">
      <c r="A27" s="138" t="s">
        <v>420</v>
      </c>
      <c r="D27" s="146">
        <f>J27+K27+L27</f>
        <v>5404.87</v>
      </c>
      <c r="F27" s="137">
        <f>SUM(F30:F98)</f>
        <v>5404.87</v>
      </c>
      <c r="G27" s="137">
        <f>SUM(G30:G98)</f>
        <v>2350</v>
      </c>
      <c r="H27" s="137">
        <f>SUM(H30:H98)</f>
        <v>-3054.8699999999994</v>
      </c>
      <c r="J27" s="137">
        <f>SUM(J30:J98)</f>
        <v>3794.3799999999997</v>
      </c>
      <c r="K27" s="137">
        <f>SUM(K30:K98)</f>
        <v>408.02</v>
      </c>
      <c r="L27" s="137">
        <f>SUM(L30:L98)</f>
        <v>1202.47</v>
      </c>
    </row>
    <row r="28" spans="1:19">
      <c r="A28" s="138"/>
      <c r="B28" s="141"/>
      <c r="D28" s="144"/>
      <c r="J28" s="216" t="s">
        <v>670</v>
      </c>
      <c r="K28" s="216"/>
      <c r="L28" s="216">
        <v>140</v>
      </c>
    </row>
    <row r="29" spans="1:19" ht="12.75">
      <c r="A29" s="141"/>
      <c r="B29" s="143"/>
      <c r="F29" s="154" t="s">
        <v>426</v>
      </c>
      <c r="G29" s="137" t="s">
        <v>427</v>
      </c>
      <c r="H29" s="154" t="s">
        <v>487</v>
      </c>
      <c r="J29" s="155" t="s">
        <v>428</v>
      </c>
      <c r="K29" s="156" t="s">
        <v>429</v>
      </c>
      <c r="L29" s="156" t="s">
        <v>430</v>
      </c>
      <c r="S29" s="154"/>
    </row>
    <row r="30" spans="1:19" ht="12.75">
      <c r="A30" s="218" t="s">
        <v>677</v>
      </c>
      <c r="B30" s="218">
        <f>F30</f>
        <v>2500</v>
      </c>
      <c r="C30" s="219" t="s">
        <v>653</v>
      </c>
      <c r="F30" s="137">
        <f>SUM(J30:L30)</f>
        <v>2500</v>
      </c>
      <c r="G30" s="137">
        <f>0</f>
        <v>0</v>
      </c>
      <c r="H30" s="137">
        <f>G30-F30</f>
        <v>-2500</v>
      </c>
      <c r="J30" s="157">
        <v>2500</v>
      </c>
      <c r="K30" s="157"/>
      <c r="L30" s="157"/>
      <c r="M30" s="137" t="s">
        <v>645</v>
      </c>
    </row>
    <row r="31" spans="1:19" ht="12.75">
      <c r="A31" s="137"/>
      <c r="J31" s="157"/>
      <c r="K31" s="157"/>
      <c r="L31" s="157"/>
    </row>
    <row r="32" spans="1:19" ht="12.75">
      <c r="A32" s="141" t="s">
        <v>107</v>
      </c>
      <c r="B32" s="141">
        <f>SUM(F33:F36)</f>
        <v>455.11</v>
      </c>
      <c r="C32" s="141">
        <f>SUM(G33:G36)</f>
        <v>340</v>
      </c>
      <c r="D32" s="141">
        <f>C32-B32</f>
        <v>-115.11000000000001</v>
      </c>
      <c r="J32" s="157"/>
      <c r="K32" s="157"/>
      <c r="L32" s="157"/>
    </row>
    <row r="33" spans="1:12">
      <c r="B33" s="137" t="s">
        <v>54</v>
      </c>
      <c r="C33" s="137" t="s">
        <v>55</v>
      </c>
      <c r="F33" s="137">
        <f>SUM(J33:L33)</f>
        <v>140.66</v>
      </c>
      <c r="G33" s="137">
        <v>115</v>
      </c>
      <c r="H33" s="137">
        <f>G33-F33</f>
        <v>-25.659999999999997</v>
      </c>
      <c r="J33" s="157">
        <v>140.66</v>
      </c>
      <c r="K33" s="157"/>
      <c r="L33" s="157"/>
    </row>
    <row r="34" spans="1:12">
      <c r="B34" s="137" t="s">
        <v>56</v>
      </c>
      <c r="C34" s="137" t="s">
        <v>57</v>
      </c>
      <c r="F34" s="137">
        <f>SUM(J34:L34)</f>
        <v>314.45</v>
      </c>
      <c r="G34" s="137">
        <v>40</v>
      </c>
      <c r="H34" s="137">
        <f>G34-F34</f>
        <v>-274.45</v>
      </c>
      <c r="J34" s="157">
        <v>314.45</v>
      </c>
      <c r="K34" s="157"/>
      <c r="L34" s="157"/>
    </row>
    <row r="35" spans="1:12">
      <c r="B35" s="137" t="s">
        <v>108</v>
      </c>
      <c r="C35" s="137" t="s">
        <v>109</v>
      </c>
      <c r="D35" s="137" t="s">
        <v>432</v>
      </c>
      <c r="F35" s="137">
        <f>SUM(J35:L35)</f>
        <v>0</v>
      </c>
      <c r="G35" s="137">
        <v>85</v>
      </c>
      <c r="H35" s="137">
        <f>G35-F35</f>
        <v>85</v>
      </c>
      <c r="J35" s="157"/>
      <c r="K35" s="157"/>
      <c r="L35" s="157"/>
    </row>
    <row r="36" spans="1:12">
      <c r="B36" s="137" t="s">
        <v>111</v>
      </c>
      <c r="C36" s="137" t="s">
        <v>112</v>
      </c>
      <c r="D36" s="137" t="s">
        <v>113</v>
      </c>
      <c r="F36" s="137">
        <f>SUM(J36:L36)</f>
        <v>0</v>
      </c>
      <c r="G36" s="137">
        <v>100</v>
      </c>
      <c r="H36" s="137">
        <f>G36-F36</f>
        <v>100</v>
      </c>
      <c r="J36" s="157"/>
      <c r="K36" s="157"/>
      <c r="L36" s="157"/>
    </row>
    <row r="37" spans="1:12">
      <c r="J37" s="157"/>
      <c r="K37" s="157"/>
      <c r="L37" s="157"/>
    </row>
    <row r="38" spans="1:12" ht="12.75">
      <c r="A38" s="141" t="s">
        <v>518</v>
      </c>
      <c r="B38" s="141">
        <f>SUM(F39:F40)</f>
        <v>134.51</v>
      </c>
      <c r="C38" s="141">
        <f>SUM(G39:G40)</f>
        <v>138</v>
      </c>
      <c r="D38" s="141">
        <f>C38-B38</f>
        <v>3.4900000000000091</v>
      </c>
      <c r="J38" s="157"/>
      <c r="K38" s="157"/>
      <c r="L38" s="157"/>
    </row>
    <row r="39" spans="1:12" ht="12.75">
      <c r="A39" s="137" t="s">
        <v>460</v>
      </c>
      <c r="B39" s="137" t="s">
        <v>64</v>
      </c>
      <c r="C39" s="137" t="s">
        <v>65</v>
      </c>
      <c r="F39" s="137">
        <f>SUM(J39:L39)</f>
        <v>62.97</v>
      </c>
      <c r="G39" s="137">
        <v>63</v>
      </c>
      <c r="H39" s="137">
        <f>G39-F39</f>
        <v>3.0000000000001137E-2</v>
      </c>
      <c r="J39" s="157"/>
      <c r="K39" s="157"/>
      <c r="L39" s="157">
        <v>62.97</v>
      </c>
    </row>
    <row r="40" spans="1:12">
      <c r="B40" s="137" t="s">
        <v>115</v>
      </c>
      <c r="C40" s="137" t="s">
        <v>116</v>
      </c>
      <c r="F40" s="137">
        <f>SUM(J40:L40)</f>
        <v>71.540000000000006</v>
      </c>
      <c r="G40" s="137">
        <v>75</v>
      </c>
      <c r="H40" s="137">
        <f>G40-F40</f>
        <v>3.4599999999999937</v>
      </c>
      <c r="J40" s="157"/>
      <c r="K40" s="157"/>
      <c r="L40" s="157">
        <v>71.540000000000006</v>
      </c>
    </row>
    <row r="41" spans="1:12">
      <c r="J41" s="157"/>
      <c r="K41" s="157"/>
      <c r="L41" s="157"/>
    </row>
    <row r="42" spans="1:12" ht="12.75">
      <c r="A42" s="141" t="s">
        <v>117</v>
      </c>
      <c r="B42" s="141">
        <f>SUM(F43:F45)</f>
        <v>432.82</v>
      </c>
      <c r="C42" s="141">
        <f>SUM(G43:G45)</f>
        <v>177</v>
      </c>
      <c r="D42" s="141">
        <f>C42-B42</f>
        <v>-255.82</v>
      </c>
      <c r="J42" s="157"/>
      <c r="K42" s="157"/>
      <c r="L42" s="157"/>
    </row>
    <row r="43" spans="1:12" ht="12.75">
      <c r="A43" s="137"/>
      <c r="B43" s="137" t="s">
        <v>118</v>
      </c>
      <c r="C43" s="137" t="s">
        <v>119</v>
      </c>
      <c r="F43" s="137">
        <f>SUM(J43:L43)</f>
        <v>0</v>
      </c>
      <c r="G43" s="137">
        <v>56.5</v>
      </c>
      <c r="H43" s="137">
        <f>G43-F43</f>
        <v>56.5</v>
      </c>
      <c r="J43" s="157"/>
      <c r="K43" s="157"/>
      <c r="L43" s="157"/>
    </row>
    <row r="44" spans="1:12" ht="12.75">
      <c r="A44" s="137"/>
      <c r="B44" s="137" t="s">
        <v>120</v>
      </c>
      <c r="C44" s="137" t="s">
        <v>119</v>
      </c>
      <c r="F44" s="137">
        <f>SUM(J44:L44)</f>
        <v>0</v>
      </c>
      <c r="G44" s="137">
        <v>84.5</v>
      </c>
      <c r="H44" s="137">
        <f>G44-F44</f>
        <v>84.5</v>
      </c>
      <c r="J44" s="157"/>
      <c r="K44" s="157"/>
      <c r="L44" s="157"/>
    </row>
    <row r="45" spans="1:12" ht="12.75">
      <c r="A45" s="137"/>
      <c r="B45" s="137" t="s">
        <v>121</v>
      </c>
      <c r="F45" s="137">
        <f>SUM(J45:L45)</f>
        <v>432.82</v>
      </c>
      <c r="G45" s="137">
        <v>36</v>
      </c>
      <c r="H45" s="137">
        <f>G45-F45</f>
        <v>-396.82</v>
      </c>
      <c r="J45" s="157">
        <v>432.82</v>
      </c>
      <c r="K45" s="157"/>
      <c r="L45" s="157"/>
    </row>
    <row r="46" spans="1:12" ht="12.75">
      <c r="A46" s="137"/>
      <c r="D46" s="141"/>
      <c r="J46" s="157"/>
      <c r="K46" s="157"/>
      <c r="L46" s="157"/>
    </row>
    <row r="47" spans="1:12" ht="12.75">
      <c r="A47" s="141" t="s">
        <v>122</v>
      </c>
      <c r="B47" s="141">
        <f>SUM(F48:F51)</f>
        <v>307.97000000000003</v>
      </c>
      <c r="C47" s="141">
        <f>SUM(G48:G51)</f>
        <v>130</v>
      </c>
      <c r="D47" s="141">
        <f>C47-B47</f>
        <v>-177.97000000000003</v>
      </c>
      <c r="J47" s="157"/>
      <c r="K47" s="157"/>
      <c r="L47" s="157"/>
    </row>
    <row r="48" spans="1:12" ht="12.75">
      <c r="A48" s="137"/>
      <c r="B48" s="137" t="s">
        <v>124</v>
      </c>
      <c r="F48" s="137">
        <f>SUM(J48:L48)</f>
        <v>0</v>
      </c>
      <c r="G48" s="137">
        <v>20</v>
      </c>
      <c r="H48" s="137">
        <f>G48-F48</f>
        <v>20</v>
      </c>
      <c r="J48" s="157"/>
      <c r="K48" s="157"/>
      <c r="L48" s="157"/>
    </row>
    <row r="49" spans="1:13">
      <c r="B49" s="137" t="s">
        <v>125</v>
      </c>
      <c r="F49" s="137">
        <f>SUM(J49:L49)</f>
        <v>0</v>
      </c>
      <c r="G49" s="137">
        <v>10</v>
      </c>
      <c r="H49" s="137">
        <f>G49-F49</f>
        <v>10</v>
      </c>
      <c r="J49" s="157"/>
      <c r="K49" s="157"/>
      <c r="L49" s="157"/>
    </row>
    <row r="50" spans="1:13">
      <c r="B50" s="137" t="s">
        <v>126</v>
      </c>
      <c r="F50" s="137">
        <f>SUM(J50:L50)</f>
        <v>307.97000000000003</v>
      </c>
      <c r="G50" s="137">
        <v>50</v>
      </c>
      <c r="H50" s="137">
        <f>G50-F50</f>
        <v>-257.97000000000003</v>
      </c>
      <c r="J50" s="157"/>
      <c r="K50" s="157"/>
      <c r="L50" s="157">
        <f>21.95+72.48+29.96+22.97+14.98+29.97-29.96+69.96+75.66</f>
        <v>307.97000000000003</v>
      </c>
      <c r="M50" s="137" t="s">
        <v>679</v>
      </c>
    </row>
    <row r="51" spans="1:13">
      <c r="B51" s="137" t="s">
        <v>127</v>
      </c>
      <c r="F51" s="137">
        <f>SUM(J51:L51)</f>
        <v>0</v>
      </c>
      <c r="G51" s="137">
        <v>50</v>
      </c>
      <c r="H51" s="137">
        <f>G51-F51</f>
        <v>50</v>
      </c>
      <c r="J51" s="157"/>
      <c r="K51" s="157"/>
      <c r="L51" s="157"/>
    </row>
    <row r="52" spans="1:13">
      <c r="J52" s="157"/>
      <c r="K52" s="157"/>
      <c r="L52" s="157"/>
    </row>
    <row r="53" spans="1:13" ht="12.75">
      <c r="A53" s="141" t="s">
        <v>436</v>
      </c>
      <c r="B53" s="141">
        <f>SUM(F54:F56)</f>
        <v>0</v>
      </c>
      <c r="C53" s="141">
        <f>SUM(G54:G56)</f>
        <v>80</v>
      </c>
      <c r="D53" s="141">
        <f>C53-B53</f>
        <v>80</v>
      </c>
      <c r="J53" s="157"/>
      <c r="K53" s="157"/>
      <c r="L53" s="157"/>
    </row>
    <row r="54" spans="1:13">
      <c r="B54" s="137" t="s">
        <v>520</v>
      </c>
      <c r="F54" s="137">
        <f>SUM(J54:L54)</f>
        <v>0</v>
      </c>
      <c r="G54" s="137">
        <f>50</f>
        <v>50</v>
      </c>
      <c r="H54" s="137">
        <f>G54-F54</f>
        <v>50</v>
      </c>
      <c r="J54" s="157"/>
      <c r="K54" s="157"/>
      <c r="L54" s="157"/>
    </row>
    <row r="55" spans="1:13">
      <c r="B55" s="137" t="s">
        <v>131</v>
      </c>
      <c r="F55" s="137">
        <f>SUM(J55:L55)</f>
        <v>0</v>
      </c>
      <c r="G55" s="137">
        <v>20</v>
      </c>
      <c r="H55" s="137">
        <f>G55-F55</f>
        <v>20</v>
      </c>
      <c r="J55" s="157"/>
      <c r="K55" s="157"/>
      <c r="L55" s="157"/>
    </row>
    <row r="56" spans="1:13">
      <c r="B56" s="137" t="s">
        <v>132</v>
      </c>
      <c r="D56" s="137" t="s">
        <v>438</v>
      </c>
      <c r="F56" s="137">
        <f>SUM(J56:L56)</f>
        <v>0</v>
      </c>
      <c r="G56" s="137">
        <v>10</v>
      </c>
      <c r="H56" s="137">
        <f>G56-F56</f>
        <v>10</v>
      </c>
      <c r="J56" s="157"/>
      <c r="K56" s="157"/>
      <c r="L56" s="157"/>
    </row>
    <row r="57" spans="1:13">
      <c r="J57" s="157"/>
      <c r="K57" s="157"/>
      <c r="L57" s="157"/>
    </row>
    <row r="58" spans="1:13" ht="12.75">
      <c r="A58" s="141" t="s">
        <v>133</v>
      </c>
      <c r="B58" s="141">
        <f>SUM(F59:F64)</f>
        <v>663.58999999999992</v>
      </c>
      <c r="C58" s="141">
        <f>SUM(G59:G64)</f>
        <v>500</v>
      </c>
      <c r="D58" s="141">
        <f>C58-B58</f>
        <v>-163.58999999999992</v>
      </c>
      <c r="J58" s="157"/>
      <c r="K58" s="157"/>
      <c r="L58" s="157"/>
    </row>
    <row r="59" spans="1:13" ht="12.75">
      <c r="A59" s="137"/>
      <c r="B59" s="137" t="s">
        <v>134</v>
      </c>
      <c r="F59" s="137">
        <f t="shared" ref="F59:F64" si="0">SUM(J59:L59)</f>
        <v>100</v>
      </c>
      <c r="G59" s="137">
        <v>100</v>
      </c>
      <c r="H59" s="137">
        <f t="shared" ref="H59:H64" si="1">G59-F59</f>
        <v>0</v>
      </c>
      <c r="J59" s="157">
        <v>100</v>
      </c>
      <c r="K59" s="157"/>
      <c r="L59" s="157"/>
    </row>
    <row r="60" spans="1:13">
      <c r="B60" s="137" t="s">
        <v>135</v>
      </c>
      <c r="F60" s="137">
        <f t="shared" si="0"/>
        <v>548.03</v>
      </c>
      <c r="G60" s="137">
        <v>300</v>
      </c>
      <c r="H60" s="137">
        <f t="shared" si="1"/>
        <v>-248.02999999999997</v>
      </c>
      <c r="J60" s="157">
        <v>42.5</v>
      </c>
      <c r="K60" s="157"/>
      <c r="L60" s="157">
        <f>57.75+22.29+137.59+14.25+16.23+18+40.43+56.15+67.18+75.66</f>
        <v>505.53</v>
      </c>
      <c r="M60" s="167" t="s">
        <v>676</v>
      </c>
    </row>
    <row r="61" spans="1:13">
      <c r="B61" s="137" t="s">
        <v>136</v>
      </c>
      <c r="F61" s="137">
        <f t="shared" si="0"/>
        <v>0</v>
      </c>
      <c r="G61" s="137">
        <v>30</v>
      </c>
      <c r="H61" s="137">
        <f t="shared" si="1"/>
        <v>30</v>
      </c>
      <c r="J61" s="157"/>
      <c r="K61" s="157"/>
      <c r="L61" s="157"/>
      <c r="M61" s="167"/>
    </row>
    <row r="62" spans="1:13">
      <c r="B62" s="137" t="s">
        <v>138</v>
      </c>
      <c r="F62" s="137">
        <f t="shared" si="0"/>
        <v>15.559999999999999</v>
      </c>
      <c r="G62" s="137">
        <v>30</v>
      </c>
      <c r="H62" s="137">
        <f t="shared" si="1"/>
        <v>14.440000000000001</v>
      </c>
      <c r="J62" s="157"/>
      <c r="K62" s="157"/>
      <c r="L62" s="157">
        <f>-4.32+19.88</f>
        <v>15.559999999999999</v>
      </c>
    </row>
    <row r="63" spans="1:13">
      <c r="B63" s="137" t="s">
        <v>139</v>
      </c>
      <c r="F63" s="137">
        <f t="shared" si="0"/>
        <v>0</v>
      </c>
      <c r="G63" s="137">
        <v>30</v>
      </c>
      <c r="H63" s="137">
        <f t="shared" si="1"/>
        <v>30</v>
      </c>
      <c r="J63" s="157"/>
      <c r="K63" s="157"/>
      <c r="L63" s="157"/>
    </row>
    <row r="64" spans="1:13">
      <c r="B64" s="137" t="s">
        <v>140</v>
      </c>
      <c r="F64" s="137">
        <f t="shared" si="0"/>
        <v>0</v>
      </c>
      <c r="G64" s="137">
        <v>10</v>
      </c>
      <c r="H64" s="137">
        <f t="shared" si="1"/>
        <v>10</v>
      </c>
      <c r="J64" s="157"/>
      <c r="K64" s="157"/>
      <c r="L64" s="157"/>
    </row>
    <row r="65" spans="1:13">
      <c r="J65" s="157"/>
      <c r="K65" s="157"/>
      <c r="L65" s="157"/>
    </row>
    <row r="66" spans="1:13" ht="12.75">
      <c r="A66" s="141" t="s">
        <v>141</v>
      </c>
      <c r="B66" s="141">
        <f>SUM(F67:F69)</f>
        <v>173.88</v>
      </c>
      <c r="C66" s="141">
        <f>SUM(G67:G69)</f>
        <v>105</v>
      </c>
      <c r="D66" s="141">
        <f>C66-B66</f>
        <v>-68.88</v>
      </c>
      <c r="J66" s="157"/>
      <c r="K66" s="157"/>
      <c r="L66" s="157"/>
    </row>
    <row r="67" spans="1:13">
      <c r="B67" s="137" t="s">
        <v>142</v>
      </c>
      <c r="F67" s="137">
        <f>SUM(J67:L67)</f>
        <v>0</v>
      </c>
      <c r="G67" s="137">
        <v>25</v>
      </c>
      <c r="H67" s="137">
        <f>G67-F67</f>
        <v>25</v>
      </c>
      <c r="J67" s="157"/>
      <c r="K67" s="157"/>
      <c r="L67" s="157"/>
    </row>
    <row r="68" spans="1:13">
      <c r="B68" s="137" t="s">
        <v>143</v>
      </c>
      <c r="F68" s="137">
        <f>SUM(J68:L68)</f>
        <v>0</v>
      </c>
      <c r="G68" s="137">
        <v>20</v>
      </c>
      <c r="H68" s="137">
        <f>G68-F68</f>
        <v>20</v>
      </c>
      <c r="J68" s="157"/>
      <c r="K68" s="157"/>
      <c r="L68" s="157"/>
    </row>
    <row r="69" spans="1:13">
      <c r="B69" s="137" t="s">
        <v>144</v>
      </c>
      <c r="F69" s="137">
        <f>SUM(J69:L69)</f>
        <v>173.88</v>
      </c>
      <c r="G69" s="137">
        <v>60</v>
      </c>
      <c r="H69" s="137">
        <f>G69-F69</f>
        <v>-113.88</v>
      </c>
      <c r="J69" s="157"/>
      <c r="K69" s="157">
        <v>45.08</v>
      </c>
      <c r="L69" s="157">
        <f>58.29+70.51</f>
        <v>128.80000000000001</v>
      </c>
    </row>
    <row r="70" spans="1:13">
      <c r="J70" s="157"/>
      <c r="K70" s="157"/>
      <c r="L70" s="157"/>
    </row>
    <row r="71" spans="1:13" ht="12.75">
      <c r="A71" s="141" t="s">
        <v>145</v>
      </c>
      <c r="B71" s="141">
        <f>SUM(F72:F76)</f>
        <v>211.54000000000002</v>
      </c>
      <c r="C71" s="141">
        <f>SUM(G72:G76)</f>
        <v>370</v>
      </c>
      <c r="D71" s="141">
        <f>C71-B71</f>
        <v>158.45999999999998</v>
      </c>
      <c r="J71" s="157"/>
      <c r="K71" s="157"/>
      <c r="L71" s="157"/>
    </row>
    <row r="72" spans="1:13">
      <c r="B72" s="137" t="s">
        <v>146</v>
      </c>
      <c r="F72" s="137">
        <f>SUM(J72:L72)</f>
        <v>41.540000000000006</v>
      </c>
      <c r="G72" s="137">
        <v>100</v>
      </c>
      <c r="H72" s="137">
        <f>G72-F72</f>
        <v>58.459999999999994</v>
      </c>
      <c r="J72" s="157"/>
      <c r="K72" s="157">
        <f>40.59+0.95</f>
        <v>41.540000000000006</v>
      </c>
      <c r="L72" s="157"/>
    </row>
    <row r="73" spans="1:13">
      <c r="B73" s="137" t="s">
        <v>147</v>
      </c>
      <c r="D73" s="137" t="s">
        <v>148</v>
      </c>
      <c r="F73" s="137">
        <f>SUM(J73:L73)</f>
        <v>95</v>
      </c>
      <c r="G73" s="137">
        <f>85*2</f>
        <v>170</v>
      </c>
      <c r="H73" s="137">
        <f>G73-F73</f>
        <v>75</v>
      </c>
      <c r="J73" s="157"/>
      <c r="K73" s="157">
        <f>10+85</f>
        <v>95</v>
      </c>
      <c r="L73" s="157"/>
    </row>
    <row r="74" spans="1:13">
      <c r="B74" s="137" t="s">
        <v>149</v>
      </c>
      <c r="F74" s="137">
        <f>SUM(J74:L74)</f>
        <v>0</v>
      </c>
      <c r="G74" s="137">
        <v>30</v>
      </c>
      <c r="H74" s="137">
        <f>G74-F74</f>
        <v>30</v>
      </c>
      <c r="J74" s="157"/>
      <c r="K74" s="157"/>
      <c r="L74" s="157"/>
    </row>
    <row r="75" spans="1:13" ht="12.75">
      <c r="A75" s="141"/>
      <c r="B75" s="137" t="s">
        <v>150</v>
      </c>
      <c r="F75" s="137">
        <f>SUM(J75:L75)</f>
        <v>0</v>
      </c>
      <c r="G75" s="137">
        <v>20</v>
      </c>
      <c r="H75" s="137">
        <f>G75-F75</f>
        <v>20</v>
      </c>
      <c r="J75" s="157"/>
      <c r="K75" s="157"/>
      <c r="L75" s="157"/>
    </row>
    <row r="76" spans="1:13" ht="12.75">
      <c r="A76" s="141"/>
      <c r="B76" s="137" t="s">
        <v>151</v>
      </c>
      <c r="F76" s="137">
        <f>SUM(J76:L76)</f>
        <v>75</v>
      </c>
      <c r="G76" s="137">
        <v>50</v>
      </c>
      <c r="H76" s="137">
        <f>G76-F76</f>
        <v>-25</v>
      </c>
      <c r="J76" s="157"/>
      <c r="K76" s="157">
        <f>3.04+3.5+6.5+2.95+1.6+0.9+2.6+1.5+2.6+6.15+3.4+11.2+6.5+1.6+3.4+15+2.56</f>
        <v>75</v>
      </c>
      <c r="L76" s="157"/>
    </row>
    <row r="77" spans="1:13" ht="12.75">
      <c r="A77" s="141"/>
      <c r="B77" s="141"/>
      <c r="J77" s="157"/>
      <c r="K77" s="157"/>
      <c r="L77" s="157"/>
    </row>
    <row r="78" spans="1:13" ht="12.75">
      <c r="A78" s="141" t="s">
        <v>152</v>
      </c>
      <c r="B78" s="141">
        <f>SUM(F79:F82)</f>
        <v>319.91999999999996</v>
      </c>
      <c r="C78" s="141">
        <f>SUM(G79:G82)</f>
        <v>290</v>
      </c>
      <c r="D78" s="141">
        <f>C78-B78</f>
        <v>-29.919999999999959</v>
      </c>
      <c r="J78" s="157"/>
      <c r="K78" s="157"/>
      <c r="L78" s="157"/>
    </row>
    <row r="79" spans="1:13" ht="12.75">
      <c r="A79" s="137"/>
      <c r="B79" s="137" t="s">
        <v>153</v>
      </c>
      <c r="D79" s="137" t="s">
        <v>154</v>
      </c>
      <c r="F79" s="137">
        <f>SUM(J79:L79)</f>
        <v>39</v>
      </c>
      <c r="G79" s="137">
        <f>1200/12</f>
        <v>100</v>
      </c>
      <c r="H79" s="137">
        <f>G79-F79</f>
        <v>61</v>
      </c>
      <c r="J79" s="157"/>
      <c r="K79" s="157"/>
      <c r="L79" s="157">
        <v>39</v>
      </c>
      <c r="M79" s="137" t="s">
        <v>672</v>
      </c>
    </row>
    <row r="80" spans="1:13">
      <c r="B80" s="137" t="s">
        <v>155</v>
      </c>
      <c r="D80" s="137" t="s">
        <v>156</v>
      </c>
      <c r="F80" s="137">
        <f>SUM(J80:L80)</f>
        <v>16.97</v>
      </c>
      <c r="G80" s="137">
        <v>10</v>
      </c>
      <c r="H80" s="137">
        <f>G80-F80</f>
        <v>-6.9699999999999989</v>
      </c>
      <c r="J80" s="157"/>
      <c r="K80" s="157"/>
      <c r="L80" s="157">
        <f>39.94-22.97</f>
        <v>16.97</v>
      </c>
    </row>
    <row r="81" spans="1:13" ht="12.75">
      <c r="A81" s="141"/>
      <c r="B81" s="137" t="s">
        <v>157</v>
      </c>
      <c r="F81" s="137">
        <f>SUM(J81:L81)</f>
        <v>206.95</v>
      </c>
      <c r="G81" s="137">
        <f>150</f>
        <v>150</v>
      </c>
      <c r="H81" s="137">
        <f>G81-F81</f>
        <v>-56.949999999999989</v>
      </c>
      <c r="J81" s="157">
        <v>206.95</v>
      </c>
      <c r="K81" s="157"/>
      <c r="L81" s="157"/>
    </row>
    <row r="82" spans="1:13" ht="12.75">
      <c r="A82" s="141"/>
      <c r="B82" s="137" t="s">
        <v>158</v>
      </c>
      <c r="F82" s="137">
        <f>SUM(J82:L82)</f>
        <v>57</v>
      </c>
      <c r="G82" s="137">
        <v>30</v>
      </c>
      <c r="H82" s="137">
        <f>G82-F82</f>
        <v>-27</v>
      </c>
      <c r="J82" s="157">
        <f>40+17</f>
        <v>57</v>
      </c>
      <c r="K82" s="157"/>
      <c r="L82" s="157"/>
    </row>
    <row r="83" spans="1:13" ht="12.75">
      <c r="A83" s="141"/>
      <c r="B83" s="141"/>
      <c r="J83" s="157"/>
      <c r="K83" s="157"/>
      <c r="L83" s="157"/>
    </row>
    <row r="84" spans="1:13" ht="12.75">
      <c r="A84" s="141" t="s">
        <v>159</v>
      </c>
      <c r="B84" s="141">
        <f>SUM(F85:F88)</f>
        <v>165.53</v>
      </c>
      <c r="C84" s="141">
        <f>SUM(G85:G88)</f>
        <v>120</v>
      </c>
      <c r="D84" s="141">
        <f>C84-B84</f>
        <v>-45.53</v>
      </c>
      <c r="J84" s="157"/>
      <c r="K84" s="157"/>
      <c r="L84" s="157"/>
    </row>
    <row r="85" spans="1:13" ht="12.75">
      <c r="A85" s="141"/>
      <c r="B85" s="137" t="s">
        <v>473</v>
      </c>
      <c r="F85" s="137">
        <f>SUM(J85:L85)</f>
        <v>98.53</v>
      </c>
      <c r="G85" s="137">
        <v>50</v>
      </c>
      <c r="H85" s="137">
        <f>G85-F85</f>
        <v>-48.53</v>
      </c>
      <c r="J85" s="157"/>
      <c r="K85" s="157">
        <f>48+36.4</f>
        <v>84.4</v>
      </c>
      <c r="L85" s="157">
        <f>14.13</f>
        <v>14.13</v>
      </c>
    </row>
    <row r="86" spans="1:13" ht="12.75">
      <c r="A86" s="141"/>
      <c r="B86" s="137" t="s">
        <v>162</v>
      </c>
      <c r="F86" s="137">
        <f>SUM(J86:L86)</f>
        <v>13</v>
      </c>
      <c r="G86" s="137">
        <v>20</v>
      </c>
      <c r="H86" s="137">
        <f>G86-F86</f>
        <v>7</v>
      </c>
      <c r="J86" s="157"/>
      <c r="K86" s="157">
        <f>7+6</f>
        <v>13</v>
      </c>
      <c r="L86" s="157"/>
    </row>
    <row r="87" spans="1:13" ht="12.75">
      <c r="A87" s="141"/>
      <c r="B87" s="137" t="s">
        <v>164</v>
      </c>
      <c r="F87" s="137">
        <f>SUM(J87:L87)</f>
        <v>54</v>
      </c>
      <c r="G87" s="137">
        <v>30</v>
      </c>
      <c r="H87" s="137">
        <f>G87-F87</f>
        <v>-24</v>
      </c>
      <c r="J87" s="157"/>
      <c r="K87" s="157">
        <v>54</v>
      </c>
      <c r="L87" s="157"/>
      <c r="M87" s="137" t="s">
        <v>673</v>
      </c>
    </row>
    <row r="88" spans="1:13" ht="12.75">
      <c r="A88" s="141"/>
      <c r="B88" s="137" t="s">
        <v>165</v>
      </c>
      <c r="F88" s="137">
        <f>SUM(J88:L88)</f>
        <v>0</v>
      </c>
      <c r="G88" s="137">
        <v>20</v>
      </c>
      <c r="H88" s="137">
        <f>G88-F88</f>
        <v>20</v>
      </c>
      <c r="J88" s="157"/>
      <c r="K88" s="157"/>
      <c r="L88" s="157"/>
    </row>
    <row r="89" spans="1:13" ht="12.75">
      <c r="A89" s="141"/>
      <c r="J89" s="157"/>
      <c r="K89" s="157"/>
      <c r="L89" s="157"/>
    </row>
    <row r="90" spans="1:13" ht="12.75">
      <c r="A90" s="141" t="s">
        <v>166</v>
      </c>
      <c r="B90" s="141">
        <f>SUM(F91:F92)</f>
        <v>20</v>
      </c>
      <c r="C90" s="141">
        <f>SUM(G91:G92)</f>
        <v>70</v>
      </c>
      <c r="D90" s="141">
        <f>C90-B90</f>
        <v>50</v>
      </c>
      <c r="J90" s="157"/>
      <c r="K90" s="157"/>
      <c r="L90" s="157"/>
    </row>
    <row r="91" spans="1:13" ht="12.75">
      <c r="A91" s="141"/>
      <c r="B91" s="137" t="s">
        <v>167</v>
      </c>
      <c r="F91" s="137">
        <f>SUM(J91:L91)</f>
        <v>0</v>
      </c>
      <c r="G91" s="137">
        <v>40</v>
      </c>
      <c r="H91" s="137">
        <f>G91-F91</f>
        <v>40</v>
      </c>
      <c r="J91" s="157"/>
      <c r="K91" s="157"/>
      <c r="L91" s="157"/>
    </row>
    <row r="92" spans="1:13" ht="12.75">
      <c r="A92" s="141"/>
      <c r="B92" s="137" t="s">
        <v>168</v>
      </c>
      <c r="D92" s="137" t="s">
        <v>169</v>
      </c>
      <c r="F92" s="137">
        <f>SUM(J92:L92)</f>
        <v>20</v>
      </c>
      <c r="G92" s="137">
        <v>30</v>
      </c>
      <c r="H92" s="137">
        <f>G92-F92</f>
        <v>10</v>
      </c>
      <c r="J92" s="157"/>
      <c r="K92" s="157"/>
      <c r="L92" s="157">
        <v>20</v>
      </c>
      <c r="M92" s="137" t="s">
        <v>671</v>
      </c>
    </row>
    <row r="93" spans="1:13" ht="12.75">
      <c r="A93" s="141"/>
      <c r="J93" s="157"/>
      <c r="K93" s="157"/>
      <c r="L93" s="157"/>
    </row>
    <row r="94" spans="1:13" ht="12.75">
      <c r="A94" s="141" t="s">
        <v>170</v>
      </c>
      <c r="B94" s="141">
        <f>F95</f>
        <v>0</v>
      </c>
      <c r="C94" s="141">
        <f>G95</f>
        <v>20</v>
      </c>
      <c r="D94" s="141">
        <f>C94-B94</f>
        <v>20</v>
      </c>
      <c r="J94" s="157"/>
      <c r="K94" s="157"/>
      <c r="L94" s="157"/>
    </row>
    <row r="95" spans="1:13" ht="12.75">
      <c r="A95" s="141"/>
      <c r="B95" s="137" t="s">
        <v>171</v>
      </c>
      <c r="F95" s="137">
        <f>SUM(J95:L95)</f>
        <v>0</v>
      </c>
      <c r="G95" s="137">
        <v>20</v>
      </c>
      <c r="H95" s="137">
        <f>G95-F95</f>
        <v>20</v>
      </c>
      <c r="J95" s="157"/>
      <c r="K95" s="157"/>
      <c r="L95" s="157"/>
    </row>
    <row r="96" spans="1:13" ht="12.75">
      <c r="A96" s="141"/>
      <c r="J96" s="157"/>
      <c r="K96" s="157"/>
      <c r="L96" s="157"/>
    </row>
    <row r="97" spans="1:12" ht="12.75">
      <c r="A97" s="141" t="s">
        <v>172</v>
      </c>
      <c r="B97" s="141">
        <f>F98</f>
        <v>20</v>
      </c>
      <c r="C97" s="141">
        <f>G98</f>
        <v>10</v>
      </c>
      <c r="D97" s="141">
        <f>C97-B97</f>
        <v>-10</v>
      </c>
      <c r="J97" s="157"/>
      <c r="K97" s="157"/>
      <c r="L97" s="157"/>
    </row>
    <row r="98" spans="1:12">
      <c r="B98" s="137" t="s">
        <v>173</v>
      </c>
      <c r="F98" s="137">
        <f>SUM(J98:L98)</f>
        <v>20</v>
      </c>
      <c r="G98" s="137">
        <v>10</v>
      </c>
      <c r="H98" s="137">
        <f>G98-F98</f>
        <v>-10</v>
      </c>
      <c r="J98" s="157"/>
      <c r="K98" s="157"/>
      <c r="L98" s="157">
        <v>20</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dimension ref="A1:S98"/>
  <sheetViews>
    <sheetView zoomScale="93" zoomScaleNormal="93" workbookViewId="0">
      <selection activeCell="L95" sqref="L95"/>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449</v>
      </c>
      <c r="L1" s="137">
        <f>SUM(N2:N4)</f>
        <v>450.5</v>
      </c>
    </row>
    <row r="2" spans="1:16">
      <c r="A2" s="138" t="s">
        <v>331</v>
      </c>
      <c r="B2" s="137" t="s">
        <v>25</v>
      </c>
      <c r="C2" s="141"/>
      <c r="J2" s="137" t="s">
        <v>700</v>
      </c>
    </row>
    <row r="3" spans="1:16">
      <c r="J3" s="137" t="s">
        <v>701</v>
      </c>
      <c r="N3" s="137">
        <v>42.5</v>
      </c>
    </row>
    <row r="4" spans="1:16">
      <c r="A4" s="138" t="s">
        <v>9</v>
      </c>
      <c r="B4" s="143">
        <f>SUM(G5:G9)</f>
        <v>7159.5099999999993</v>
      </c>
      <c r="C4" s="143"/>
      <c r="G4" s="137" t="s">
        <v>185</v>
      </c>
      <c r="J4" s="137" t="s">
        <v>702</v>
      </c>
      <c r="N4" s="137">
        <v>408</v>
      </c>
      <c r="O4" s="142"/>
    </row>
    <row r="5" spans="1:16">
      <c r="B5" s="137" t="s">
        <v>34</v>
      </c>
      <c r="D5" s="137">
        <v>3261.32</v>
      </c>
      <c r="E5" s="137">
        <v>3261.33</v>
      </c>
      <c r="F5" s="137">
        <v>0</v>
      </c>
      <c r="G5" s="144">
        <f>SUM(D5:F5)</f>
        <v>6522.65</v>
      </c>
      <c r="H5" s="144"/>
      <c r="I5" s="144"/>
      <c r="J5" s="144" t="s">
        <v>708</v>
      </c>
      <c r="N5" s="137">
        <v>215.94</v>
      </c>
      <c r="O5" s="142"/>
    </row>
    <row r="6" spans="1:16">
      <c r="B6" s="137" t="s">
        <v>36</v>
      </c>
      <c r="D6" s="142"/>
      <c r="E6" s="137">
        <v>0</v>
      </c>
      <c r="G6" s="144">
        <f>SUM(D6:F6)</f>
        <v>0</v>
      </c>
      <c r="H6" s="144"/>
      <c r="I6" s="144"/>
      <c r="J6" s="144"/>
      <c r="O6" s="142"/>
    </row>
    <row r="7" spans="1:16">
      <c r="B7" s="137" t="s">
        <v>397</v>
      </c>
      <c r="G7" s="144">
        <f>SUM(D7:F7)</f>
        <v>0</v>
      </c>
      <c r="H7" s="144"/>
      <c r="I7" s="144"/>
      <c r="J7" s="144"/>
      <c r="O7" s="142"/>
    </row>
    <row r="8" spans="1:16">
      <c r="B8" s="137" t="s">
        <v>37</v>
      </c>
      <c r="D8" s="137">
        <v>318.43</v>
      </c>
      <c r="E8" s="137">
        <v>318.43</v>
      </c>
      <c r="G8" s="144">
        <f>SUM(D8:F8)</f>
        <v>636.86</v>
      </c>
      <c r="H8" s="144"/>
      <c r="I8" s="144"/>
      <c r="J8" s="144" t="s">
        <v>641</v>
      </c>
      <c r="O8" s="142"/>
    </row>
    <row r="9" spans="1:16">
      <c r="J9" s="137" t="s">
        <v>699</v>
      </c>
      <c r="P9" s="142"/>
    </row>
    <row r="11" spans="1:16">
      <c r="A11" s="138" t="s">
        <v>11</v>
      </c>
      <c r="B11" s="143">
        <f>Tithe!D15</f>
        <v>970</v>
      </c>
      <c r="C11" s="143"/>
      <c r="D11" s="137" t="s">
        <v>187</v>
      </c>
      <c r="E11" s="145">
        <f>B11/B4</f>
        <v>0.13548413229396986</v>
      </c>
    </row>
    <row r="13" spans="1:16">
      <c r="A13" s="138" t="s">
        <v>403</v>
      </c>
      <c r="B13" s="146">
        <f>SUM(D14:D17)+SUM(E14:E17)</f>
        <v>1250</v>
      </c>
      <c r="E13" s="137" t="s">
        <v>404</v>
      </c>
    </row>
    <row r="14" spans="1:16" ht="12.75">
      <c r="A14" s="137"/>
      <c r="B14" s="141" t="s">
        <v>405</v>
      </c>
      <c r="C14" s="141"/>
      <c r="D14" s="146">
        <v>750</v>
      </c>
    </row>
    <row r="15" spans="1:16">
      <c r="A15" s="138"/>
      <c r="B15" s="141" t="s">
        <v>406</v>
      </c>
      <c r="C15" s="141"/>
      <c r="D15" s="146">
        <v>200</v>
      </c>
    </row>
    <row r="16" spans="1:16">
      <c r="A16" s="138"/>
      <c r="B16" s="141" t="s">
        <v>407</v>
      </c>
      <c r="C16" s="141"/>
      <c r="D16" s="146">
        <v>200</v>
      </c>
    </row>
    <row r="17" spans="1:19">
      <c r="A17" s="138"/>
      <c r="B17" s="141" t="s">
        <v>408</v>
      </c>
      <c r="C17" s="141"/>
      <c r="D17" s="146">
        <v>100</v>
      </c>
    </row>
    <row r="18" spans="1:19">
      <c r="A18" s="138"/>
      <c r="B18" s="141"/>
      <c r="C18" s="141"/>
      <c r="D18" s="146"/>
    </row>
    <row r="19" spans="1:19">
      <c r="A19" s="138" t="s">
        <v>409</v>
      </c>
    </row>
    <row r="20" spans="1:19">
      <c r="B20" s="141"/>
    </row>
    <row r="21" spans="1:19">
      <c r="A21" s="138" t="s">
        <v>410</v>
      </c>
      <c r="B21" s="137">
        <f>SUM(E21:E22)</f>
        <v>2789.3344999999999</v>
      </c>
      <c r="C21" s="137" t="s">
        <v>411</v>
      </c>
      <c r="D21" s="144"/>
      <c r="E21" s="137">
        <f>0.33*G5</f>
        <v>2152.4744999999998</v>
      </c>
      <c r="F21" s="137" t="s">
        <v>412</v>
      </c>
    </row>
    <row r="22" spans="1:19">
      <c r="C22" s="137" t="s">
        <v>413</v>
      </c>
      <c r="D22" s="144"/>
      <c r="E22" s="137">
        <f>SUM(G6:G8)</f>
        <v>636.86</v>
      </c>
      <c r="F22" s="137" t="s">
        <v>458</v>
      </c>
    </row>
    <row r="23" spans="1:19">
      <c r="E23" s="144"/>
    </row>
    <row r="24" spans="1:19">
      <c r="A24" s="147" t="s">
        <v>415</v>
      </c>
      <c r="B24" s="148"/>
      <c r="C24" s="148"/>
      <c r="E24" s="149">
        <f>B4-B11-B13+D19-E21-E22</f>
        <v>2150.1754999999994</v>
      </c>
      <c r="F24" s="137" t="s">
        <v>416</v>
      </c>
      <c r="G24" s="146">
        <f>E24-D27</f>
        <v>-2350.1645000000008</v>
      </c>
    </row>
    <row r="25" spans="1:19" ht="16.5" thickBot="1">
      <c r="A25" s="147" t="s">
        <v>417</v>
      </c>
      <c r="B25" s="148"/>
      <c r="C25" s="148"/>
      <c r="E25" s="149">
        <f>SUM(E21:E22)+G24</f>
        <v>439.16999999999916</v>
      </c>
      <c r="F25" s="137" t="s">
        <v>418</v>
      </c>
      <c r="G25" s="150">
        <f>E25/B4</f>
        <v>6.1340790082002709E-2</v>
      </c>
      <c r="H25" s="137" t="s">
        <v>419</v>
      </c>
    </row>
    <row r="26" spans="1:19" ht="16.5" thickBot="1">
      <c r="A26" s="138"/>
      <c r="B26" s="148"/>
      <c r="C26" s="148"/>
      <c r="E26" s="149"/>
      <c r="K26" s="217">
        <f>K27+L27+L28</f>
        <v>1697.5</v>
      </c>
      <c r="L26" s="137">
        <v>1697.5</v>
      </c>
    </row>
    <row r="27" spans="1:19">
      <c r="A27" s="138" t="s">
        <v>420</v>
      </c>
      <c r="D27" s="146">
        <f>J27+K27+L27</f>
        <v>4500.34</v>
      </c>
      <c r="F27" s="137">
        <f>SUM(F30:F98)</f>
        <v>4500.34</v>
      </c>
      <c r="G27" s="137">
        <f>SUM(G30:G98)</f>
        <v>2350</v>
      </c>
      <c r="H27" s="137">
        <f>SUM(H30:H98)</f>
        <v>-2150.34</v>
      </c>
      <c r="J27" s="137">
        <f>SUM(J30:J98)</f>
        <v>2842.84</v>
      </c>
      <c r="K27" s="137">
        <f>SUM(K30:K98)</f>
        <v>356.31</v>
      </c>
      <c r="L27" s="137">
        <f>SUM(L30:L98)</f>
        <v>1301.19</v>
      </c>
    </row>
    <row r="28" spans="1:19">
      <c r="A28" s="138"/>
      <c r="B28" s="141"/>
      <c r="D28" s="144"/>
      <c r="J28" s="216" t="s">
        <v>670</v>
      </c>
      <c r="K28" s="216"/>
      <c r="L28" s="216">
        <f>140-100</f>
        <v>40</v>
      </c>
    </row>
    <row r="29" spans="1:19" ht="12.75">
      <c r="A29" s="141"/>
      <c r="B29" s="143"/>
      <c r="F29" s="154" t="s">
        <v>426</v>
      </c>
      <c r="G29" s="137" t="s">
        <v>427</v>
      </c>
      <c r="H29" s="154" t="s">
        <v>487</v>
      </c>
      <c r="J29" s="155" t="s">
        <v>428</v>
      </c>
      <c r="K29" s="156" t="s">
        <v>429</v>
      </c>
      <c r="L29" s="156" t="s">
        <v>430</v>
      </c>
      <c r="S29" s="154"/>
    </row>
    <row r="30" spans="1:19" ht="12.75">
      <c r="A30" s="218" t="s">
        <v>677</v>
      </c>
      <c r="B30" s="141">
        <f>F30</f>
        <v>2000</v>
      </c>
      <c r="C30" s="137" t="s">
        <v>654</v>
      </c>
      <c r="F30" s="137">
        <f>SUM(J30:L30)</f>
        <v>2000</v>
      </c>
      <c r="G30" s="137">
        <v>0</v>
      </c>
      <c r="H30" s="137">
        <f>G30-F30</f>
        <v>-2000</v>
      </c>
      <c r="J30" s="157">
        <v>2000</v>
      </c>
      <c r="K30" s="157"/>
      <c r="L30" s="157"/>
    </row>
    <row r="31" spans="1:19" ht="12.75">
      <c r="A31" s="137"/>
      <c r="J31" s="157"/>
      <c r="K31" s="157"/>
      <c r="L31" s="157"/>
    </row>
    <row r="32" spans="1:19" ht="12.75">
      <c r="A32" s="141" t="s">
        <v>107</v>
      </c>
      <c r="B32" s="141">
        <f>SUM(F33:F36)</f>
        <v>108.82</v>
      </c>
      <c r="C32" s="141">
        <f>SUM(G33:G36)</f>
        <v>340</v>
      </c>
      <c r="D32" s="141">
        <f>C32-B32</f>
        <v>231.18</v>
      </c>
      <c r="J32" s="157"/>
      <c r="K32" s="157"/>
      <c r="L32" s="157"/>
    </row>
    <row r="33" spans="1:15">
      <c r="B33" s="137" t="s">
        <v>54</v>
      </c>
      <c r="C33" s="137" t="s">
        <v>55</v>
      </c>
      <c r="F33" s="137">
        <f>SUM(J33:L33)</f>
        <v>108.82</v>
      </c>
      <c r="G33" s="137">
        <v>115</v>
      </c>
      <c r="H33" s="137">
        <f>G33-F33</f>
        <v>6.1800000000000068</v>
      </c>
      <c r="J33" s="157">
        <v>108.82</v>
      </c>
      <c r="K33" s="157"/>
      <c r="L33" s="157"/>
      <c r="N33" s="137">
        <v>1697.5</v>
      </c>
    </row>
    <row r="34" spans="1:15">
      <c r="B34" s="137" t="s">
        <v>56</v>
      </c>
      <c r="C34" s="137" t="s">
        <v>57</v>
      </c>
      <c r="F34" s="137">
        <f>SUM(J34:L34)</f>
        <v>0</v>
      </c>
      <c r="G34" s="137">
        <v>40</v>
      </c>
      <c r="H34" s="137">
        <f>G34-F34</f>
        <v>40</v>
      </c>
      <c r="J34" s="157"/>
      <c r="K34" s="157"/>
      <c r="L34" s="157"/>
      <c r="N34" s="137">
        <v>0</v>
      </c>
      <c r="O34" s="137" t="s">
        <v>689</v>
      </c>
    </row>
    <row r="35" spans="1:15">
      <c r="B35" s="137" t="s">
        <v>108</v>
      </c>
      <c r="C35" s="137" t="s">
        <v>109</v>
      </c>
      <c r="D35" s="137" t="s">
        <v>432</v>
      </c>
      <c r="F35" s="137">
        <f>SUM(J35:L35)</f>
        <v>0</v>
      </c>
      <c r="G35" s="137">
        <v>85</v>
      </c>
      <c r="H35" s="137">
        <f>G35-F35</f>
        <v>85</v>
      </c>
      <c r="J35" s="157"/>
      <c r="K35" s="157"/>
      <c r="L35" s="157"/>
      <c r="N35" s="137">
        <f>N33+N34</f>
        <v>1697.5</v>
      </c>
    </row>
    <row r="36" spans="1:15">
      <c r="B36" s="137" t="s">
        <v>111</v>
      </c>
      <c r="C36" s="137" t="s">
        <v>112</v>
      </c>
      <c r="D36" s="137" t="s">
        <v>113</v>
      </c>
      <c r="F36" s="137">
        <f>SUM(J36:L36)</f>
        <v>0</v>
      </c>
      <c r="G36" s="137">
        <v>100</v>
      </c>
      <c r="H36" s="137">
        <f>G36-F36</f>
        <v>100</v>
      </c>
      <c r="J36" s="157"/>
      <c r="K36" s="157"/>
      <c r="L36" s="157"/>
      <c r="N36" s="137">
        <f>-K26</f>
        <v>-1697.5</v>
      </c>
    </row>
    <row r="37" spans="1:15">
      <c r="J37" s="157"/>
      <c r="K37" s="157"/>
      <c r="L37" s="157"/>
      <c r="N37" s="137">
        <f>N35+N36</f>
        <v>0</v>
      </c>
    </row>
    <row r="38" spans="1:15" ht="12.75">
      <c r="A38" s="141" t="s">
        <v>518</v>
      </c>
      <c r="B38" s="141">
        <f>SUM(F39:F40)</f>
        <v>140.82999999999998</v>
      </c>
      <c r="C38" s="141">
        <f>SUM(G39:G40)</f>
        <v>138</v>
      </c>
      <c r="D38" s="141">
        <f>C38-B38</f>
        <v>-2.8299999999999841</v>
      </c>
      <c r="J38" s="157"/>
      <c r="K38" s="157"/>
      <c r="L38" s="157"/>
    </row>
    <row r="39" spans="1:15" ht="12.75">
      <c r="A39" s="137" t="s">
        <v>460</v>
      </c>
      <c r="B39" s="137" t="s">
        <v>64</v>
      </c>
      <c r="C39" s="137" t="s">
        <v>65</v>
      </c>
      <c r="F39" s="137">
        <f>SUM(J39:L39)</f>
        <v>62.97</v>
      </c>
      <c r="G39" s="137">
        <v>63</v>
      </c>
      <c r="H39" s="137">
        <f>G39-F39</f>
        <v>3.0000000000001137E-2</v>
      </c>
      <c r="J39" s="157"/>
      <c r="K39" s="157"/>
      <c r="L39" s="157">
        <v>62.97</v>
      </c>
    </row>
    <row r="40" spans="1:15">
      <c r="B40" s="137" t="s">
        <v>115</v>
      </c>
      <c r="C40" s="137" t="s">
        <v>116</v>
      </c>
      <c r="F40" s="137">
        <f>SUM(J40:L40)</f>
        <v>77.86</v>
      </c>
      <c r="G40" s="137">
        <v>75</v>
      </c>
      <c r="H40" s="137">
        <f>G40-F40</f>
        <v>-2.8599999999999994</v>
      </c>
      <c r="J40" s="157"/>
      <c r="K40" s="157"/>
      <c r="L40" s="157">
        <v>77.86</v>
      </c>
    </row>
    <row r="41" spans="1:15">
      <c r="J41" s="157"/>
      <c r="K41" s="157"/>
      <c r="L41" s="157"/>
    </row>
    <row r="42" spans="1:15" ht="12.75">
      <c r="A42" s="141" t="s">
        <v>117</v>
      </c>
      <c r="B42" s="141">
        <f>SUM(F43:F45)</f>
        <v>0</v>
      </c>
      <c r="C42" s="141">
        <f>SUM(G43:G45)</f>
        <v>177</v>
      </c>
      <c r="D42" s="141">
        <f>C42-B42</f>
        <v>177</v>
      </c>
      <c r="J42" s="157"/>
      <c r="K42" s="157"/>
      <c r="L42" s="157"/>
    </row>
    <row r="43" spans="1:15" ht="12.75">
      <c r="A43" s="137"/>
      <c r="B43" s="137" t="s">
        <v>118</v>
      </c>
      <c r="C43" s="137" t="s">
        <v>119</v>
      </c>
      <c r="F43" s="137">
        <f>SUM(J43:L43)</f>
        <v>0</v>
      </c>
      <c r="G43" s="137">
        <v>56.5</v>
      </c>
      <c r="H43" s="137">
        <f>G43-F43</f>
        <v>56.5</v>
      </c>
      <c r="J43" s="157"/>
      <c r="K43" s="157"/>
      <c r="L43" s="157"/>
    </row>
    <row r="44" spans="1:15" ht="12.75">
      <c r="A44" s="137"/>
      <c r="B44" s="137" t="s">
        <v>120</v>
      </c>
      <c r="C44" s="137" t="s">
        <v>119</v>
      </c>
      <c r="F44" s="137">
        <f>SUM(J44:L44)</f>
        <v>0</v>
      </c>
      <c r="G44" s="137">
        <v>84.5</v>
      </c>
      <c r="H44" s="137">
        <f>G44-F44</f>
        <v>84.5</v>
      </c>
      <c r="J44" s="157"/>
      <c r="K44" s="157"/>
      <c r="L44" s="157"/>
    </row>
    <row r="45" spans="1:15" ht="12.75">
      <c r="A45" s="137"/>
      <c r="B45" s="137" t="s">
        <v>121</v>
      </c>
      <c r="F45" s="137">
        <f>SUM(J45:L45)</f>
        <v>0</v>
      </c>
      <c r="G45" s="137">
        <v>36</v>
      </c>
      <c r="H45" s="137">
        <f>G45-F45</f>
        <v>36</v>
      </c>
      <c r="J45" s="157"/>
      <c r="K45" s="157"/>
      <c r="L45" s="157"/>
    </row>
    <row r="46" spans="1:15" ht="12.75">
      <c r="A46" s="137"/>
      <c r="D46" s="141"/>
      <c r="J46" s="157"/>
      <c r="K46" s="157"/>
      <c r="L46" s="157"/>
    </row>
    <row r="47" spans="1:15" ht="12.75">
      <c r="A47" s="141" t="s">
        <v>122</v>
      </c>
      <c r="B47" s="141">
        <f>SUM(F48:F51)</f>
        <v>73.47</v>
      </c>
      <c r="C47" s="141">
        <f>SUM(G48:G51)</f>
        <v>130</v>
      </c>
      <c r="D47" s="141">
        <f>C47-B47</f>
        <v>56.53</v>
      </c>
      <c r="J47" s="157"/>
      <c r="K47" s="157"/>
      <c r="L47" s="157"/>
    </row>
    <row r="48" spans="1:15" ht="12.75">
      <c r="A48" s="137"/>
      <c r="B48" s="137" t="s">
        <v>124</v>
      </c>
      <c r="F48" s="137">
        <f>SUM(J48:L48)</f>
        <v>0</v>
      </c>
      <c r="G48" s="137">
        <v>20</v>
      </c>
      <c r="H48" s="137">
        <f>G48-F48</f>
        <v>20</v>
      </c>
      <c r="J48" s="157"/>
      <c r="K48" s="157"/>
      <c r="L48" s="157"/>
    </row>
    <row r="49" spans="1:13">
      <c r="B49" s="137" t="s">
        <v>125</v>
      </c>
      <c r="F49" s="137">
        <f>SUM(J49:L49)</f>
        <v>0</v>
      </c>
      <c r="G49" s="137">
        <v>10</v>
      </c>
      <c r="H49" s="137">
        <f>G49-F49</f>
        <v>10</v>
      </c>
      <c r="J49" s="157"/>
      <c r="K49" s="157"/>
      <c r="L49" s="157"/>
    </row>
    <row r="50" spans="1:13">
      <c r="B50" s="137" t="s">
        <v>126</v>
      </c>
      <c r="F50" s="137">
        <f>SUM(J50:L50)</f>
        <v>73.47</v>
      </c>
      <c r="G50" s="137">
        <v>50</v>
      </c>
      <c r="H50" s="137">
        <f>G50-F50</f>
        <v>-23.47</v>
      </c>
      <c r="J50" s="157"/>
      <c r="K50" s="157"/>
      <c r="L50" s="157">
        <f>(37.69-20.32)+56.1</f>
        <v>73.47</v>
      </c>
    </row>
    <row r="51" spans="1:13">
      <c r="B51" s="137" t="s">
        <v>127</v>
      </c>
      <c r="F51" s="137">
        <f>SUM(J51:L51)</f>
        <v>0</v>
      </c>
      <c r="G51" s="137">
        <v>50</v>
      </c>
      <c r="H51" s="137">
        <f>G51-F51</f>
        <v>50</v>
      </c>
      <c r="J51" s="157"/>
      <c r="K51" s="157"/>
      <c r="L51" s="157"/>
    </row>
    <row r="52" spans="1:13">
      <c r="J52" s="157"/>
      <c r="K52" s="157"/>
      <c r="L52" s="157"/>
    </row>
    <row r="53" spans="1:13" ht="12.75">
      <c r="A53" s="141" t="s">
        <v>436</v>
      </c>
      <c r="B53" s="141">
        <f>SUM(F54:F56)</f>
        <v>282.77999999999997</v>
      </c>
      <c r="C53" s="141">
        <f>SUM(G54:G56)</f>
        <v>80</v>
      </c>
      <c r="D53" s="141">
        <f>C53-B53</f>
        <v>-202.77999999999997</v>
      </c>
      <c r="J53" s="157"/>
      <c r="K53" s="157"/>
      <c r="L53" s="157"/>
    </row>
    <row r="54" spans="1:13">
      <c r="B54" s="137" t="s">
        <v>520</v>
      </c>
      <c r="F54" s="137">
        <f>SUM(J54:L54)</f>
        <v>66.84</v>
      </c>
      <c r="G54" s="137">
        <f>50</f>
        <v>50</v>
      </c>
      <c r="H54" s="137">
        <f>G54-F54</f>
        <v>-16.840000000000003</v>
      </c>
      <c r="J54" s="157"/>
      <c r="K54" s="157"/>
      <c r="L54" s="157">
        <f>25.96+11.97+28.91</f>
        <v>66.84</v>
      </c>
      <c r="M54" s="137" t="s">
        <v>698</v>
      </c>
    </row>
    <row r="55" spans="1:13">
      <c r="B55" s="137" t="s">
        <v>131</v>
      </c>
      <c r="F55" s="137">
        <f>SUM(J55:L55)</f>
        <v>0</v>
      </c>
      <c r="G55" s="137">
        <v>20</v>
      </c>
      <c r="H55" s="137">
        <f>G55-F55</f>
        <v>20</v>
      </c>
      <c r="J55" s="157"/>
      <c r="K55" s="157"/>
      <c r="L55" s="157"/>
    </row>
    <row r="56" spans="1:13">
      <c r="B56" s="137" t="s">
        <v>132</v>
      </c>
      <c r="D56" s="137" t="s">
        <v>438</v>
      </c>
      <c r="F56" s="137">
        <f>SUM(J56:L56)</f>
        <v>215.94</v>
      </c>
      <c r="G56" s="137">
        <v>10</v>
      </c>
      <c r="H56" s="137">
        <f>G56-F56</f>
        <v>-205.94</v>
      </c>
      <c r="J56" s="157"/>
      <c r="K56" s="157"/>
      <c r="L56" s="157">
        <v>215.94</v>
      </c>
      <c r="M56" s="137" t="s">
        <v>691</v>
      </c>
    </row>
    <row r="57" spans="1:13">
      <c r="J57" s="157"/>
      <c r="K57" s="157"/>
      <c r="L57" s="157"/>
    </row>
    <row r="58" spans="1:13" ht="12.75">
      <c r="A58" s="141" t="s">
        <v>133</v>
      </c>
      <c r="B58" s="141">
        <f>SUM(F59:F64)</f>
        <v>647.01</v>
      </c>
      <c r="C58" s="141">
        <f>SUM(G59:G64)</f>
        <v>500</v>
      </c>
      <c r="D58" s="141">
        <f>C58-B58</f>
        <v>-147.01</v>
      </c>
      <c r="J58" s="157"/>
      <c r="K58" s="157"/>
      <c r="L58" s="157"/>
    </row>
    <row r="59" spans="1:13" ht="12.75">
      <c r="A59" s="137"/>
      <c r="B59" s="137" t="s">
        <v>134</v>
      </c>
      <c r="F59" s="137">
        <f t="shared" ref="F59:F64" si="0">SUM(J59:L59)</f>
        <v>100</v>
      </c>
      <c r="G59" s="137">
        <v>100</v>
      </c>
      <c r="H59" s="137">
        <f t="shared" ref="H59:H64" si="1">G59-F59</f>
        <v>0</v>
      </c>
      <c r="J59" s="157">
        <v>100</v>
      </c>
      <c r="K59" s="157"/>
      <c r="L59" s="157"/>
      <c r="M59" s="224">
        <v>41172</v>
      </c>
    </row>
    <row r="60" spans="1:13">
      <c r="B60" s="137" t="s">
        <v>135</v>
      </c>
      <c r="F60" s="137">
        <f t="shared" si="0"/>
        <v>393.63</v>
      </c>
      <c r="G60" s="137">
        <v>300</v>
      </c>
      <c r="H60" s="137">
        <f t="shared" si="1"/>
        <v>-93.63</v>
      </c>
      <c r="J60" s="157">
        <v>42.5</v>
      </c>
      <c r="K60" s="157"/>
      <c r="L60" s="157">
        <f>19.04+18.02+22.4+(111.46-17.89-20.97-6.64)+3+37.14+47.69+12.97+14.82+(73.82-14.98)+51.25</f>
        <v>351.13</v>
      </c>
      <c r="M60" s="167" t="s">
        <v>687</v>
      </c>
    </row>
    <row r="61" spans="1:13">
      <c r="B61" s="137" t="s">
        <v>136</v>
      </c>
      <c r="F61" s="137">
        <f t="shared" si="0"/>
        <v>17.89</v>
      </c>
      <c r="G61" s="137">
        <v>30</v>
      </c>
      <c r="H61" s="137">
        <f t="shared" si="1"/>
        <v>12.11</v>
      </c>
      <c r="J61" s="157"/>
      <c r="K61" s="157"/>
      <c r="L61" s="157">
        <f>17.89</f>
        <v>17.89</v>
      </c>
      <c r="M61" s="167"/>
    </row>
    <row r="62" spans="1:13">
      <c r="B62" s="137" t="s">
        <v>138</v>
      </c>
      <c r="F62" s="137">
        <f t="shared" si="0"/>
        <v>97.44</v>
      </c>
      <c r="G62" s="137">
        <v>30</v>
      </c>
      <c r="H62" s="137">
        <f t="shared" si="1"/>
        <v>-67.44</v>
      </c>
      <c r="J62" s="157"/>
      <c r="K62" s="157"/>
      <c r="L62" s="157">
        <f>20.32+(33.8-7-3-13)+6.64+(103.41-28.91-14.82)</f>
        <v>97.44</v>
      </c>
      <c r="M62" s="137" t="s">
        <v>686</v>
      </c>
    </row>
    <row r="63" spans="1:13">
      <c r="B63" s="137" t="s">
        <v>139</v>
      </c>
      <c r="F63" s="137">
        <f t="shared" si="0"/>
        <v>38.049999999999997</v>
      </c>
      <c r="G63" s="137">
        <v>30</v>
      </c>
      <c r="H63" s="137">
        <f t="shared" si="1"/>
        <v>-8.0499999999999972</v>
      </c>
      <c r="J63" s="157"/>
      <c r="K63" s="157">
        <v>10.61</v>
      </c>
      <c r="L63" s="157">
        <v>27.44</v>
      </c>
      <c r="M63" s="137" t="s">
        <v>688</v>
      </c>
    </row>
    <row r="64" spans="1:13">
      <c r="B64" s="137" t="s">
        <v>140</v>
      </c>
      <c r="F64" s="137">
        <f t="shared" si="0"/>
        <v>0</v>
      </c>
      <c r="G64" s="137">
        <v>10</v>
      </c>
      <c r="H64" s="137">
        <f t="shared" si="1"/>
        <v>10</v>
      </c>
      <c r="J64" s="157"/>
      <c r="K64" s="157"/>
      <c r="L64" s="157"/>
    </row>
    <row r="65" spans="1:19">
      <c r="J65" s="157"/>
      <c r="K65" s="157"/>
      <c r="L65" s="157"/>
    </row>
    <row r="66" spans="1:19" ht="12.75">
      <c r="A66" s="141" t="s">
        <v>141</v>
      </c>
      <c r="B66" s="141">
        <f>SUM(F67:F69)</f>
        <v>69.02</v>
      </c>
      <c r="C66" s="141">
        <f>SUM(G67:G69)</f>
        <v>105</v>
      </c>
      <c r="D66" s="141">
        <f>C66-B66</f>
        <v>35.980000000000004</v>
      </c>
      <c r="J66" s="157"/>
      <c r="K66" s="157"/>
      <c r="L66" s="157"/>
    </row>
    <row r="67" spans="1:19">
      <c r="B67" s="137" t="s">
        <v>142</v>
      </c>
      <c r="F67" s="137">
        <f>SUM(J67:L67)</f>
        <v>0</v>
      </c>
      <c r="G67" s="137">
        <v>25</v>
      </c>
      <c r="H67" s="137">
        <f>G67-F67</f>
        <v>25</v>
      </c>
      <c r="J67" s="157"/>
      <c r="K67" s="157"/>
      <c r="L67" s="157"/>
    </row>
    <row r="68" spans="1:19">
      <c r="B68" s="137" t="s">
        <v>143</v>
      </c>
      <c r="F68" s="137">
        <f>SUM(J68:L68)</f>
        <v>0</v>
      </c>
      <c r="G68" s="137">
        <v>20</v>
      </c>
      <c r="H68" s="137">
        <f>G68-F68</f>
        <v>20</v>
      </c>
      <c r="J68" s="157"/>
      <c r="K68" s="157"/>
      <c r="L68" s="157"/>
    </row>
    <row r="69" spans="1:19">
      <c r="B69" s="137" t="s">
        <v>144</v>
      </c>
      <c r="F69" s="137">
        <f>SUM(J69:L69)</f>
        <v>69.02</v>
      </c>
      <c r="G69" s="137">
        <v>60</v>
      </c>
      <c r="H69" s="137">
        <f>G69-F69</f>
        <v>-9.019999999999996</v>
      </c>
      <c r="J69" s="157"/>
      <c r="K69" s="157">
        <v>69.02</v>
      </c>
      <c r="L69" s="157"/>
    </row>
    <row r="70" spans="1:19">
      <c r="J70" s="157"/>
      <c r="K70" s="157"/>
      <c r="L70" s="157"/>
    </row>
    <row r="71" spans="1:19" ht="12.75">
      <c r="A71" s="141" t="s">
        <v>145</v>
      </c>
      <c r="B71" s="141">
        <f>SUM(F72:F76)</f>
        <v>276.68</v>
      </c>
      <c r="C71" s="141">
        <f>SUM(G72:G76)</f>
        <v>370</v>
      </c>
      <c r="D71" s="141">
        <f>C71-B71</f>
        <v>93.32</v>
      </c>
      <c r="J71" s="157"/>
      <c r="K71" s="157"/>
      <c r="L71" s="157"/>
      <c r="S71" s="223"/>
    </row>
    <row r="72" spans="1:19">
      <c r="B72" s="137" t="s">
        <v>146</v>
      </c>
      <c r="F72" s="137">
        <f>SUM(J72:L72)</f>
        <v>56.67</v>
      </c>
      <c r="G72" s="137">
        <v>100</v>
      </c>
      <c r="H72" s="137">
        <f>G72-F72</f>
        <v>43.33</v>
      </c>
      <c r="J72" s="157"/>
      <c r="K72" s="157">
        <f>41.69+14.98</f>
        <v>56.67</v>
      </c>
      <c r="L72" s="157"/>
    </row>
    <row r="73" spans="1:19">
      <c r="B73" s="137" t="s">
        <v>147</v>
      </c>
      <c r="D73" s="137" t="s">
        <v>148</v>
      </c>
      <c r="F73" s="137">
        <f>SUM(J73:L73)</f>
        <v>170</v>
      </c>
      <c r="G73" s="137">
        <f>85*2</f>
        <v>170</v>
      </c>
      <c r="H73" s="137">
        <f>G73-F73</f>
        <v>0</v>
      </c>
      <c r="J73" s="157"/>
      <c r="K73" s="157">
        <f>85+85</f>
        <v>170</v>
      </c>
      <c r="L73" s="157"/>
    </row>
    <row r="74" spans="1:19">
      <c r="B74" s="137" t="s">
        <v>149</v>
      </c>
      <c r="F74" s="137">
        <f>SUM(J74:L74)</f>
        <v>27.11</v>
      </c>
      <c r="G74" s="137">
        <v>30</v>
      </c>
      <c r="H74" s="137">
        <f>G74-F74</f>
        <v>2.8900000000000006</v>
      </c>
      <c r="J74" s="157"/>
      <c r="K74" s="157">
        <f>(57.36-30.25)</f>
        <v>27.11</v>
      </c>
      <c r="L74" s="157"/>
    </row>
    <row r="75" spans="1:19" ht="12.75">
      <c r="A75" s="141"/>
      <c r="B75" s="137" t="s">
        <v>150</v>
      </c>
      <c r="F75" s="137">
        <f>SUM(J75:L75)</f>
        <v>0</v>
      </c>
      <c r="G75" s="137">
        <v>20</v>
      </c>
      <c r="H75" s="137">
        <f>G75-F75</f>
        <v>20</v>
      </c>
      <c r="J75" s="157"/>
      <c r="K75" s="157"/>
      <c r="L75" s="157"/>
    </row>
    <row r="76" spans="1:19" ht="12.75">
      <c r="A76" s="141"/>
      <c r="B76" s="137" t="s">
        <v>151</v>
      </c>
      <c r="F76" s="137">
        <f>SUM(J76:L76)</f>
        <v>22.9</v>
      </c>
      <c r="G76" s="137">
        <v>50</v>
      </c>
      <c r="H76" s="137">
        <f>G76-F76</f>
        <v>27.1</v>
      </c>
      <c r="J76" s="157"/>
      <c r="K76" s="157">
        <f>1.9+2.05+3.4+3.05+1.3+6.5+4.7</f>
        <v>22.9</v>
      </c>
      <c r="L76" s="157"/>
    </row>
    <row r="77" spans="1:19" ht="12.75">
      <c r="A77" s="141"/>
      <c r="B77" s="141"/>
      <c r="J77" s="157"/>
      <c r="K77" s="157"/>
      <c r="L77" s="157"/>
    </row>
    <row r="78" spans="1:19" ht="12.75">
      <c r="A78" s="141" t="s">
        <v>152</v>
      </c>
      <c r="B78" s="141">
        <f>SUM(F79:F82)</f>
        <v>229.77</v>
      </c>
      <c r="C78" s="141">
        <f>SUM(G79:G82)</f>
        <v>290</v>
      </c>
      <c r="D78" s="141">
        <f>C78-B78</f>
        <v>60.22999999999999</v>
      </c>
      <c r="J78" s="157"/>
      <c r="K78" s="157"/>
      <c r="L78" s="157"/>
    </row>
    <row r="79" spans="1:19" ht="12.75">
      <c r="A79" s="137"/>
      <c r="B79" s="137" t="s">
        <v>153</v>
      </c>
      <c r="D79" s="137" t="s">
        <v>154</v>
      </c>
      <c r="F79" s="137">
        <f>SUM(J79:L79)</f>
        <v>30.25</v>
      </c>
      <c r="G79" s="137">
        <f>1200/12</f>
        <v>100</v>
      </c>
      <c r="H79" s="137">
        <f>G79-F79</f>
        <v>69.75</v>
      </c>
      <c r="J79" s="157"/>
      <c r="K79" s="157"/>
      <c r="L79" s="157">
        <v>30.25</v>
      </c>
    </row>
    <row r="80" spans="1:19">
      <c r="B80" s="137" t="s">
        <v>155</v>
      </c>
      <c r="D80" s="137" t="s">
        <v>156</v>
      </c>
      <c r="F80" s="137">
        <f>SUM(J80:L80)</f>
        <v>-0.48000000000000043</v>
      </c>
      <c r="G80" s="137">
        <v>10</v>
      </c>
      <c r="H80" s="137">
        <f>G80-F80</f>
        <v>10.48</v>
      </c>
      <c r="J80" s="157">
        <v>-13.48</v>
      </c>
      <c r="K80" s="157"/>
      <c r="L80" s="157">
        <v>13</v>
      </c>
    </row>
    <row r="81" spans="1:13" ht="12.75">
      <c r="A81" s="141"/>
      <c r="B81" s="137" t="s">
        <v>157</v>
      </c>
      <c r="F81" s="137">
        <f>SUM(J81:L81)</f>
        <v>200</v>
      </c>
      <c r="G81" s="137">
        <f>150</f>
        <v>150</v>
      </c>
      <c r="H81" s="137">
        <f>G81-F81</f>
        <v>-50</v>
      </c>
      <c r="J81" s="157">
        <v>200</v>
      </c>
      <c r="K81" s="157"/>
      <c r="L81" s="157"/>
    </row>
    <row r="82" spans="1:13" ht="12.75">
      <c r="A82" s="141"/>
      <c r="B82" s="137" t="s">
        <v>158</v>
      </c>
      <c r="F82" s="137">
        <f>SUM(J82:L82)</f>
        <v>0</v>
      </c>
      <c r="G82" s="137">
        <v>30</v>
      </c>
      <c r="H82" s="137">
        <f>G82-F82</f>
        <v>30</v>
      </c>
      <c r="J82" s="157"/>
      <c r="K82" s="157"/>
      <c r="L82" s="157"/>
    </row>
    <row r="83" spans="1:13" ht="12.75">
      <c r="A83" s="141"/>
      <c r="B83" s="141"/>
      <c r="J83" s="157"/>
      <c r="K83" s="157"/>
      <c r="L83" s="157"/>
    </row>
    <row r="84" spans="1:13" ht="12.75">
      <c r="A84" s="141" t="s">
        <v>159</v>
      </c>
      <c r="B84" s="141">
        <f>SUM(F85:F88)</f>
        <v>10.89</v>
      </c>
      <c r="C84" s="141">
        <f>SUM(G85:G88)</f>
        <v>120</v>
      </c>
      <c r="D84" s="141">
        <f>C84-B84</f>
        <v>109.11</v>
      </c>
      <c r="J84" s="157"/>
      <c r="K84" s="157"/>
      <c r="L84" s="157"/>
    </row>
    <row r="85" spans="1:13" ht="12.75">
      <c r="A85" s="141"/>
      <c r="B85" s="137" t="s">
        <v>473</v>
      </c>
      <c r="F85" s="137">
        <f>SUM(J85:L85)</f>
        <v>10.89</v>
      </c>
      <c r="G85" s="137">
        <v>50</v>
      </c>
      <c r="H85" s="137">
        <f>G85-F85</f>
        <v>39.11</v>
      </c>
      <c r="J85" s="157"/>
      <c r="K85" s="157"/>
      <c r="L85" s="157">
        <v>10.89</v>
      </c>
    </row>
    <row r="86" spans="1:13" ht="12.75">
      <c r="A86" s="141"/>
      <c r="B86" s="137" t="s">
        <v>162</v>
      </c>
      <c r="F86" s="137">
        <f>SUM(J86:L86)</f>
        <v>0</v>
      </c>
      <c r="G86" s="137">
        <v>20</v>
      </c>
      <c r="H86" s="137">
        <f>G86-F86</f>
        <v>20</v>
      </c>
      <c r="J86" s="157"/>
      <c r="K86" s="157"/>
      <c r="L86" s="157"/>
    </row>
    <row r="87" spans="1:13" ht="12.75">
      <c r="A87" s="141"/>
      <c r="B87" s="137" t="s">
        <v>164</v>
      </c>
      <c r="F87" s="137">
        <f>SUM(J87:L87)</f>
        <v>0</v>
      </c>
      <c r="G87" s="137">
        <v>30</v>
      </c>
      <c r="H87" s="137">
        <f>G87-F87</f>
        <v>30</v>
      </c>
      <c r="J87" s="157"/>
      <c r="K87" s="157"/>
      <c r="L87" s="157"/>
    </row>
    <row r="88" spans="1:13" ht="12.75">
      <c r="A88" s="141"/>
      <c r="B88" s="137" t="s">
        <v>165</v>
      </c>
      <c r="F88" s="137">
        <f>SUM(J88:L88)</f>
        <v>0</v>
      </c>
      <c r="G88" s="137">
        <v>20</v>
      </c>
      <c r="H88" s="137">
        <f>G88-F88</f>
        <v>20</v>
      </c>
      <c r="J88" s="157"/>
      <c r="K88" s="157"/>
      <c r="L88" s="157"/>
    </row>
    <row r="89" spans="1:13" ht="12.75">
      <c r="A89" s="141"/>
      <c r="J89" s="157"/>
      <c r="K89" s="157"/>
      <c r="L89" s="157"/>
    </row>
    <row r="90" spans="1:13" ht="12.75">
      <c r="A90" s="141" t="s">
        <v>166</v>
      </c>
      <c r="B90" s="141">
        <f>SUM(F91:F92)</f>
        <v>38.96</v>
      </c>
      <c r="C90" s="141">
        <f>SUM(G91:G92)</f>
        <v>70</v>
      </c>
      <c r="D90" s="141">
        <f>C90-B90</f>
        <v>31.04</v>
      </c>
      <c r="J90" s="157"/>
      <c r="K90" s="157"/>
      <c r="L90" s="157"/>
    </row>
    <row r="91" spans="1:13" ht="12.75">
      <c r="A91" s="141"/>
      <c r="B91" s="137" t="s">
        <v>167</v>
      </c>
      <c r="F91" s="137">
        <f>SUM(J91:L91)</f>
        <v>17.990000000000002</v>
      </c>
      <c r="G91" s="137">
        <v>40</v>
      </c>
      <c r="H91" s="137">
        <f>G91-F91</f>
        <v>22.009999999999998</v>
      </c>
      <c r="J91" s="157"/>
      <c r="K91" s="157"/>
      <c r="L91" s="157">
        <f>10.99+7</f>
        <v>17.990000000000002</v>
      </c>
      <c r="M91" s="137" t="s">
        <v>685</v>
      </c>
    </row>
    <row r="92" spans="1:13" ht="12.75">
      <c r="A92" s="141"/>
      <c r="B92" s="137" t="s">
        <v>168</v>
      </c>
      <c r="D92" s="137" t="s">
        <v>169</v>
      </c>
      <c r="F92" s="137">
        <f>SUM(J92:L92)</f>
        <v>20.97</v>
      </c>
      <c r="G92" s="137">
        <v>30</v>
      </c>
      <c r="H92" s="137">
        <f>G92-F92</f>
        <v>9.0300000000000011</v>
      </c>
      <c r="J92" s="157"/>
      <c r="K92" s="157"/>
      <c r="L92" s="157">
        <f>6.99*3</f>
        <v>20.97</v>
      </c>
    </row>
    <row r="93" spans="1:13" ht="12.75">
      <c r="A93" s="141"/>
      <c r="J93" s="157"/>
      <c r="K93" s="157"/>
      <c r="L93" s="157"/>
    </row>
    <row r="94" spans="1:13" ht="12.75">
      <c r="A94" s="141" t="s">
        <v>170</v>
      </c>
      <c r="B94" s="141">
        <f>F95</f>
        <v>217.11</v>
      </c>
      <c r="C94" s="141">
        <f>G95</f>
        <v>20</v>
      </c>
      <c r="D94" s="141">
        <f>C94-B94</f>
        <v>-197.11</v>
      </c>
      <c r="J94" s="157"/>
      <c r="K94" s="157"/>
      <c r="L94" s="157"/>
    </row>
    <row r="95" spans="1:13" ht="12.75">
      <c r="A95" s="141"/>
      <c r="B95" s="137" t="s">
        <v>171</v>
      </c>
      <c r="F95" s="137">
        <f>SUM(J95:L95)</f>
        <v>217.11</v>
      </c>
      <c r="G95" s="137">
        <v>20</v>
      </c>
      <c r="H95" s="137">
        <f>G95-F95</f>
        <v>-197.11</v>
      </c>
      <c r="J95" s="157"/>
      <c r="K95" s="157"/>
      <c r="L95" s="157">
        <f>160+55+2.11</f>
        <v>217.11</v>
      </c>
      <c r="M95" s="137" t="s">
        <v>711</v>
      </c>
    </row>
    <row r="96" spans="1:13" ht="12.75">
      <c r="A96" s="141"/>
      <c r="J96" s="157"/>
      <c r="K96" s="157"/>
      <c r="L96" s="157"/>
    </row>
    <row r="97" spans="1:13" ht="12.75">
      <c r="A97" s="141" t="s">
        <v>172</v>
      </c>
      <c r="B97" s="141">
        <f>F98</f>
        <v>405</v>
      </c>
      <c r="C97" s="141">
        <f>G98</f>
        <v>10</v>
      </c>
      <c r="D97" s="141">
        <f>C97-B97</f>
        <v>-395</v>
      </c>
      <c r="J97" s="157"/>
      <c r="K97" s="157"/>
      <c r="L97" s="157"/>
    </row>
    <row r="98" spans="1:13">
      <c r="B98" s="137" t="s">
        <v>173</v>
      </c>
      <c r="D98" s="137" t="s">
        <v>680</v>
      </c>
      <c r="F98" s="137">
        <f>SUM(J98:L98)</f>
        <v>405</v>
      </c>
      <c r="G98" s="137">
        <v>10</v>
      </c>
      <c r="H98" s="137">
        <f>G98-F98</f>
        <v>-395</v>
      </c>
      <c r="J98" s="157">
        <v>405</v>
      </c>
      <c r="K98" s="157"/>
      <c r="L98" s="157"/>
      <c r="M98" s="137" t="s">
        <v>681</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dimension ref="A1:S98"/>
  <sheetViews>
    <sheetView topLeftCell="A4" zoomScale="84" zoomScaleNormal="84" workbookViewId="0">
      <pane ySplit="1" activePane="bottomLeft"/>
      <selection activeCell="D16" sqref="D16"/>
      <selection pane="bottomLeft" activeCell="D7" sqref="D7"/>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449</v>
      </c>
    </row>
    <row r="2" spans="1:16">
      <c r="A2" s="138" t="s">
        <v>331</v>
      </c>
      <c r="B2" s="137" t="s">
        <v>26</v>
      </c>
      <c r="C2" s="141"/>
      <c r="J2" s="137" t="s">
        <v>675</v>
      </c>
      <c r="N2" s="137">
        <v>42.5</v>
      </c>
    </row>
    <row r="3" spans="1:16">
      <c r="J3" s="137" t="s">
        <v>709</v>
      </c>
      <c r="N3" s="137">
        <v>198</v>
      </c>
    </row>
    <row r="4" spans="1:16">
      <c r="A4" s="138" t="s">
        <v>9</v>
      </c>
      <c r="B4" s="143">
        <f>SUM(G5:G9)</f>
        <v>14310.77</v>
      </c>
      <c r="C4" s="143"/>
      <c r="G4" s="137" t="s">
        <v>185</v>
      </c>
      <c r="J4" s="137" t="s">
        <v>725</v>
      </c>
      <c r="N4" s="137">
        <v>371.24</v>
      </c>
      <c r="O4" s="142" t="s">
        <v>729</v>
      </c>
    </row>
    <row r="5" spans="1:16">
      <c r="B5" s="137" t="s">
        <v>34</v>
      </c>
      <c r="D5" s="137">
        <v>3261.33</v>
      </c>
      <c r="E5" s="137">
        <v>3261.33</v>
      </c>
      <c r="F5" s="137">
        <v>3319.4</v>
      </c>
      <c r="G5" s="144">
        <f>SUM(D5:F5)</f>
        <v>9842.06</v>
      </c>
      <c r="H5" s="144" t="s">
        <v>221</v>
      </c>
      <c r="I5" s="144"/>
      <c r="J5" s="144"/>
      <c r="O5" s="142"/>
    </row>
    <row r="6" spans="1:16">
      <c r="B6" s="137" t="s">
        <v>36</v>
      </c>
      <c r="D6" s="142"/>
      <c r="E6" s="137">
        <v>0</v>
      </c>
      <c r="G6" s="144">
        <f>SUM(D6:F6)</f>
        <v>0</v>
      </c>
      <c r="H6" s="144"/>
      <c r="I6" s="144"/>
      <c r="J6" s="144"/>
      <c r="O6" s="142"/>
    </row>
    <row r="7" spans="1:16">
      <c r="B7" s="137" t="s">
        <v>397</v>
      </c>
      <c r="D7" s="137">
        <v>1915.93</v>
      </c>
      <c r="E7" s="137">
        <v>1915.93</v>
      </c>
      <c r="G7" s="144">
        <f>SUM(D7:F7)</f>
        <v>3831.86</v>
      </c>
      <c r="H7" s="144"/>
      <c r="I7" s="144"/>
      <c r="J7" s="144"/>
      <c r="O7" s="142"/>
    </row>
    <row r="8" spans="1:16">
      <c r="B8" s="137" t="s">
        <v>37</v>
      </c>
      <c r="D8" s="137">
        <v>318.43</v>
      </c>
      <c r="E8" s="137">
        <v>318.42</v>
      </c>
      <c r="G8" s="144">
        <f>SUM(D8:F8)</f>
        <v>636.85</v>
      </c>
      <c r="H8" s="144"/>
      <c r="I8" s="144"/>
      <c r="J8" s="144" t="s">
        <v>641</v>
      </c>
      <c r="O8" s="142"/>
    </row>
    <row r="9" spans="1:16">
      <c r="J9" s="137" t="s">
        <v>713</v>
      </c>
      <c r="P9" s="142"/>
    </row>
    <row r="10" spans="1:16">
      <c r="J10" s="137" t="s">
        <v>712</v>
      </c>
    </row>
    <row r="11" spans="1:16">
      <c r="A11" s="138" t="s">
        <v>11</v>
      </c>
      <c r="B11" s="143">
        <f>Tithe!D16</f>
        <v>590</v>
      </c>
      <c r="C11" s="143"/>
      <c r="D11" s="137" t="s">
        <v>187</v>
      </c>
      <c r="E11" s="145">
        <f>B11/B4</f>
        <v>4.1227690753187982E-2</v>
      </c>
      <c r="J11" s="137" t="s">
        <v>714</v>
      </c>
    </row>
    <row r="12" spans="1:16">
      <c r="J12" s="137" t="s">
        <v>715</v>
      </c>
    </row>
    <row r="13" spans="1:16">
      <c r="A13" s="138" t="s">
        <v>403</v>
      </c>
      <c r="B13" s="146">
        <f>SUM(D14:D17)+SUM(E14:E17)</f>
        <v>1250</v>
      </c>
      <c r="E13" s="137" t="s">
        <v>404</v>
      </c>
    </row>
    <row r="14" spans="1:16" ht="12.75">
      <c r="A14" s="137"/>
      <c r="B14" s="141" t="s">
        <v>405</v>
      </c>
      <c r="C14" s="141"/>
      <c r="D14" s="146">
        <v>750</v>
      </c>
    </row>
    <row r="15" spans="1:16">
      <c r="A15" s="138"/>
      <c r="B15" s="141" t="s">
        <v>406</v>
      </c>
      <c r="C15" s="141"/>
      <c r="D15" s="146">
        <v>200</v>
      </c>
    </row>
    <row r="16" spans="1:16">
      <c r="A16" s="138"/>
      <c r="B16" s="141" t="s">
        <v>407</v>
      </c>
      <c r="C16" s="141"/>
      <c r="D16" s="146">
        <v>200</v>
      </c>
    </row>
    <row r="17" spans="1:19">
      <c r="A17" s="138"/>
      <c r="B17" s="141" t="s">
        <v>408</v>
      </c>
      <c r="C17" s="141"/>
      <c r="D17" s="146">
        <v>100</v>
      </c>
    </row>
    <row r="18" spans="1:19">
      <c r="A18" s="138"/>
      <c r="B18" s="141"/>
      <c r="C18" s="141"/>
      <c r="D18" s="146"/>
    </row>
    <row r="19" spans="1:19">
      <c r="A19" s="138" t="s">
        <v>409</v>
      </c>
    </row>
    <row r="20" spans="1:19">
      <c r="B20" s="141"/>
    </row>
    <row r="21" spans="1:19">
      <c r="A21" s="138" t="s">
        <v>410</v>
      </c>
      <c r="B21" s="137">
        <f>SUM(E21:E22)</f>
        <v>7716.5897999999997</v>
      </c>
      <c r="C21" s="137" t="s">
        <v>411</v>
      </c>
      <c r="D21" s="144"/>
      <c r="E21" s="137">
        <f>0.33*G5</f>
        <v>3247.8798000000002</v>
      </c>
      <c r="F21" s="137" t="s">
        <v>412</v>
      </c>
    </row>
    <row r="22" spans="1:19">
      <c r="C22" s="137" t="s">
        <v>413</v>
      </c>
      <c r="D22" s="144"/>
      <c r="E22" s="137">
        <f>SUM(G6:G8)</f>
        <v>4468.71</v>
      </c>
      <c r="F22" s="137" t="s">
        <v>458</v>
      </c>
    </row>
    <row r="23" spans="1:19">
      <c r="E23" s="144"/>
    </row>
    <row r="24" spans="1:19">
      <c r="A24" s="147" t="s">
        <v>415</v>
      </c>
      <c r="B24" s="148"/>
      <c r="C24" s="148"/>
      <c r="E24" s="149">
        <f>B4-B11-B13+D19-E21-E22</f>
        <v>4754.1801999999998</v>
      </c>
      <c r="F24" s="137" t="s">
        <v>416</v>
      </c>
      <c r="G24" s="146">
        <f>E24-D27</f>
        <v>-264.33980000000065</v>
      </c>
    </row>
    <row r="25" spans="1:19" ht="16.5" thickBot="1">
      <c r="A25" s="147" t="s">
        <v>417</v>
      </c>
      <c r="B25" s="148"/>
      <c r="C25" s="148"/>
      <c r="E25" s="149">
        <f>SUM(E21:E22)+G24</f>
        <v>7452.2499999999991</v>
      </c>
      <c r="F25" s="137" t="s">
        <v>418</v>
      </c>
      <c r="G25" s="150">
        <f>E25/B4</f>
        <v>0.52074416680583913</v>
      </c>
      <c r="H25" s="137" t="s">
        <v>419</v>
      </c>
    </row>
    <row r="26" spans="1:19" ht="16.5" thickBot="1">
      <c r="A26" s="138"/>
      <c r="B26" s="148"/>
      <c r="C26" s="148"/>
      <c r="E26" s="149"/>
      <c r="K26" s="217">
        <f>K27+L27+L28</f>
        <v>1747.17</v>
      </c>
      <c r="L26" s="137">
        <v>1747.17</v>
      </c>
    </row>
    <row r="27" spans="1:19">
      <c r="A27" s="138" t="s">
        <v>420</v>
      </c>
      <c r="D27" s="146">
        <f>J27+K27+L27</f>
        <v>5018.5200000000004</v>
      </c>
      <c r="F27" s="137">
        <f>SUM(F30:F98)</f>
        <v>5018.5199999999995</v>
      </c>
      <c r="G27" s="137">
        <f>SUM(G30:G98)</f>
        <v>2350</v>
      </c>
      <c r="H27" s="137">
        <f>SUM(H30:H98)</f>
        <v>-2668.5199999999986</v>
      </c>
      <c r="J27" s="137">
        <f>SUM(J30:J98)</f>
        <v>3411.35</v>
      </c>
      <c r="K27" s="137">
        <f>SUM(K30:K98)</f>
        <v>613.54000000000008</v>
      </c>
      <c r="L27" s="137">
        <f>SUM(L30:L98)</f>
        <v>993.63000000000011</v>
      </c>
    </row>
    <row r="28" spans="1:19">
      <c r="A28" s="138"/>
      <c r="B28" s="141"/>
      <c r="D28" s="144"/>
      <c r="J28" s="216" t="s">
        <v>670</v>
      </c>
      <c r="K28" s="216"/>
      <c r="L28" s="216">
        <v>140</v>
      </c>
    </row>
    <row r="29" spans="1:19" ht="12.75">
      <c r="A29" s="141"/>
      <c r="B29" s="143"/>
      <c r="F29" s="154" t="s">
        <v>426</v>
      </c>
      <c r="G29" s="137" t="s">
        <v>427</v>
      </c>
      <c r="H29" s="154" t="s">
        <v>487</v>
      </c>
      <c r="J29" s="155" t="s">
        <v>428</v>
      </c>
      <c r="K29" s="156" t="s">
        <v>429</v>
      </c>
      <c r="L29" s="156" t="s">
        <v>430</v>
      </c>
      <c r="S29" s="154"/>
    </row>
    <row r="30" spans="1:19" ht="12.75">
      <c r="A30" s="218" t="s">
        <v>677</v>
      </c>
      <c r="B30" s="141">
        <f>F30</f>
        <v>2500</v>
      </c>
      <c r="C30" s="137" t="s">
        <v>106</v>
      </c>
      <c r="F30" s="137">
        <f>SUM(J30:L30)</f>
        <v>2500</v>
      </c>
      <c r="G30" s="137">
        <f>0</f>
        <v>0</v>
      </c>
      <c r="H30" s="137">
        <f>G30-F30</f>
        <v>-2500</v>
      </c>
      <c r="J30" s="157">
        <v>2500</v>
      </c>
      <c r="K30" s="157"/>
      <c r="L30" s="157"/>
    </row>
    <row r="31" spans="1:19" ht="12.75">
      <c r="A31" s="137"/>
      <c r="J31" s="157"/>
      <c r="K31" s="157"/>
      <c r="L31" s="157"/>
    </row>
    <row r="32" spans="1:19" ht="12.75">
      <c r="A32" s="141" t="s">
        <v>107</v>
      </c>
      <c r="B32" s="141">
        <f>SUM(F33:F36)</f>
        <v>98.85</v>
      </c>
      <c r="C32" s="141">
        <f>SUM(G33:G36)</f>
        <v>340</v>
      </c>
      <c r="D32" s="141">
        <f>C32-B32</f>
        <v>241.15</v>
      </c>
      <c r="J32" s="157"/>
      <c r="K32" s="157"/>
      <c r="L32" s="157"/>
    </row>
    <row r="33" spans="1:15">
      <c r="B33" s="137" t="s">
        <v>54</v>
      </c>
      <c r="C33" s="137" t="s">
        <v>55</v>
      </c>
      <c r="F33" s="137">
        <f>SUM(J33:L33)</f>
        <v>98.85</v>
      </c>
      <c r="G33" s="137">
        <v>115</v>
      </c>
      <c r="H33" s="137">
        <f>G33-F33</f>
        <v>16.150000000000006</v>
      </c>
      <c r="J33" s="157">
        <v>98.85</v>
      </c>
      <c r="K33" s="157"/>
      <c r="L33" s="157"/>
    </row>
    <row r="34" spans="1:15">
      <c r="B34" s="137" t="s">
        <v>56</v>
      </c>
      <c r="C34" s="137" t="s">
        <v>57</v>
      </c>
      <c r="F34" s="137">
        <f>SUM(J34:L34)</f>
        <v>0</v>
      </c>
      <c r="G34" s="137">
        <v>40</v>
      </c>
      <c r="H34" s="137">
        <f>G34-F34</f>
        <v>40</v>
      </c>
      <c r="J34" s="157"/>
      <c r="K34" s="157"/>
      <c r="L34" s="157"/>
    </row>
    <row r="35" spans="1:15">
      <c r="B35" s="137" t="s">
        <v>108</v>
      </c>
      <c r="C35" s="137" t="s">
        <v>109</v>
      </c>
      <c r="D35" s="137" t="s">
        <v>432</v>
      </c>
      <c r="F35" s="137">
        <f>SUM(J35:L35)</f>
        <v>0</v>
      </c>
      <c r="G35" s="137">
        <v>85</v>
      </c>
      <c r="H35" s="137">
        <f>G35-F35</f>
        <v>85</v>
      </c>
      <c r="J35" s="157"/>
      <c r="K35" s="157"/>
      <c r="L35" s="157"/>
    </row>
    <row r="36" spans="1:15">
      <c r="B36" s="137" t="s">
        <v>111</v>
      </c>
      <c r="C36" s="137" t="s">
        <v>112</v>
      </c>
      <c r="D36" s="137" t="s">
        <v>113</v>
      </c>
      <c r="F36" s="137">
        <f>SUM(J36:L36)</f>
        <v>0</v>
      </c>
      <c r="G36" s="137">
        <v>100</v>
      </c>
      <c r="H36" s="137">
        <f>G36-F36</f>
        <v>100</v>
      </c>
      <c r="J36" s="157"/>
      <c r="K36" s="157"/>
      <c r="L36" s="157"/>
      <c r="N36" s="137">
        <v>1685.8</v>
      </c>
    </row>
    <row r="37" spans="1:15">
      <c r="J37" s="157"/>
      <c r="K37" s="157"/>
      <c r="L37" s="157"/>
      <c r="N37" s="137">
        <v>-1740.8</v>
      </c>
    </row>
    <row r="38" spans="1:15" ht="12.75">
      <c r="A38" s="141" t="s">
        <v>518</v>
      </c>
      <c r="B38" s="141">
        <f>SUM(F39:F40)</f>
        <v>137.69999999999999</v>
      </c>
      <c r="C38" s="141">
        <f>SUM(G39:G40)</f>
        <v>138</v>
      </c>
      <c r="D38" s="141">
        <f>C38-B38</f>
        <v>0.30000000000001137</v>
      </c>
      <c r="J38" s="157"/>
      <c r="K38" s="157"/>
      <c r="L38" s="157"/>
      <c r="N38" s="137">
        <f>SUM(N36:N37)</f>
        <v>-55</v>
      </c>
      <c r="O38" s="137" t="s">
        <v>726</v>
      </c>
    </row>
    <row r="39" spans="1:15" ht="12.75">
      <c r="A39" s="137" t="s">
        <v>460</v>
      </c>
      <c r="B39" s="137" t="s">
        <v>64</v>
      </c>
      <c r="C39" s="137" t="s">
        <v>65</v>
      </c>
      <c r="F39" s="137">
        <f>SUM(J39:L39)</f>
        <v>62.96</v>
      </c>
      <c r="G39" s="137">
        <v>63</v>
      </c>
      <c r="H39" s="137">
        <f>G39-F39</f>
        <v>3.9999999999999147E-2</v>
      </c>
      <c r="J39" s="157"/>
      <c r="K39" s="157"/>
      <c r="L39" s="157">
        <v>62.96</v>
      </c>
      <c r="N39" s="137">
        <f>K26</f>
        <v>1747.17</v>
      </c>
    </row>
    <row r="40" spans="1:15">
      <c r="B40" s="137" t="s">
        <v>115</v>
      </c>
      <c r="C40" s="137" t="s">
        <v>116</v>
      </c>
      <c r="F40" s="137">
        <f>SUM(J40:L40)</f>
        <v>74.739999999999995</v>
      </c>
      <c r="G40" s="137">
        <v>75</v>
      </c>
      <c r="H40" s="137">
        <f>G40-F40</f>
        <v>0.26000000000000512</v>
      </c>
      <c r="J40" s="157"/>
      <c r="K40" s="157"/>
      <c r="L40" s="157">
        <v>74.739999999999995</v>
      </c>
      <c r="O40" s="137" t="s">
        <v>726</v>
      </c>
    </row>
    <row r="41" spans="1:15">
      <c r="J41" s="157"/>
      <c r="K41" s="157"/>
      <c r="L41" s="157"/>
    </row>
    <row r="42" spans="1:15" ht="12.75">
      <c r="A42" s="141" t="s">
        <v>117</v>
      </c>
      <c r="B42" s="141">
        <f>SUM(F43:F45)</f>
        <v>0</v>
      </c>
      <c r="C42" s="141">
        <f>SUM(G43:G45)</f>
        <v>177</v>
      </c>
      <c r="D42" s="141">
        <f>C42-B42</f>
        <v>177</v>
      </c>
      <c r="J42" s="157"/>
      <c r="K42" s="157"/>
      <c r="L42" s="157"/>
    </row>
    <row r="43" spans="1:15" ht="12.75">
      <c r="A43" s="137"/>
      <c r="B43" s="137" t="s">
        <v>118</v>
      </c>
      <c r="C43" s="137" t="s">
        <v>119</v>
      </c>
      <c r="F43" s="137">
        <f>SUM(J43:L43)</f>
        <v>0</v>
      </c>
      <c r="G43" s="137">
        <v>56.5</v>
      </c>
      <c r="H43" s="137">
        <f>G43-F43</f>
        <v>56.5</v>
      </c>
      <c r="J43" s="157"/>
      <c r="K43" s="157"/>
      <c r="L43" s="157"/>
    </row>
    <row r="44" spans="1:15" ht="12.75">
      <c r="A44" s="137"/>
      <c r="B44" s="137" t="s">
        <v>120</v>
      </c>
      <c r="C44" s="137" t="s">
        <v>119</v>
      </c>
      <c r="F44" s="137">
        <f>SUM(J44:L44)</f>
        <v>0</v>
      </c>
      <c r="G44" s="137">
        <v>84.5</v>
      </c>
      <c r="H44" s="137">
        <f>G44-F44</f>
        <v>84.5</v>
      </c>
      <c r="J44" s="157"/>
      <c r="K44" s="157"/>
      <c r="L44" s="157"/>
    </row>
    <row r="45" spans="1:15" ht="12.75">
      <c r="A45" s="137"/>
      <c r="B45" s="137" t="s">
        <v>121</v>
      </c>
      <c r="F45" s="137">
        <f>SUM(J45:L45)</f>
        <v>0</v>
      </c>
      <c r="G45" s="137">
        <v>36</v>
      </c>
      <c r="H45" s="137">
        <f>G45-F45</f>
        <v>36</v>
      </c>
      <c r="J45" s="157"/>
      <c r="K45" s="157"/>
      <c r="L45" s="157"/>
    </row>
    <row r="46" spans="1:15" ht="12.75">
      <c r="A46" s="137"/>
      <c r="D46" s="141"/>
      <c r="J46" s="157"/>
      <c r="K46" s="157"/>
      <c r="L46" s="157"/>
    </row>
    <row r="47" spans="1:15" ht="12.75">
      <c r="A47" s="141" t="s">
        <v>122</v>
      </c>
      <c r="B47" s="141">
        <f>SUM(F48:F51)</f>
        <v>100.2</v>
      </c>
      <c r="C47" s="141">
        <f>SUM(G48:G51)</f>
        <v>130</v>
      </c>
      <c r="D47" s="141">
        <f>C47-B47</f>
        <v>29.799999999999997</v>
      </c>
      <c r="J47" s="157"/>
      <c r="K47" s="157"/>
      <c r="L47" s="157"/>
    </row>
    <row r="48" spans="1:15" ht="12.75">
      <c r="A48" s="137"/>
      <c r="B48" s="137" t="s">
        <v>124</v>
      </c>
      <c r="F48" s="137">
        <f>SUM(J48:L48)</f>
        <v>0</v>
      </c>
      <c r="G48" s="137">
        <v>20</v>
      </c>
      <c r="H48" s="137">
        <f>G48-F48</f>
        <v>20</v>
      </c>
      <c r="J48" s="157"/>
      <c r="K48" s="157"/>
      <c r="L48" s="157"/>
    </row>
    <row r="49" spans="1:13">
      <c r="B49" s="137" t="s">
        <v>125</v>
      </c>
      <c r="F49" s="137">
        <f>SUM(J49:L49)</f>
        <v>30.95</v>
      </c>
      <c r="G49" s="137">
        <v>10</v>
      </c>
      <c r="H49" s="137">
        <f>G49-F49</f>
        <v>-20.95</v>
      </c>
      <c r="J49" s="157"/>
      <c r="K49" s="157"/>
      <c r="L49" s="157">
        <v>30.95</v>
      </c>
      <c r="M49" s="137" t="s">
        <v>723</v>
      </c>
    </row>
    <row r="50" spans="1:13">
      <c r="B50" s="137" t="s">
        <v>126</v>
      </c>
      <c r="F50" s="137">
        <f>SUM(J50:L50)</f>
        <v>69.25</v>
      </c>
      <c r="G50" s="137">
        <v>50</v>
      </c>
      <c r="H50" s="137">
        <f>G50-F50</f>
        <v>-19.25</v>
      </c>
      <c r="J50" s="157">
        <v>50</v>
      </c>
      <c r="K50" s="157">
        <v>19.25</v>
      </c>
      <c r="L50" s="157"/>
      <c r="M50" s="137" t="s">
        <v>731</v>
      </c>
    </row>
    <row r="51" spans="1:13">
      <c r="B51" s="137" t="s">
        <v>127</v>
      </c>
      <c r="F51" s="137">
        <f>SUM(J51:L51)</f>
        <v>0</v>
      </c>
      <c r="G51" s="137">
        <v>50</v>
      </c>
      <c r="H51" s="137">
        <f>G51-F51</f>
        <v>50</v>
      </c>
      <c r="J51" s="157"/>
      <c r="K51" s="157"/>
      <c r="L51" s="157"/>
    </row>
    <row r="52" spans="1:13">
      <c r="J52" s="157"/>
      <c r="K52" s="157"/>
      <c r="L52" s="157"/>
    </row>
    <row r="53" spans="1:13" ht="12.75">
      <c r="A53" s="141" t="s">
        <v>436</v>
      </c>
      <c r="B53" s="141">
        <f>SUM(F54:F56)</f>
        <v>230.05</v>
      </c>
      <c r="C53" s="141">
        <f>SUM(G54:G56)</f>
        <v>80</v>
      </c>
      <c r="D53" s="141">
        <f>C53-B53</f>
        <v>-150.05000000000001</v>
      </c>
      <c r="J53" s="157"/>
      <c r="K53" s="157"/>
      <c r="L53" s="157"/>
    </row>
    <row r="54" spans="1:13">
      <c r="B54" s="137" t="s">
        <v>520</v>
      </c>
      <c r="F54" s="137">
        <f>SUM(J54:L54)</f>
        <v>32.049999999999997</v>
      </c>
      <c r="G54" s="137">
        <f>50</f>
        <v>50</v>
      </c>
      <c r="H54" s="137">
        <f>G54-F54</f>
        <v>17.950000000000003</v>
      </c>
      <c r="J54" s="157"/>
      <c r="K54" s="157">
        <v>32.049999999999997</v>
      </c>
      <c r="L54" s="157"/>
    </row>
    <row r="55" spans="1:13">
      <c r="B55" s="137" t="s">
        <v>131</v>
      </c>
      <c r="F55" s="137">
        <f>SUM(J55:L55)</f>
        <v>0</v>
      </c>
      <c r="G55" s="137">
        <v>20</v>
      </c>
      <c r="H55" s="137">
        <f>G55-F55</f>
        <v>20</v>
      </c>
      <c r="J55" s="157"/>
      <c r="K55" s="157"/>
      <c r="L55" s="157"/>
    </row>
    <row r="56" spans="1:13">
      <c r="B56" s="137" t="s">
        <v>132</v>
      </c>
      <c r="D56" s="137" t="s">
        <v>438</v>
      </c>
      <c r="F56" s="137">
        <f>SUM(J56:L56)</f>
        <v>198</v>
      </c>
      <c r="G56" s="137">
        <v>10</v>
      </c>
      <c r="H56" s="137">
        <f>G56-F56</f>
        <v>-188</v>
      </c>
      <c r="J56" s="157"/>
      <c r="K56" s="157">
        <v>198</v>
      </c>
      <c r="L56" s="157"/>
      <c r="M56" s="137" t="s">
        <v>722</v>
      </c>
    </row>
    <row r="57" spans="1:13">
      <c r="J57" s="157"/>
      <c r="K57" s="157"/>
      <c r="L57" s="157"/>
    </row>
    <row r="58" spans="1:13" ht="12.75">
      <c r="A58" s="141" t="s">
        <v>133</v>
      </c>
      <c r="B58" s="141">
        <f>SUM(F59:F64)</f>
        <v>622.26</v>
      </c>
      <c r="C58" s="141">
        <f>SUM(G59:G64)</f>
        <v>500</v>
      </c>
      <c r="D58" s="141">
        <f>C58-B58</f>
        <v>-122.25999999999999</v>
      </c>
      <c r="J58" s="157"/>
      <c r="K58" s="157"/>
      <c r="L58" s="157"/>
    </row>
    <row r="59" spans="1:13" ht="12.75">
      <c r="A59" s="137"/>
      <c r="B59" s="137" t="s">
        <v>134</v>
      </c>
      <c r="F59" s="137">
        <f t="shared" ref="F59:F64" si="0">SUM(J59:L59)</f>
        <v>100</v>
      </c>
      <c r="G59" s="137">
        <v>100</v>
      </c>
      <c r="H59" s="137">
        <f t="shared" ref="H59:H64" si="1">G59-F59</f>
        <v>0</v>
      </c>
      <c r="J59" s="157">
        <v>100</v>
      </c>
      <c r="K59" s="157"/>
      <c r="L59" s="157"/>
      <c r="M59" s="224">
        <v>41207</v>
      </c>
    </row>
    <row r="60" spans="1:13">
      <c r="B60" s="137" t="s">
        <v>135</v>
      </c>
      <c r="F60" s="137">
        <f t="shared" si="0"/>
        <v>463.49</v>
      </c>
      <c r="G60" s="137">
        <v>300</v>
      </c>
      <c r="H60" s="137">
        <f t="shared" si="1"/>
        <v>-163.49</v>
      </c>
      <c r="J60" s="157">
        <v>42.5</v>
      </c>
      <c r="K60" s="157">
        <f>7.95+17.94+9.98+9.49+3.57</f>
        <v>48.930000000000007</v>
      </c>
      <c r="L60" s="157">
        <f>57.26+21.33+74.79+54.08+11.78+83.21+14.61+55</f>
        <v>372.06</v>
      </c>
      <c r="M60" s="167" t="s">
        <v>724</v>
      </c>
    </row>
    <row r="61" spans="1:13">
      <c r="B61" s="137" t="s">
        <v>136</v>
      </c>
      <c r="F61" s="137">
        <f t="shared" si="0"/>
        <v>0</v>
      </c>
      <c r="G61" s="137">
        <v>30</v>
      </c>
      <c r="H61" s="137">
        <f t="shared" si="1"/>
        <v>30</v>
      </c>
      <c r="J61" s="157"/>
      <c r="K61" s="157"/>
      <c r="L61" s="157"/>
      <c r="M61" s="167"/>
    </row>
    <row r="62" spans="1:13">
      <c r="B62" s="137" t="s">
        <v>138</v>
      </c>
      <c r="F62" s="137">
        <f t="shared" si="0"/>
        <v>3.62</v>
      </c>
      <c r="G62" s="137">
        <v>30</v>
      </c>
      <c r="H62" s="137">
        <f t="shared" si="1"/>
        <v>26.38</v>
      </c>
      <c r="J62" s="157"/>
      <c r="K62" s="157">
        <v>3.62</v>
      </c>
      <c r="L62" s="157"/>
    </row>
    <row r="63" spans="1:13">
      <c r="B63" s="137" t="s">
        <v>139</v>
      </c>
      <c r="F63" s="137">
        <f t="shared" si="0"/>
        <v>55.150000000000006</v>
      </c>
      <c r="G63" s="137">
        <v>30</v>
      </c>
      <c r="H63" s="137">
        <f t="shared" si="1"/>
        <v>-25.150000000000006</v>
      </c>
      <c r="J63" s="157"/>
      <c r="K63" s="157">
        <v>19.190000000000001</v>
      </c>
      <c r="L63" s="157">
        <v>35.96</v>
      </c>
      <c r="M63" s="137" t="s">
        <v>732</v>
      </c>
    </row>
    <row r="64" spans="1:13">
      <c r="B64" s="137" t="s">
        <v>140</v>
      </c>
      <c r="F64" s="137">
        <f t="shared" si="0"/>
        <v>0</v>
      </c>
      <c r="G64" s="137">
        <v>10</v>
      </c>
      <c r="H64" s="137">
        <f t="shared" si="1"/>
        <v>10</v>
      </c>
      <c r="J64" s="157"/>
      <c r="K64" s="157"/>
      <c r="L64" s="157"/>
    </row>
    <row r="65" spans="1:12">
      <c r="J65" s="157"/>
      <c r="K65" s="157"/>
      <c r="L65" s="157"/>
    </row>
    <row r="66" spans="1:12" ht="12.75">
      <c r="A66" s="141" t="s">
        <v>141</v>
      </c>
      <c r="B66" s="141">
        <f>SUM(F67:F69)</f>
        <v>39.730000000000004</v>
      </c>
      <c r="C66" s="141">
        <f>SUM(G67:G69)</f>
        <v>105</v>
      </c>
      <c r="D66" s="141">
        <f>C66-B66</f>
        <v>65.27</v>
      </c>
      <c r="J66" s="157"/>
      <c r="K66" s="157"/>
      <c r="L66" s="157"/>
    </row>
    <row r="67" spans="1:12">
      <c r="B67" s="137" t="s">
        <v>142</v>
      </c>
      <c r="F67" s="137">
        <f>SUM(J67:L67)</f>
        <v>0</v>
      </c>
      <c r="G67" s="137">
        <v>25</v>
      </c>
      <c r="H67" s="137">
        <f>G67-F67</f>
        <v>25</v>
      </c>
      <c r="J67" s="157"/>
      <c r="K67" s="157"/>
      <c r="L67" s="157"/>
    </row>
    <row r="68" spans="1:12">
      <c r="B68" s="137" t="s">
        <v>143</v>
      </c>
      <c r="F68" s="137">
        <f>SUM(J68:L68)</f>
        <v>0</v>
      </c>
      <c r="G68" s="137">
        <v>20</v>
      </c>
      <c r="H68" s="137">
        <f>G68-F68</f>
        <v>20</v>
      </c>
      <c r="J68" s="157"/>
      <c r="K68" s="157"/>
      <c r="L68" s="157"/>
    </row>
    <row r="69" spans="1:12">
      <c r="B69" s="137" t="s">
        <v>144</v>
      </c>
      <c r="F69" s="137">
        <f>SUM(J69:L69)</f>
        <v>39.730000000000004</v>
      </c>
      <c r="G69" s="137">
        <v>60</v>
      </c>
      <c r="H69" s="137">
        <f>G69-F69</f>
        <v>20.269999999999996</v>
      </c>
      <c r="J69" s="157"/>
      <c r="K69" s="157"/>
      <c r="L69" s="157">
        <f>45-5.27</f>
        <v>39.730000000000004</v>
      </c>
    </row>
    <row r="70" spans="1:12">
      <c r="J70" s="157"/>
      <c r="K70" s="157"/>
      <c r="L70" s="157"/>
    </row>
    <row r="71" spans="1:12" ht="12.75">
      <c r="A71" s="141" t="s">
        <v>145</v>
      </c>
      <c r="B71" s="141">
        <f>SUM(F72:F76)</f>
        <v>216.29</v>
      </c>
      <c r="C71" s="141">
        <f>SUM(G72:G76)</f>
        <v>370</v>
      </c>
      <c r="D71" s="141">
        <f>C71-B71</f>
        <v>153.71</v>
      </c>
      <c r="J71" s="157"/>
      <c r="K71" s="157"/>
      <c r="L71" s="157"/>
    </row>
    <row r="72" spans="1:12">
      <c r="B72" s="137" t="s">
        <v>146</v>
      </c>
      <c r="F72" s="137">
        <f>SUM(J72:L72)</f>
        <v>70.150000000000006</v>
      </c>
      <c r="G72" s="137">
        <v>100</v>
      </c>
      <c r="H72" s="137">
        <f>G72-F72</f>
        <v>29.849999999999994</v>
      </c>
      <c r="J72" s="157"/>
      <c r="K72" s="157">
        <f>35.08+35.07</f>
        <v>70.150000000000006</v>
      </c>
      <c r="L72" s="157"/>
    </row>
    <row r="73" spans="1:12">
      <c r="B73" s="137" t="s">
        <v>147</v>
      </c>
      <c r="D73" s="137" t="s">
        <v>148</v>
      </c>
      <c r="F73" s="137">
        <f>SUM(J73:L73)</f>
        <v>85</v>
      </c>
      <c r="G73" s="137">
        <f>85*2</f>
        <v>170</v>
      </c>
      <c r="H73" s="137">
        <f>G73-F73</f>
        <v>85</v>
      </c>
      <c r="J73" s="157"/>
      <c r="K73" s="157">
        <v>85</v>
      </c>
      <c r="L73" s="157"/>
    </row>
    <row r="74" spans="1:12">
      <c r="B74" s="137" t="s">
        <v>149</v>
      </c>
      <c r="F74" s="137">
        <f>SUM(J74:L74)</f>
        <v>5.98</v>
      </c>
      <c r="G74" s="137">
        <v>30</v>
      </c>
      <c r="H74" s="137">
        <f>G74-F74</f>
        <v>24.02</v>
      </c>
      <c r="J74" s="157"/>
      <c r="K74" s="157">
        <v>5.98</v>
      </c>
      <c r="L74" s="157"/>
    </row>
    <row r="75" spans="1:12" ht="12.75">
      <c r="A75" s="141"/>
      <c r="B75" s="137" t="s">
        <v>150</v>
      </c>
      <c r="F75" s="137">
        <f>SUM(J75:L75)</f>
        <v>0</v>
      </c>
      <c r="G75" s="137">
        <v>20</v>
      </c>
      <c r="H75" s="137">
        <f>G75-F75</f>
        <v>20</v>
      </c>
      <c r="J75" s="157"/>
      <c r="K75" s="157"/>
      <c r="L75" s="157"/>
    </row>
    <row r="76" spans="1:12" ht="12.75">
      <c r="A76" s="141"/>
      <c r="B76" s="137" t="s">
        <v>151</v>
      </c>
      <c r="F76" s="137">
        <f>SUM(J76:L76)</f>
        <v>55.16</v>
      </c>
      <c r="G76" s="137">
        <v>50</v>
      </c>
      <c r="H76" s="137">
        <f>G76-F76</f>
        <v>-5.1599999999999966</v>
      </c>
      <c r="J76" s="157"/>
      <c r="K76" s="157">
        <f>3.6+6.15+2.13+3.42+6.5+1.99+20+1.6+3.4+2.1+4.27</f>
        <v>55.16</v>
      </c>
      <c r="L76" s="157"/>
    </row>
    <row r="77" spans="1:12" ht="12.75">
      <c r="A77" s="141"/>
      <c r="B77" s="141"/>
      <c r="J77" s="157"/>
      <c r="K77" s="157"/>
      <c r="L77" s="157"/>
    </row>
    <row r="78" spans="1:12" ht="12.75">
      <c r="A78" s="141" t="s">
        <v>152</v>
      </c>
      <c r="B78" s="141">
        <f>SUM(F79:F82)</f>
        <v>225.99</v>
      </c>
      <c r="C78" s="141">
        <f>SUM(G79:G82)</f>
        <v>290</v>
      </c>
      <c r="D78" s="141">
        <f>C78-B78</f>
        <v>64.009999999999991</v>
      </c>
      <c r="J78" s="157"/>
      <c r="K78" s="157"/>
      <c r="L78" s="157"/>
    </row>
    <row r="79" spans="1:12" ht="12.75">
      <c r="A79" s="137"/>
      <c r="B79" s="137" t="s">
        <v>153</v>
      </c>
      <c r="D79" s="137" t="s">
        <v>154</v>
      </c>
      <c r="F79" s="137">
        <f>SUM(J79:L79)</f>
        <v>0</v>
      </c>
      <c r="G79" s="137">
        <f>1200/12</f>
        <v>100</v>
      </c>
      <c r="H79" s="137">
        <f>G79-F79</f>
        <v>100</v>
      </c>
      <c r="J79" s="157"/>
      <c r="K79" s="157"/>
      <c r="L79" s="157"/>
    </row>
    <row r="80" spans="1:12">
      <c r="B80" s="137" t="s">
        <v>155</v>
      </c>
      <c r="D80" s="137" t="s">
        <v>156</v>
      </c>
      <c r="F80" s="137">
        <f>SUM(J80:L80)</f>
        <v>5.99</v>
      </c>
      <c r="G80" s="137">
        <v>10</v>
      </c>
      <c r="H80" s="137">
        <f>G80-F80</f>
        <v>4.01</v>
      </c>
      <c r="J80" s="157"/>
      <c r="K80" s="157"/>
      <c r="L80" s="157">
        <v>5.99</v>
      </c>
    </row>
    <row r="81" spans="1:13" ht="12.75">
      <c r="A81" s="141"/>
      <c r="B81" s="137" t="s">
        <v>157</v>
      </c>
      <c r="F81" s="137">
        <f>SUM(J81:L81)</f>
        <v>220</v>
      </c>
      <c r="G81" s="137">
        <f>150</f>
        <v>150</v>
      </c>
      <c r="H81" s="137">
        <f>G81-F81</f>
        <v>-70</v>
      </c>
      <c r="J81" s="157">
        <v>220</v>
      </c>
      <c r="K81" s="157"/>
      <c r="L81" s="157"/>
    </row>
    <row r="82" spans="1:13" ht="12.75">
      <c r="A82" s="141"/>
      <c r="B82" s="137" t="s">
        <v>158</v>
      </c>
      <c r="F82" s="137">
        <f>SUM(J82:L82)</f>
        <v>0</v>
      </c>
      <c r="G82" s="137">
        <v>30</v>
      </c>
      <c r="H82" s="137">
        <f>G82-F82</f>
        <v>30</v>
      </c>
      <c r="J82" s="157"/>
      <c r="K82" s="157"/>
      <c r="L82" s="157"/>
    </row>
    <row r="83" spans="1:13" ht="12.75">
      <c r="A83" s="141"/>
      <c r="B83" s="141"/>
      <c r="J83" s="157"/>
      <c r="K83" s="157"/>
      <c r="L83" s="157"/>
    </row>
    <row r="84" spans="1:13" ht="12.75">
      <c r="A84" s="141" t="s">
        <v>159</v>
      </c>
      <c r="B84" s="141">
        <f>SUM(F85:F88)</f>
        <v>45</v>
      </c>
      <c r="C84" s="141">
        <f>SUM(G85:G88)</f>
        <v>120</v>
      </c>
      <c r="D84" s="141">
        <f>C84-B84</f>
        <v>75</v>
      </c>
      <c r="J84" s="157"/>
      <c r="K84" s="157"/>
      <c r="L84" s="157"/>
    </row>
    <row r="85" spans="1:13" ht="12.75">
      <c r="A85" s="141"/>
      <c r="B85" s="137" t="s">
        <v>473</v>
      </c>
      <c r="F85" s="137">
        <f>SUM(J85:L85)</f>
        <v>45</v>
      </c>
      <c r="G85" s="137">
        <v>50</v>
      </c>
      <c r="H85" s="137">
        <f>G85-F85</f>
        <v>5</v>
      </c>
      <c r="J85" s="157"/>
      <c r="K85" s="157">
        <v>45</v>
      </c>
      <c r="L85" s="157"/>
    </row>
    <row r="86" spans="1:13" ht="12.75">
      <c r="A86" s="141"/>
      <c r="B86" s="137" t="s">
        <v>162</v>
      </c>
      <c r="F86" s="137">
        <f>SUM(J86:L86)</f>
        <v>0</v>
      </c>
      <c r="G86" s="137">
        <v>20</v>
      </c>
      <c r="H86" s="137">
        <f>G86-F86</f>
        <v>20</v>
      </c>
      <c r="J86" s="157"/>
      <c r="K86" s="157"/>
      <c r="L86" s="157"/>
    </row>
    <row r="87" spans="1:13" ht="12.75">
      <c r="A87" s="141"/>
      <c r="B87" s="137" t="s">
        <v>164</v>
      </c>
      <c r="F87" s="137">
        <f>SUM(J87:L87)</f>
        <v>0</v>
      </c>
      <c r="G87" s="137">
        <v>30</v>
      </c>
      <c r="H87" s="137">
        <f>G87-F87</f>
        <v>30</v>
      </c>
      <c r="J87" s="157"/>
      <c r="K87" s="157"/>
      <c r="L87" s="157"/>
    </row>
    <row r="88" spans="1:13" ht="12.75">
      <c r="A88" s="141"/>
      <c r="B88" s="137" t="s">
        <v>165</v>
      </c>
      <c r="F88" s="137">
        <f>SUM(J88:L88)</f>
        <v>0</v>
      </c>
      <c r="G88" s="137">
        <v>20</v>
      </c>
      <c r="H88" s="137">
        <f>G88-F88</f>
        <v>20</v>
      </c>
      <c r="J88" s="157"/>
      <c r="K88" s="157"/>
      <c r="L88" s="157"/>
    </row>
    <row r="89" spans="1:13" ht="12.75">
      <c r="A89" s="141"/>
      <c r="J89" s="157"/>
      <c r="K89" s="157"/>
      <c r="L89" s="157"/>
    </row>
    <row r="90" spans="1:13" ht="12.75">
      <c r="A90" s="141" t="s">
        <v>166</v>
      </c>
      <c r="B90" s="141">
        <f>SUM(F91:F92)</f>
        <v>0</v>
      </c>
      <c r="C90" s="141">
        <f>SUM(G91:G92)</f>
        <v>70</v>
      </c>
      <c r="D90" s="141">
        <f>C90-B90</f>
        <v>70</v>
      </c>
      <c r="J90" s="157"/>
      <c r="K90" s="157"/>
      <c r="L90" s="157"/>
    </row>
    <row r="91" spans="1:13" ht="12.75">
      <c r="A91" s="141"/>
      <c r="B91" s="137" t="s">
        <v>167</v>
      </c>
      <c r="F91" s="137">
        <f>SUM(J91:L91)</f>
        <v>0</v>
      </c>
      <c r="G91" s="137">
        <v>40</v>
      </c>
      <c r="H91" s="137">
        <f>G91-F91</f>
        <v>40</v>
      </c>
      <c r="J91" s="157"/>
      <c r="K91" s="157"/>
      <c r="L91" s="157"/>
    </row>
    <row r="92" spans="1:13" ht="12.75">
      <c r="A92" s="141"/>
      <c r="B92" s="137" t="s">
        <v>168</v>
      </c>
      <c r="D92" s="137" t="s">
        <v>169</v>
      </c>
      <c r="F92" s="137">
        <f>SUM(J92:L92)</f>
        <v>0</v>
      </c>
      <c r="G92" s="137">
        <v>30</v>
      </c>
      <c r="H92" s="137">
        <f>G92-F92</f>
        <v>30</v>
      </c>
      <c r="J92" s="157"/>
      <c r="K92" s="157"/>
      <c r="L92" s="157"/>
    </row>
    <row r="93" spans="1:13" ht="12.75">
      <c r="A93" s="141"/>
      <c r="J93" s="157"/>
      <c r="K93" s="157"/>
      <c r="L93" s="157"/>
    </row>
    <row r="94" spans="1:13" ht="12.75">
      <c r="A94" s="141" t="s">
        <v>170</v>
      </c>
      <c r="B94" s="141">
        <f>F95</f>
        <v>382.45</v>
      </c>
      <c r="C94" s="141">
        <f>G95</f>
        <v>20</v>
      </c>
      <c r="D94" s="141">
        <f>C94-B94</f>
        <v>-362.45</v>
      </c>
      <c r="J94" s="157"/>
      <c r="K94" s="157"/>
      <c r="L94" s="157"/>
    </row>
    <row r="95" spans="1:13" ht="12.75">
      <c r="A95" s="141"/>
      <c r="B95" s="137" t="s">
        <v>171</v>
      </c>
      <c r="F95" s="137">
        <f>SUM(J95:L95)</f>
        <v>382.45</v>
      </c>
      <c r="G95" s="137">
        <v>20</v>
      </c>
      <c r="H95" s="137">
        <f>G95-F95</f>
        <v>-362.45</v>
      </c>
      <c r="J95" s="157"/>
      <c r="K95" s="157">
        <f>28.27-20+2.94</f>
        <v>11.209999999999999</v>
      </c>
      <c r="L95" s="157">
        <v>371.24</v>
      </c>
      <c r="M95" s="137" t="s">
        <v>728</v>
      </c>
    </row>
    <row r="96" spans="1:13" ht="12.75">
      <c r="A96" s="141"/>
      <c r="J96" s="157"/>
      <c r="K96" s="157"/>
      <c r="L96" s="157"/>
    </row>
    <row r="97" spans="1:13" ht="12.75">
      <c r="A97" s="141" t="s">
        <v>172</v>
      </c>
      <c r="B97" s="141">
        <f>F98</f>
        <v>420</v>
      </c>
      <c r="C97" s="141">
        <f>G98</f>
        <v>10</v>
      </c>
      <c r="D97" s="141">
        <f>C97-B97</f>
        <v>-410</v>
      </c>
      <c r="J97" s="157"/>
      <c r="K97" s="157"/>
      <c r="L97" s="157"/>
    </row>
    <row r="98" spans="1:13">
      <c r="B98" s="137" t="s">
        <v>173</v>
      </c>
      <c r="F98" s="137">
        <f>SUM(J98:L98)</f>
        <v>420</v>
      </c>
      <c r="G98" s="137">
        <v>10</v>
      </c>
      <c r="H98" s="137">
        <f>G98-F98</f>
        <v>-410</v>
      </c>
      <c r="J98" s="157">
        <v>400</v>
      </c>
      <c r="K98" s="157">
        <f>20</f>
        <v>20</v>
      </c>
      <c r="L98" s="157"/>
      <c r="M98" s="137" t="s">
        <v>692</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dimension ref="A1:S98"/>
  <sheetViews>
    <sheetView zoomScale="84" zoomScaleNormal="84" workbookViewId="0">
      <pane ySplit="1" activePane="bottomLeft"/>
      <selection activeCell="D15" sqref="D15"/>
      <selection pane="bottomLeft" activeCell="H8" sqref="H8"/>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449</v>
      </c>
    </row>
    <row r="2" spans="1:16">
      <c r="A2" s="138" t="s">
        <v>331</v>
      </c>
      <c r="B2" s="137" t="s">
        <v>27</v>
      </c>
      <c r="C2" s="141"/>
      <c r="J2" s="137" t="s">
        <v>675</v>
      </c>
      <c r="N2" s="137">
        <v>42.5</v>
      </c>
    </row>
    <row r="4" spans="1:16">
      <c r="A4" s="138" t="s">
        <v>9</v>
      </c>
      <c r="B4" s="143">
        <f>SUM(G5:G9)</f>
        <v>14795.880000000001</v>
      </c>
      <c r="C4" s="143"/>
      <c r="G4" s="137" t="s">
        <v>185</v>
      </c>
      <c r="O4" s="142"/>
    </row>
    <row r="5" spans="1:16">
      <c r="B5" s="137" t="s">
        <v>34</v>
      </c>
      <c r="D5" s="137">
        <v>3247.65</v>
      </c>
      <c r="E5" s="137">
        <v>3247.65</v>
      </c>
      <c r="F5" s="137">
        <v>0</v>
      </c>
      <c r="G5" s="144">
        <f>SUM(D5:F5)</f>
        <v>6495.3</v>
      </c>
      <c r="H5" s="144"/>
      <c r="I5" s="144"/>
      <c r="J5" s="144"/>
      <c r="O5" s="142"/>
    </row>
    <row r="6" spans="1:16">
      <c r="B6" s="137" t="s">
        <v>36</v>
      </c>
      <c r="D6" s="142"/>
      <c r="E6" s="137">
        <v>0</v>
      </c>
      <c r="G6" s="144">
        <f>SUM(D6:F6)</f>
        <v>0</v>
      </c>
      <c r="H6" s="144"/>
      <c r="I6" s="144"/>
      <c r="J6" s="144"/>
      <c r="O6" s="142"/>
    </row>
    <row r="7" spans="1:16">
      <c r="B7" s="137" t="s">
        <v>397</v>
      </c>
      <c r="D7" s="137">
        <v>7663.72</v>
      </c>
      <c r="G7" s="144">
        <f>SUM(D7:F7)</f>
        <v>7663.72</v>
      </c>
      <c r="H7" s="144" t="s">
        <v>968</v>
      </c>
      <c r="I7" s="144"/>
      <c r="J7" s="144"/>
      <c r="O7" s="142"/>
    </row>
    <row r="8" spans="1:16">
      <c r="B8" s="137" t="s">
        <v>37</v>
      </c>
      <c r="D8" s="137">
        <v>318.42</v>
      </c>
      <c r="E8" s="137">
        <v>318.44</v>
      </c>
      <c r="G8" s="144">
        <f>SUM(D8:F8)</f>
        <v>636.86</v>
      </c>
      <c r="H8" s="144"/>
      <c r="I8" s="144"/>
      <c r="J8" s="144" t="s">
        <v>641</v>
      </c>
      <c r="O8" s="142"/>
    </row>
    <row r="9" spans="1:16">
      <c r="J9" s="137" t="s">
        <v>772</v>
      </c>
      <c r="P9" s="142"/>
    </row>
    <row r="10" spans="1:16">
      <c r="J10" s="137" t="s">
        <v>773</v>
      </c>
    </row>
    <row r="11" spans="1:16">
      <c r="A11" s="138" t="s">
        <v>11</v>
      </c>
      <c r="B11" s="143">
        <f>Tithe!D17</f>
        <v>1590</v>
      </c>
      <c r="C11" s="143"/>
      <c r="D11" s="137" t="s">
        <v>187</v>
      </c>
      <c r="E11" s="145">
        <f>B11/B4</f>
        <v>0.10746234762650142</v>
      </c>
      <c r="J11" s="137" t="s">
        <v>774</v>
      </c>
    </row>
    <row r="12" spans="1:16">
      <c r="J12" s="137" t="s">
        <v>775</v>
      </c>
    </row>
    <row r="13" spans="1:16">
      <c r="A13" s="138" t="s">
        <v>403</v>
      </c>
      <c r="B13" s="146">
        <f>SUM(D14:D17)+SUM(E14:E17)</f>
        <v>1250</v>
      </c>
      <c r="E13" s="137" t="s">
        <v>404</v>
      </c>
      <c r="J13" s="137" t="s">
        <v>776</v>
      </c>
    </row>
    <row r="14" spans="1:16" ht="12.75">
      <c r="A14" s="137"/>
      <c r="B14" s="141" t="s">
        <v>405</v>
      </c>
      <c r="C14" s="141"/>
      <c r="D14" s="146">
        <v>750</v>
      </c>
      <c r="E14" s="137">
        <v>0</v>
      </c>
    </row>
    <row r="15" spans="1:16">
      <c r="A15" s="138"/>
      <c r="B15" s="141" t="s">
        <v>406</v>
      </c>
      <c r="C15" s="141"/>
      <c r="D15" s="146">
        <v>200</v>
      </c>
    </row>
    <row r="16" spans="1:16">
      <c r="A16" s="138"/>
      <c r="B16" s="141" t="s">
        <v>407</v>
      </c>
      <c r="C16" s="141"/>
      <c r="D16" s="146">
        <v>200</v>
      </c>
      <c r="E16" s="137">
        <v>0</v>
      </c>
    </row>
    <row r="17" spans="1:19">
      <c r="A17" s="138"/>
      <c r="B17" s="141" t="s">
        <v>408</v>
      </c>
      <c r="C17" s="141"/>
      <c r="D17" s="146">
        <v>100</v>
      </c>
    </row>
    <row r="18" spans="1:19">
      <c r="A18" s="138"/>
      <c r="B18" s="141"/>
      <c r="C18" s="141"/>
      <c r="D18" s="146"/>
    </row>
    <row r="19" spans="1:19">
      <c r="A19" s="138" t="s">
        <v>409</v>
      </c>
    </row>
    <row r="20" spans="1:19">
      <c r="B20" s="141"/>
    </row>
    <row r="21" spans="1:19">
      <c r="A21" s="138" t="s">
        <v>410</v>
      </c>
      <c r="B21" s="137">
        <f>SUM(E21:E22)</f>
        <v>10444.029</v>
      </c>
      <c r="C21" s="137" t="s">
        <v>411</v>
      </c>
      <c r="D21" s="144"/>
      <c r="E21" s="137">
        <f>0.33*G5</f>
        <v>2143.4490000000001</v>
      </c>
      <c r="F21" s="137" t="s">
        <v>412</v>
      </c>
    </row>
    <row r="22" spans="1:19">
      <c r="C22" s="137" t="s">
        <v>413</v>
      </c>
      <c r="D22" s="144"/>
      <c r="E22" s="137">
        <f>SUM(G6:G8)</f>
        <v>8300.58</v>
      </c>
      <c r="F22" s="137" t="s">
        <v>458</v>
      </c>
    </row>
    <row r="23" spans="1:19">
      <c r="E23" s="144"/>
    </row>
    <row r="24" spans="1:19">
      <c r="A24" s="147" t="s">
        <v>415</v>
      </c>
      <c r="B24" s="148"/>
      <c r="C24" s="148"/>
      <c r="E24" s="149">
        <f>B4-B11-B13+D19-E21-E22</f>
        <v>1511.8510000000006</v>
      </c>
      <c r="F24" s="137" t="s">
        <v>416</v>
      </c>
      <c r="G24" s="146">
        <f>E24-D27</f>
        <v>-4794.0889999999999</v>
      </c>
    </row>
    <row r="25" spans="1:19" ht="16.5" thickBot="1">
      <c r="A25" s="147" t="s">
        <v>417</v>
      </c>
      <c r="B25" s="148"/>
      <c r="C25" s="148"/>
      <c r="E25" s="149">
        <f>SUM(E21:E22)+G24</f>
        <v>5649.9400000000005</v>
      </c>
      <c r="F25" s="137" t="s">
        <v>418</v>
      </c>
      <c r="G25" s="150">
        <f>E25/B4</f>
        <v>0.38185900399300349</v>
      </c>
      <c r="H25" s="137" t="s">
        <v>419</v>
      </c>
    </row>
    <row r="26" spans="1:19" ht="16.5" thickBot="1">
      <c r="A26" s="138"/>
      <c r="B26" s="148"/>
      <c r="C26" s="148"/>
      <c r="E26" s="149"/>
      <c r="K26" s="217">
        <f>K27+L27+L28</f>
        <v>3307.2500000000005</v>
      </c>
      <c r="L26" s="137">
        <v>3307.25</v>
      </c>
    </row>
    <row r="27" spans="1:19">
      <c r="A27" s="138" t="s">
        <v>420</v>
      </c>
      <c r="D27" s="146">
        <f>J27+K27+L27</f>
        <v>6305.9400000000005</v>
      </c>
      <c r="F27" s="137">
        <f>SUM(F30:F98)</f>
        <v>6305.9399999999987</v>
      </c>
      <c r="G27" s="137">
        <f>SUM(G30:G98)</f>
        <v>2350</v>
      </c>
      <c r="H27" s="137">
        <f>SUM(H30:H98)</f>
        <v>-3955.9399999999991</v>
      </c>
      <c r="J27" s="137">
        <f>SUM(J30:J98)</f>
        <v>3138.6899999999996</v>
      </c>
      <c r="K27" s="137">
        <f>SUM(K30:K98)</f>
        <v>1754.5700000000002</v>
      </c>
      <c r="L27" s="137">
        <f>SUM(L30:L98)</f>
        <v>1412.6800000000003</v>
      </c>
    </row>
    <row r="28" spans="1:19">
      <c r="A28" s="138"/>
      <c r="B28" s="141"/>
      <c r="D28" s="144"/>
      <c r="J28" s="216" t="s">
        <v>670</v>
      </c>
      <c r="K28" s="216"/>
      <c r="L28" s="216">
        <v>140</v>
      </c>
    </row>
    <row r="29" spans="1:19" ht="12.75">
      <c r="A29" s="141"/>
      <c r="B29" s="143"/>
      <c r="F29" s="154" t="s">
        <v>426</v>
      </c>
      <c r="G29" s="137" t="s">
        <v>427</v>
      </c>
      <c r="H29" s="154" t="s">
        <v>487</v>
      </c>
      <c r="J29" s="155" t="s">
        <v>428</v>
      </c>
      <c r="K29" s="156" t="s">
        <v>429</v>
      </c>
      <c r="L29" s="156" t="s">
        <v>430</v>
      </c>
      <c r="S29" s="154"/>
    </row>
    <row r="30" spans="1:19" ht="12.75">
      <c r="A30" s="218" t="s">
        <v>677</v>
      </c>
      <c r="B30" s="141">
        <f>F30</f>
        <v>2500</v>
      </c>
      <c r="C30" s="137" t="s">
        <v>106</v>
      </c>
      <c r="F30" s="137">
        <f>SUM(J30:L30)</f>
        <v>2500</v>
      </c>
      <c r="G30" s="137">
        <f>0</f>
        <v>0</v>
      </c>
      <c r="H30" s="137">
        <f>G30-F30</f>
        <v>-2500</v>
      </c>
      <c r="J30" s="157">
        <v>2500</v>
      </c>
      <c r="K30" s="157"/>
      <c r="L30" s="157"/>
    </row>
    <row r="31" spans="1:19" ht="12.75">
      <c r="A31" s="137"/>
      <c r="J31" s="157"/>
      <c r="K31" s="157"/>
      <c r="L31" s="157"/>
    </row>
    <row r="32" spans="1:19" ht="12.75">
      <c r="A32" s="141" t="s">
        <v>107</v>
      </c>
      <c r="B32" s="141">
        <f>SUM(F33:F36)</f>
        <v>346.89000000000004</v>
      </c>
      <c r="C32" s="141">
        <f>SUM(G33:G36)</f>
        <v>340</v>
      </c>
      <c r="D32" s="141">
        <f>C32-B32</f>
        <v>-6.8900000000000432</v>
      </c>
      <c r="J32" s="157"/>
      <c r="K32" s="157"/>
      <c r="L32" s="157"/>
    </row>
    <row r="33" spans="1:13">
      <c r="B33" s="137" t="s">
        <v>54</v>
      </c>
      <c r="C33" s="137" t="s">
        <v>55</v>
      </c>
      <c r="F33" s="137">
        <f>SUM(J33:L33)</f>
        <v>82.04</v>
      </c>
      <c r="G33" s="137">
        <v>115</v>
      </c>
      <c r="H33" s="137">
        <f>G33-F33</f>
        <v>32.959999999999994</v>
      </c>
      <c r="J33" s="157">
        <v>82.04</v>
      </c>
      <c r="K33" s="157"/>
      <c r="L33" s="157"/>
    </row>
    <row r="34" spans="1:13">
      <c r="B34" s="137" t="s">
        <v>56</v>
      </c>
      <c r="C34" s="137" t="s">
        <v>57</v>
      </c>
      <c r="F34" s="137">
        <f>SUM(J34:L34)</f>
        <v>264.85000000000002</v>
      </c>
      <c r="G34" s="137">
        <v>40</v>
      </c>
      <c r="H34" s="137">
        <f>G34-F34</f>
        <v>-224.85000000000002</v>
      </c>
      <c r="J34" s="157">
        <v>264.85000000000002</v>
      </c>
      <c r="K34" s="157"/>
      <c r="L34" s="157"/>
    </row>
    <row r="35" spans="1:13">
      <c r="B35" s="137" t="s">
        <v>108</v>
      </c>
      <c r="C35" s="137" t="s">
        <v>109</v>
      </c>
      <c r="D35" s="137" t="s">
        <v>432</v>
      </c>
      <c r="F35" s="137">
        <f>SUM(J35:L35)</f>
        <v>0</v>
      </c>
      <c r="G35" s="137">
        <v>85</v>
      </c>
      <c r="H35" s="137">
        <f>G35-F35</f>
        <v>85</v>
      </c>
      <c r="J35" s="157"/>
      <c r="K35" s="157"/>
      <c r="L35" s="157"/>
    </row>
    <row r="36" spans="1:13">
      <c r="B36" s="137" t="s">
        <v>111</v>
      </c>
      <c r="C36" s="137" t="s">
        <v>112</v>
      </c>
      <c r="D36" s="137" t="s">
        <v>113</v>
      </c>
      <c r="F36" s="137">
        <f>SUM(J36:L36)</f>
        <v>0</v>
      </c>
      <c r="G36" s="137">
        <v>100</v>
      </c>
      <c r="H36" s="137">
        <f>G36-F36</f>
        <v>100</v>
      </c>
      <c r="J36" s="157"/>
      <c r="K36" s="157"/>
      <c r="L36" s="157"/>
    </row>
    <row r="37" spans="1:13">
      <c r="J37" s="157"/>
      <c r="K37" s="157"/>
      <c r="L37" s="157"/>
    </row>
    <row r="38" spans="1:13" ht="12.75">
      <c r="A38" s="141" t="s">
        <v>518</v>
      </c>
      <c r="B38" s="141">
        <f>SUM(F39:F40)</f>
        <v>136.43</v>
      </c>
      <c r="C38" s="141">
        <f>SUM(G39:G40)</f>
        <v>138</v>
      </c>
      <c r="D38" s="141">
        <f>C38-B38</f>
        <v>1.5699999999999932</v>
      </c>
      <c r="J38" s="157"/>
      <c r="K38" s="157"/>
      <c r="L38" s="157"/>
    </row>
    <row r="39" spans="1:13" ht="12.75">
      <c r="A39" s="137" t="s">
        <v>460</v>
      </c>
      <c r="B39" s="137" t="s">
        <v>64</v>
      </c>
      <c r="C39" s="137" t="s">
        <v>65</v>
      </c>
      <c r="F39" s="137">
        <f>SUM(J39:L39)</f>
        <v>62.97</v>
      </c>
      <c r="G39" s="137">
        <v>63</v>
      </c>
      <c r="H39" s="137">
        <f>G39-F39</f>
        <v>3.0000000000001137E-2</v>
      </c>
      <c r="J39" s="157"/>
      <c r="K39" s="157"/>
      <c r="L39" s="157">
        <v>62.97</v>
      </c>
    </row>
    <row r="40" spans="1:13">
      <c r="B40" s="137" t="s">
        <v>115</v>
      </c>
      <c r="C40" s="137" t="s">
        <v>116</v>
      </c>
      <c r="F40" s="137">
        <f>SUM(J40:L40)</f>
        <v>73.459999999999994</v>
      </c>
      <c r="G40" s="137">
        <v>75</v>
      </c>
      <c r="H40" s="137">
        <f>G40-F40</f>
        <v>1.5400000000000063</v>
      </c>
      <c r="J40" s="157"/>
      <c r="K40" s="157"/>
      <c r="L40" s="157">
        <v>73.459999999999994</v>
      </c>
    </row>
    <row r="41" spans="1:13">
      <c r="J41" s="157"/>
      <c r="K41" s="157"/>
      <c r="L41" s="157"/>
    </row>
    <row r="42" spans="1:13" ht="12.75">
      <c r="A42" s="141" t="s">
        <v>117</v>
      </c>
      <c r="B42" s="141">
        <f>SUM(F43:F45)</f>
        <v>-15</v>
      </c>
      <c r="C42" s="141">
        <f>SUM(G43:G45)</f>
        <v>177</v>
      </c>
      <c r="D42" s="141">
        <f>C42-B42</f>
        <v>192</v>
      </c>
      <c r="J42" s="157"/>
      <c r="K42" s="157"/>
      <c r="L42" s="157"/>
    </row>
    <row r="43" spans="1:13" ht="12.75">
      <c r="A43" s="137"/>
      <c r="B43" s="137" t="s">
        <v>118</v>
      </c>
      <c r="C43" s="137" t="s">
        <v>119</v>
      </c>
      <c r="F43" s="137">
        <f>SUM(J43:L43)</f>
        <v>-15</v>
      </c>
      <c r="G43" s="137">
        <v>56.5</v>
      </c>
      <c r="H43" s="137">
        <f>G43-F43</f>
        <v>71.5</v>
      </c>
      <c r="J43" s="157">
        <v>-15</v>
      </c>
      <c r="K43" s="157"/>
      <c r="L43" s="157"/>
      <c r="M43" s="137" t="s">
        <v>753</v>
      </c>
    </row>
    <row r="44" spans="1:13" ht="12.75">
      <c r="A44" s="137"/>
      <c r="B44" s="137" t="s">
        <v>120</v>
      </c>
      <c r="C44" s="137" t="s">
        <v>119</v>
      </c>
      <c r="F44" s="137">
        <f>SUM(J44:L44)</f>
        <v>0</v>
      </c>
      <c r="G44" s="137">
        <v>84.5</v>
      </c>
      <c r="H44" s="137">
        <f>G44-F44</f>
        <v>84.5</v>
      </c>
      <c r="J44" s="157"/>
      <c r="K44" s="157"/>
      <c r="L44" s="157"/>
    </row>
    <row r="45" spans="1:13" ht="12.75">
      <c r="A45" s="137"/>
      <c r="B45" s="137" t="s">
        <v>121</v>
      </c>
      <c r="F45" s="137">
        <f>SUM(J45:L45)</f>
        <v>0</v>
      </c>
      <c r="G45" s="137">
        <v>36</v>
      </c>
      <c r="H45" s="137">
        <f>G45-F45</f>
        <v>36</v>
      </c>
      <c r="J45" s="157"/>
      <c r="K45" s="157"/>
      <c r="L45" s="157"/>
    </row>
    <row r="46" spans="1:13" ht="12.75">
      <c r="A46" s="137"/>
      <c r="D46" s="141"/>
      <c r="J46" s="157"/>
      <c r="K46" s="157"/>
      <c r="L46" s="157"/>
    </row>
    <row r="47" spans="1:13" ht="12.75">
      <c r="A47" s="141" t="s">
        <v>122</v>
      </c>
      <c r="B47" s="141">
        <f>SUM(F48:F51)</f>
        <v>32</v>
      </c>
      <c r="C47" s="141">
        <f>SUM(G48:G51)</f>
        <v>130</v>
      </c>
      <c r="D47" s="141">
        <f>C47-B47</f>
        <v>98</v>
      </c>
      <c r="J47" s="157"/>
      <c r="K47" s="157"/>
      <c r="L47" s="157"/>
    </row>
    <row r="48" spans="1:13" ht="12.75">
      <c r="A48" s="137"/>
      <c r="B48" s="137" t="s">
        <v>124</v>
      </c>
      <c r="F48" s="137">
        <f>SUM(J48:L48)</f>
        <v>0</v>
      </c>
      <c r="G48" s="137">
        <v>20</v>
      </c>
      <c r="H48" s="137">
        <f>G48-F48</f>
        <v>20</v>
      </c>
      <c r="J48" s="157"/>
      <c r="K48" s="157"/>
      <c r="L48" s="157"/>
    </row>
    <row r="49" spans="1:13">
      <c r="B49" s="137" t="s">
        <v>125</v>
      </c>
      <c r="F49" s="137">
        <f>SUM(J49:L49)</f>
        <v>0</v>
      </c>
      <c r="G49" s="137">
        <v>10</v>
      </c>
      <c r="H49" s="137">
        <f>G49-F49</f>
        <v>10</v>
      </c>
      <c r="J49" s="157"/>
      <c r="K49" s="157"/>
      <c r="L49" s="157"/>
    </row>
    <row r="50" spans="1:13">
      <c r="B50" s="137" t="s">
        <v>126</v>
      </c>
      <c r="F50" s="137">
        <f>SUM(J50:L50)</f>
        <v>0</v>
      </c>
      <c r="G50" s="137">
        <v>50</v>
      </c>
      <c r="H50" s="137">
        <f>G50-F50</f>
        <v>50</v>
      </c>
      <c r="J50" s="157"/>
      <c r="K50" s="157"/>
      <c r="L50" s="157"/>
    </row>
    <row r="51" spans="1:13">
      <c r="B51" s="137" t="s">
        <v>127</v>
      </c>
      <c r="F51" s="137">
        <f>SUM(J51:L51)</f>
        <v>32</v>
      </c>
      <c r="G51" s="137">
        <v>50</v>
      </c>
      <c r="H51" s="137">
        <f>G51-F51</f>
        <v>18</v>
      </c>
      <c r="J51" s="157"/>
      <c r="K51" s="157"/>
      <c r="L51" s="157">
        <f>32</f>
        <v>32</v>
      </c>
      <c r="M51" s="137" t="s">
        <v>756</v>
      </c>
    </row>
    <row r="52" spans="1:13">
      <c r="J52" s="157"/>
      <c r="K52" s="157"/>
      <c r="L52" s="157"/>
    </row>
    <row r="53" spans="1:13" ht="12.75">
      <c r="A53" s="141" t="s">
        <v>436</v>
      </c>
      <c r="B53" s="141">
        <f>SUM(F54:F56)</f>
        <v>171.28</v>
      </c>
      <c r="C53" s="141">
        <f>SUM(G54:G56)</f>
        <v>80</v>
      </c>
      <c r="D53" s="141">
        <f>C53-B53</f>
        <v>-91.28</v>
      </c>
      <c r="J53" s="157"/>
      <c r="K53" s="157"/>
      <c r="L53" s="157"/>
    </row>
    <row r="54" spans="1:13">
      <c r="B54" s="137" t="s">
        <v>520</v>
      </c>
      <c r="F54" s="137">
        <f>SUM(J54:L54)</f>
        <v>96.8</v>
      </c>
      <c r="G54" s="137">
        <f>50</f>
        <v>50</v>
      </c>
      <c r="H54" s="137">
        <f>G54-F54</f>
        <v>-46.8</v>
      </c>
      <c r="J54" s="157"/>
      <c r="K54" s="157">
        <f>101.8-5</f>
        <v>96.8</v>
      </c>
      <c r="L54" s="157"/>
      <c r="M54" s="137" t="s">
        <v>759</v>
      </c>
    </row>
    <row r="55" spans="1:13">
      <c r="B55" s="137" t="s">
        <v>131</v>
      </c>
      <c r="F55" s="137">
        <f>SUM(J55:L55)</f>
        <v>34.489999999999995</v>
      </c>
      <c r="G55" s="137">
        <v>20</v>
      </c>
      <c r="H55" s="137">
        <f>G55-F55</f>
        <v>-14.489999999999995</v>
      </c>
      <c r="J55" s="157"/>
      <c r="K55" s="157"/>
      <c r="L55" s="157">
        <f>66.49-32</f>
        <v>34.489999999999995</v>
      </c>
      <c r="M55" s="137" t="s">
        <v>757</v>
      </c>
    </row>
    <row r="56" spans="1:13">
      <c r="B56" s="137" t="s">
        <v>132</v>
      </c>
      <c r="D56" s="137" t="s">
        <v>438</v>
      </c>
      <c r="F56" s="137">
        <f>SUM(J56:L56)</f>
        <v>39.99</v>
      </c>
      <c r="G56" s="137">
        <v>10</v>
      </c>
      <c r="H56" s="137">
        <f>G56-F56</f>
        <v>-29.990000000000002</v>
      </c>
      <c r="J56" s="157"/>
      <c r="K56" s="157"/>
      <c r="L56" s="157">
        <v>39.99</v>
      </c>
      <c r="M56" s="137" t="s">
        <v>746</v>
      </c>
    </row>
    <row r="57" spans="1:13">
      <c r="J57" s="157"/>
      <c r="K57" s="157"/>
      <c r="L57" s="157"/>
    </row>
    <row r="58" spans="1:13" ht="12.75">
      <c r="A58" s="141" t="s">
        <v>133</v>
      </c>
      <c r="B58" s="141">
        <f>SUM(F59:F64)</f>
        <v>769.13</v>
      </c>
      <c r="C58" s="141">
        <f>SUM(G59:G64)</f>
        <v>500</v>
      </c>
      <c r="D58" s="141">
        <f>C58-B58</f>
        <v>-269.13</v>
      </c>
      <c r="J58" s="157"/>
      <c r="K58" s="157"/>
      <c r="L58" s="157"/>
    </row>
    <row r="59" spans="1:13" ht="12.75">
      <c r="A59" s="137"/>
      <c r="B59" s="137" t="s">
        <v>134</v>
      </c>
      <c r="F59" s="137">
        <f t="shared" ref="F59:F64" si="0">SUM(J59:L59)</f>
        <v>100</v>
      </c>
      <c r="G59" s="137">
        <v>100</v>
      </c>
      <c r="H59" s="137">
        <f t="shared" ref="H59:H64" si="1">G59-F59</f>
        <v>0</v>
      </c>
      <c r="J59" s="157">
        <v>100</v>
      </c>
      <c r="K59" s="157"/>
      <c r="L59" s="157"/>
      <c r="M59" s="224">
        <v>41242</v>
      </c>
    </row>
    <row r="60" spans="1:13">
      <c r="B60" s="137" t="s">
        <v>135</v>
      </c>
      <c r="F60" s="137">
        <f t="shared" si="0"/>
        <v>548.04999999999995</v>
      </c>
      <c r="G60" s="137">
        <v>300</v>
      </c>
      <c r="H60" s="137">
        <f t="shared" si="1"/>
        <v>-248.04999999999995</v>
      </c>
      <c r="J60" s="157">
        <v>42.5</v>
      </c>
      <c r="K60" s="157">
        <f>8.19+9.87</f>
        <v>18.059999999999999</v>
      </c>
      <c r="L60" s="157">
        <f>59.82+53.97+50+86.05+19.08+35.99+91.19+12.16+79.23</f>
        <v>487.49</v>
      </c>
      <c r="M60" s="167" t="s">
        <v>491</v>
      </c>
    </row>
    <row r="61" spans="1:13">
      <c r="B61" s="137" t="s">
        <v>136</v>
      </c>
      <c r="F61" s="137">
        <f t="shared" si="0"/>
        <v>0</v>
      </c>
      <c r="G61" s="137">
        <v>30</v>
      </c>
      <c r="H61" s="137">
        <f t="shared" si="1"/>
        <v>30</v>
      </c>
      <c r="J61" s="157"/>
      <c r="K61" s="157"/>
      <c r="L61" s="157"/>
      <c r="M61" s="167"/>
    </row>
    <row r="62" spans="1:13">
      <c r="B62" s="137" t="s">
        <v>138</v>
      </c>
      <c r="F62" s="137">
        <f t="shared" si="0"/>
        <v>121.08</v>
      </c>
      <c r="G62" s="137">
        <v>30</v>
      </c>
      <c r="H62" s="137">
        <f t="shared" si="1"/>
        <v>-91.08</v>
      </c>
      <c r="J62" s="157"/>
      <c r="K62" s="157"/>
      <c r="L62" s="157">
        <v>121.08</v>
      </c>
      <c r="M62" s="137" t="s">
        <v>758</v>
      </c>
    </row>
    <row r="63" spans="1:13">
      <c r="B63" s="137" t="s">
        <v>139</v>
      </c>
      <c r="F63" s="137">
        <f t="shared" si="0"/>
        <v>0</v>
      </c>
      <c r="G63" s="137">
        <v>30</v>
      </c>
      <c r="H63" s="137">
        <f t="shared" si="1"/>
        <v>30</v>
      </c>
      <c r="J63" s="157"/>
      <c r="K63" s="157">
        <f>24.99-24.99</f>
        <v>0</v>
      </c>
      <c r="L63" s="157"/>
      <c r="M63" s="137" t="s">
        <v>752</v>
      </c>
    </row>
    <row r="64" spans="1:13">
      <c r="B64" s="137" t="s">
        <v>140</v>
      </c>
      <c r="F64" s="137">
        <f t="shared" si="0"/>
        <v>0</v>
      </c>
      <c r="G64" s="137">
        <v>10</v>
      </c>
      <c r="H64" s="137">
        <f t="shared" si="1"/>
        <v>10</v>
      </c>
      <c r="J64" s="157"/>
      <c r="K64" s="157"/>
      <c r="L64" s="157"/>
    </row>
    <row r="65" spans="1:13">
      <c r="J65" s="157"/>
      <c r="K65" s="157"/>
      <c r="L65" s="157"/>
    </row>
    <row r="66" spans="1:13" ht="12.75">
      <c r="A66" s="141" t="s">
        <v>141</v>
      </c>
      <c r="B66" s="141">
        <f>SUM(F67:F69)</f>
        <v>61.8</v>
      </c>
      <c r="C66" s="141">
        <f>SUM(G67:G69)</f>
        <v>105</v>
      </c>
      <c r="D66" s="141">
        <f>C66-B66</f>
        <v>43.2</v>
      </c>
      <c r="J66" s="157"/>
      <c r="K66" s="157"/>
      <c r="L66" s="157"/>
    </row>
    <row r="67" spans="1:13">
      <c r="B67" s="137" t="s">
        <v>142</v>
      </c>
      <c r="F67" s="137">
        <f>SUM(J67:L67)</f>
        <v>19.989999999999998</v>
      </c>
      <c r="G67" s="137">
        <v>25</v>
      </c>
      <c r="H67" s="137">
        <f>G67-F67</f>
        <v>5.0100000000000016</v>
      </c>
      <c r="J67" s="157"/>
      <c r="K67" s="157">
        <v>19.989999999999998</v>
      </c>
      <c r="L67" s="157"/>
    </row>
    <row r="68" spans="1:13">
      <c r="B68" s="137" t="s">
        <v>143</v>
      </c>
      <c r="F68" s="137">
        <f>SUM(J68:L68)</f>
        <v>0</v>
      </c>
      <c r="G68" s="137">
        <v>20</v>
      </c>
      <c r="H68" s="137">
        <f>G68-F68</f>
        <v>20</v>
      </c>
      <c r="J68" s="157"/>
      <c r="K68" s="157"/>
      <c r="L68" s="157"/>
    </row>
    <row r="69" spans="1:13">
      <c r="B69" s="137" t="s">
        <v>144</v>
      </c>
      <c r="F69" s="137">
        <f>SUM(J69:L69)</f>
        <v>41.81</v>
      </c>
      <c r="G69" s="137">
        <v>60</v>
      </c>
      <c r="H69" s="137">
        <f>G69-F69</f>
        <v>18.189999999999998</v>
      </c>
      <c r="J69" s="157"/>
      <c r="K69" s="157">
        <v>41.81</v>
      </c>
      <c r="L69" s="157"/>
    </row>
    <row r="70" spans="1:13">
      <c r="J70" s="157"/>
      <c r="K70" s="157"/>
      <c r="L70" s="157"/>
    </row>
    <row r="71" spans="1:13" ht="12.75">
      <c r="A71" s="141" t="s">
        <v>145</v>
      </c>
      <c r="B71" s="141">
        <f>SUM(F72:F76)</f>
        <v>270.09000000000003</v>
      </c>
      <c r="C71" s="141">
        <f>SUM(G72:G76)</f>
        <v>370</v>
      </c>
      <c r="D71" s="141">
        <f>C71-B71</f>
        <v>99.909999999999968</v>
      </c>
      <c r="J71" s="157"/>
      <c r="K71" s="157"/>
      <c r="L71" s="157"/>
    </row>
    <row r="72" spans="1:13">
      <c r="B72" s="137" t="s">
        <v>146</v>
      </c>
      <c r="F72" s="137">
        <f>SUM(J72:L72)</f>
        <v>65.86</v>
      </c>
      <c r="G72" s="137">
        <v>100</v>
      </c>
      <c r="H72" s="137">
        <f>G72-F72</f>
        <v>34.14</v>
      </c>
      <c r="J72" s="157"/>
      <c r="K72" s="157">
        <v>34.020000000000003</v>
      </c>
      <c r="L72" s="157">
        <v>31.84</v>
      </c>
    </row>
    <row r="73" spans="1:13">
      <c r="B73" s="137" t="s">
        <v>147</v>
      </c>
      <c r="D73" s="137" t="s">
        <v>148</v>
      </c>
      <c r="F73" s="137">
        <f>SUM(J73:L73)</f>
        <v>170</v>
      </c>
      <c r="G73" s="137">
        <f>85*2</f>
        <v>170</v>
      </c>
      <c r="H73" s="137">
        <f>G73-F73</f>
        <v>0</v>
      </c>
      <c r="J73" s="157"/>
      <c r="K73" s="157">
        <f>85+85</f>
        <v>170</v>
      </c>
      <c r="L73" s="157"/>
    </row>
    <row r="74" spans="1:13">
      <c r="B74" s="137" t="s">
        <v>149</v>
      </c>
      <c r="F74" s="137">
        <f>SUM(J74:L74)</f>
        <v>0</v>
      </c>
      <c r="G74" s="137">
        <v>30</v>
      </c>
      <c r="H74" s="137">
        <f>G74-F74</f>
        <v>30</v>
      </c>
      <c r="J74" s="157"/>
      <c r="K74" s="157"/>
      <c r="L74" s="157"/>
    </row>
    <row r="75" spans="1:13" ht="12.75">
      <c r="A75" s="141"/>
      <c r="B75" s="137" t="s">
        <v>150</v>
      </c>
      <c r="F75" s="137">
        <f>SUM(J75:L75)</f>
        <v>0</v>
      </c>
      <c r="G75" s="137">
        <v>20</v>
      </c>
      <c r="H75" s="137">
        <f>G75-F75</f>
        <v>20</v>
      </c>
      <c r="J75" s="157"/>
      <c r="K75" s="157"/>
      <c r="L75" s="157"/>
    </row>
    <row r="76" spans="1:13" ht="12.75">
      <c r="A76" s="141"/>
      <c r="B76" s="137" t="s">
        <v>151</v>
      </c>
      <c r="F76" s="137">
        <f>SUM(J76:L76)</f>
        <v>34.230000000000004</v>
      </c>
      <c r="G76" s="137">
        <v>50</v>
      </c>
      <c r="H76" s="137">
        <f>G76-F76</f>
        <v>15.769999999999996</v>
      </c>
      <c r="J76" s="157"/>
      <c r="K76" s="157">
        <f>1.6+1.6+2.08+6.15+1.6+3.25+1+1+0.9+2.1+0.75+3.05+0.9+2.1+6.15</f>
        <v>34.230000000000004</v>
      </c>
      <c r="L76" s="157"/>
    </row>
    <row r="77" spans="1:13" ht="12.75">
      <c r="A77" s="141"/>
      <c r="B77" s="141"/>
      <c r="J77" s="157"/>
      <c r="K77" s="157"/>
      <c r="L77" s="157"/>
    </row>
    <row r="78" spans="1:13" ht="12.75">
      <c r="A78" s="141" t="s">
        <v>152</v>
      </c>
      <c r="B78" s="141">
        <f>SUM(F79:F82)</f>
        <v>1414.17</v>
      </c>
      <c r="C78" s="141">
        <f>SUM(G79:G82)</f>
        <v>290</v>
      </c>
      <c r="D78" s="141">
        <f>C78-B78</f>
        <v>-1124.17</v>
      </c>
      <c r="J78" s="157"/>
      <c r="K78" s="157"/>
      <c r="L78" s="157"/>
    </row>
    <row r="79" spans="1:13" ht="12.75">
      <c r="A79" s="137"/>
      <c r="B79" s="137" t="s">
        <v>153</v>
      </c>
      <c r="D79" s="137" t="s">
        <v>154</v>
      </c>
      <c r="F79" s="137">
        <f>SUM(J79:L79)</f>
        <v>1231.22</v>
      </c>
      <c r="G79" s="137">
        <f>1200/12</f>
        <v>100</v>
      </c>
      <c r="H79" s="137">
        <f>G79-F79</f>
        <v>-1131.22</v>
      </c>
      <c r="J79" s="157"/>
      <c r="K79" s="157">
        <v>1191.22</v>
      </c>
      <c r="L79" s="157">
        <v>40</v>
      </c>
      <c r="M79" s="137" t="s">
        <v>750</v>
      </c>
    </row>
    <row r="80" spans="1:13">
      <c r="B80" s="137" t="s">
        <v>155</v>
      </c>
      <c r="D80" s="137" t="s">
        <v>156</v>
      </c>
      <c r="F80" s="137">
        <f>SUM(J80:L80)</f>
        <v>0</v>
      </c>
      <c r="G80" s="137">
        <v>10</v>
      </c>
      <c r="H80" s="137">
        <f>G80-F80</f>
        <v>10</v>
      </c>
      <c r="J80" s="157"/>
      <c r="K80" s="157"/>
      <c r="L80" s="157"/>
      <c r="M80" s="137" t="s">
        <v>760</v>
      </c>
    </row>
    <row r="81" spans="1:13" ht="12.75">
      <c r="A81" s="141"/>
      <c r="B81" s="137" t="s">
        <v>157</v>
      </c>
      <c r="F81" s="137">
        <f>SUM(J81:L81)</f>
        <v>182.95</v>
      </c>
      <c r="G81" s="137">
        <f>150</f>
        <v>150</v>
      </c>
      <c r="H81" s="137">
        <f>G81-F81</f>
        <v>-32.949999999999989</v>
      </c>
      <c r="J81" s="157">
        <v>182.95</v>
      </c>
      <c r="K81" s="157"/>
      <c r="L81" s="157"/>
    </row>
    <row r="82" spans="1:13" ht="12.75">
      <c r="A82" s="141"/>
      <c r="B82" s="137" t="s">
        <v>158</v>
      </c>
      <c r="F82" s="137">
        <f>SUM(J82:L82)</f>
        <v>0</v>
      </c>
      <c r="G82" s="137">
        <v>30</v>
      </c>
      <c r="H82" s="137">
        <f>G82-F82</f>
        <v>30</v>
      </c>
      <c r="J82" s="157"/>
      <c r="K82" s="157"/>
      <c r="L82" s="157"/>
    </row>
    <row r="83" spans="1:13" ht="12.75">
      <c r="A83" s="141"/>
      <c r="B83" s="141"/>
      <c r="J83" s="157"/>
      <c r="K83" s="157"/>
      <c r="L83" s="157"/>
    </row>
    <row r="84" spans="1:13" ht="12.75">
      <c r="A84" s="141" t="s">
        <v>159</v>
      </c>
      <c r="B84" s="141">
        <f>SUM(F85:F88)</f>
        <v>143.26</v>
      </c>
      <c r="C84" s="141">
        <f>SUM(G85:G88)</f>
        <v>120</v>
      </c>
      <c r="D84" s="141">
        <f>C84-B84</f>
        <v>-23.259999999999991</v>
      </c>
      <c r="J84" s="157"/>
      <c r="K84" s="157"/>
      <c r="L84" s="157"/>
    </row>
    <row r="85" spans="1:13" ht="12.75">
      <c r="A85" s="141"/>
      <c r="B85" s="137" t="s">
        <v>473</v>
      </c>
      <c r="F85" s="137">
        <f>SUM(J85:L85)</f>
        <v>143.26</v>
      </c>
      <c r="G85" s="137">
        <v>50</v>
      </c>
      <c r="H85" s="137">
        <f>G85-F85</f>
        <v>-93.259999999999991</v>
      </c>
      <c r="J85" s="157"/>
      <c r="K85" s="157">
        <f>27.85+25.19+32+45.11+13.11</f>
        <v>143.26</v>
      </c>
      <c r="L85" s="157"/>
    </row>
    <row r="86" spans="1:13" ht="12.75">
      <c r="A86" s="141"/>
      <c r="B86" s="137" t="s">
        <v>162</v>
      </c>
      <c r="F86" s="137">
        <f>SUM(J86:L86)</f>
        <v>0</v>
      </c>
      <c r="G86" s="137">
        <v>20</v>
      </c>
      <c r="H86" s="137">
        <f>G86-F86</f>
        <v>20</v>
      </c>
      <c r="J86" s="157"/>
      <c r="K86" s="157"/>
      <c r="L86" s="157"/>
    </row>
    <row r="87" spans="1:13" ht="12.75">
      <c r="A87" s="141"/>
      <c r="B87" s="137" t="s">
        <v>164</v>
      </c>
      <c r="F87" s="137">
        <f>SUM(J87:L87)</f>
        <v>0</v>
      </c>
      <c r="G87" s="137">
        <v>30</v>
      </c>
      <c r="H87" s="137">
        <f>G87-F87</f>
        <v>30</v>
      </c>
      <c r="J87" s="157"/>
      <c r="K87" s="157"/>
      <c r="L87" s="157"/>
    </row>
    <row r="88" spans="1:13" ht="12.75">
      <c r="A88" s="141"/>
      <c r="B88" s="137" t="s">
        <v>165</v>
      </c>
      <c r="F88" s="137">
        <f>SUM(J88:L88)</f>
        <v>0</v>
      </c>
      <c r="G88" s="137">
        <v>20</v>
      </c>
      <c r="H88" s="137">
        <f>G88-F88</f>
        <v>20</v>
      </c>
      <c r="J88" s="157"/>
      <c r="K88" s="157"/>
      <c r="L88" s="157"/>
    </row>
    <row r="89" spans="1:13" ht="12.75">
      <c r="A89" s="141"/>
      <c r="J89" s="157"/>
      <c r="K89" s="157"/>
      <c r="L89" s="157"/>
    </row>
    <row r="90" spans="1:13" ht="12.75">
      <c r="A90" s="141" t="s">
        <v>166</v>
      </c>
      <c r="B90" s="141">
        <f>SUM(F91:F92)</f>
        <v>232.14</v>
      </c>
      <c r="C90" s="141">
        <f>SUM(G91:G92)</f>
        <v>70</v>
      </c>
      <c r="D90" s="141">
        <f>C90-B90</f>
        <v>-162.13999999999999</v>
      </c>
      <c r="J90" s="157"/>
      <c r="K90" s="157"/>
      <c r="L90" s="157"/>
    </row>
    <row r="91" spans="1:13" ht="12.75">
      <c r="A91" s="141"/>
      <c r="B91" s="137" t="s">
        <v>167</v>
      </c>
      <c r="F91" s="137">
        <f>SUM(J91:L91)</f>
        <v>188.16</v>
      </c>
      <c r="G91" s="137">
        <v>40</v>
      </c>
      <c r="H91" s="137">
        <f>G91-F91</f>
        <v>-148.16</v>
      </c>
      <c r="J91" s="157"/>
      <c r="K91" s="157"/>
      <c r="L91" s="157">
        <f>70.88+32.98+20.34+63.96</f>
        <v>188.16</v>
      </c>
      <c r="M91" s="137" t="s">
        <v>751</v>
      </c>
    </row>
    <row r="92" spans="1:13" ht="12.75">
      <c r="A92" s="141"/>
      <c r="B92" s="137" t="s">
        <v>168</v>
      </c>
      <c r="D92" s="137" t="s">
        <v>169</v>
      </c>
      <c r="F92" s="137">
        <f>SUM(J92:L92)</f>
        <v>43.98</v>
      </c>
      <c r="G92" s="137">
        <v>30</v>
      </c>
      <c r="H92" s="137">
        <f>G92-F92</f>
        <v>-13.979999999999997</v>
      </c>
      <c r="J92" s="157"/>
      <c r="K92" s="157">
        <v>3.98</v>
      </c>
      <c r="L92" s="157">
        <v>40</v>
      </c>
      <c r="M92" s="137" t="s">
        <v>761</v>
      </c>
    </row>
    <row r="93" spans="1:13" ht="12.75">
      <c r="A93" s="141"/>
      <c r="J93" s="157"/>
      <c r="K93" s="157"/>
      <c r="L93" s="157"/>
    </row>
    <row r="94" spans="1:13" ht="12.75">
      <c r="A94" s="141" t="s">
        <v>170</v>
      </c>
      <c r="B94" s="141">
        <f>F95</f>
        <v>214.35</v>
      </c>
      <c r="C94" s="141">
        <f>G95</f>
        <v>20</v>
      </c>
      <c r="D94" s="141">
        <f>C94-B94</f>
        <v>-194.35</v>
      </c>
      <c r="J94" s="157"/>
      <c r="K94" s="157"/>
      <c r="L94" s="157"/>
    </row>
    <row r="95" spans="1:13" ht="12.75">
      <c r="A95" s="141"/>
      <c r="B95" s="137" t="s">
        <v>171</v>
      </c>
      <c r="F95" s="137">
        <f>SUM(J95:L95)</f>
        <v>214.35</v>
      </c>
      <c r="G95" s="137">
        <v>20</v>
      </c>
      <c r="H95" s="137">
        <f>G95-F95</f>
        <v>-194.35</v>
      </c>
      <c r="J95" s="157">
        <v>-18.649999999999999</v>
      </c>
      <c r="K95" s="157"/>
      <c r="L95" s="157">
        <f>194+39</f>
        <v>233</v>
      </c>
      <c r="M95" s="137" t="s">
        <v>747</v>
      </c>
    </row>
    <row r="96" spans="1:13" ht="12.75">
      <c r="A96" s="141"/>
      <c r="J96" s="157"/>
      <c r="K96" s="157"/>
      <c r="L96" s="157"/>
    </row>
    <row r="97" spans="1:12" ht="12.75">
      <c r="A97" s="141" t="s">
        <v>172</v>
      </c>
      <c r="B97" s="141">
        <f>F98</f>
        <v>29.4</v>
      </c>
      <c r="C97" s="141">
        <f>G98</f>
        <v>10</v>
      </c>
      <c r="D97" s="141">
        <f>C97-B97</f>
        <v>-19.399999999999999</v>
      </c>
      <c r="J97" s="157"/>
      <c r="K97" s="157"/>
      <c r="L97" s="157"/>
    </row>
    <row r="98" spans="1:12">
      <c r="B98" s="137" t="s">
        <v>173</v>
      </c>
      <c r="F98" s="137">
        <f>SUM(J98:L98)</f>
        <v>29.4</v>
      </c>
      <c r="G98" s="137">
        <v>10</v>
      </c>
      <c r="H98" s="137">
        <f>G98-F98</f>
        <v>-19.399999999999999</v>
      </c>
      <c r="J98" s="157"/>
      <c r="K98" s="157">
        <f>1.2</f>
        <v>1.2</v>
      </c>
      <c r="L98" s="157">
        <v>28.2</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dimension ref="A1:S84"/>
  <sheetViews>
    <sheetView topLeftCell="A6" zoomScale="84" zoomScaleNormal="84" workbookViewId="0">
      <pane ySplit="690" topLeftCell="A40" activePane="bottomLeft"/>
      <selection activeCell="D6" sqref="A5:XFD6"/>
      <selection pane="bottomLeft" activeCell="O53" sqref="O53"/>
    </sheetView>
  </sheetViews>
  <sheetFormatPr defaultColWidth="11.5703125" defaultRowHeight="12.75"/>
  <cols>
    <col min="1" max="1" width="30.140625" style="137" customWidth="1"/>
    <col min="2" max="3" width="12.42578125" style="137" customWidth="1"/>
    <col min="4" max="7" width="12.28515625" style="137" customWidth="1"/>
    <col min="8" max="8" width="12.42578125" style="137" customWidth="1"/>
    <col min="9" max="10" width="12.28515625" style="137" customWidth="1"/>
    <col min="11" max="11" width="12.42578125" style="137" customWidth="1"/>
    <col min="12" max="12" width="12.28515625" style="137" customWidth="1"/>
    <col min="13" max="13" width="12.42578125" style="137" customWidth="1"/>
    <col min="14" max="14" width="12.28515625" style="137" customWidth="1"/>
    <col min="15" max="15" width="12.42578125" style="137" customWidth="1"/>
    <col min="16" max="16384" width="11.5703125" style="137"/>
  </cols>
  <sheetData>
    <row r="1" spans="1:16" ht="15.75">
      <c r="A1" s="138" t="s">
        <v>561</v>
      </c>
      <c r="B1" s="138" t="s">
        <v>562</v>
      </c>
    </row>
    <row r="3" spans="1:16">
      <c r="A3" s="137" t="s">
        <v>563</v>
      </c>
    </row>
    <row r="4" spans="1:16">
      <c r="A4" s="137" t="s">
        <v>564</v>
      </c>
    </row>
    <row r="6" spans="1:16">
      <c r="A6" s="137" t="s">
        <v>658</v>
      </c>
      <c r="B6" s="137" t="s">
        <v>565</v>
      </c>
    </row>
    <row r="7" spans="1:16">
      <c r="B7" s="137" t="s">
        <v>566</v>
      </c>
      <c r="C7" s="137" t="s">
        <v>275</v>
      </c>
      <c r="D7" s="137" t="s">
        <v>282</v>
      </c>
      <c r="E7" s="137" t="s">
        <v>290</v>
      </c>
      <c r="F7" s="137" t="s">
        <v>292</v>
      </c>
      <c r="G7" s="137" t="s">
        <v>18</v>
      </c>
      <c r="H7" s="137" t="s">
        <v>294</v>
      </c>
      <c r="I7" s="137" t="s">
        <v>295</v>
      </c>
      <c r="J7" s="137" t="s">
        <v>297</v>
      </c>
      <c r="K7" s="137" t="s">
        <v>299</v>
      </c>
      <c r="L7" s="137" t="s">
        <v>300</v>
      </c>
      <c r="M7" s="137" t="s">
        <v>302</v>
      </c>
      <c r="N7" s="137" t="s">
        <v>303</v>
      </c>
      <c r="O7" s="137" t="s">
        <v>185</v>
      </c>
    </row>
    <row r="8" spans="1:16">
      <c r="A8" s="169" t="s">
        <v>405</v>
      </c>
    </row>
    <row r="9" spans="1:16">
      <c r="A9" s="170" t="s">
        <v>403</v>
      </c>
      <c r="B9" s="137">
        <v>0</v>
      </c>
      <c r="C9" s="171">
        <f>Jan!D14</f>
        <v>750</v>
      </c>
      <c r="D9" s="171">
        <f>Feb!D14</f>
        <v>750</v>
      </c>
      <c r="E9" s="171">
        <f>Mar!D14</f>
        <v>750</v>
      </c>
      <c r="F9" s="171">
        <f>Apr!D14</f>
        <v>750</v>
      </c>
      <c r="G9" s="171">
        <f>May!D14</f>
        <v>750</v>
      </c>
      <c r="H9" s="171">
        <f>Jun!D14</f>
        <v>750</v>
      </c>
      <c r="I9" s="171">
        <f>July!D14</f>
        <v>750</v>
      </c>
      <c r="J9" s="171">
        <f>Aug!D14</f>
        <v>750</v>
      </c>
      <c r="K9" s="171">
        <f>Sep!D14</f>
        <v>750</v>
      </c>
      <c r="L9" s="171">
        <f>Oct!D14</f>
        <v>750</v>
      </c>
      <c r="M9" s="171">
        <f>Nov!D14</f>
        <v>750</v>
      </c>
      <c r="N9" s="171">
        <f>Dec!D14</f>
        <v>750</v>
      </c>
      <c r="O9" s="137">
        <f>SUM(B9:N9)</f>
        <v>9000</v>
      </c>
    </row>
    <row r="10" spans="1:16">
      <c r="A10" s="170" t="s">
        <v>567</v>
      </c>
      <c r="C10" s="171">
        <f>Jan!E14</f>
        <v>0</v>
      </c>
      <c r="D10" s="171">
        <f>Feb!E14</f>
        <v>0</v>
      </c>
      <c r="E10" s="171">
        <f>Mar!E14</f>
        <v>0</v>
      </c>
      <c r="F10" s="171">
        <f>Apr!E14</f>
        <v>0</v>
      </c>
      <c r="G10" s="171">
        <f>May!E14</f>
        <v>0</v>
      </c>
      <c r="H10" s="171">
        <f>Jun!E14</f>
        <v>4469</v>
      </c>
      <c r="I10" s="171">
        <f>July!E14</f>
        <v>0</v>
      </c>
      <c r="J10" s="171">
        <f>Aug!E14</f>
        <v>0</v>
      </c>
      <c r="K10" s="171">
        <f>Sep!E14</f>
        <v>0</v>
      </c>
      <c r="L10" s="171">
        <f>Oct!E14</f>
        <v>0</v>
      </c>
      <c r="M10" s="171">
        <f>Nov!E14</f>
        <v>0</v>
      </c>
      <c r="N10" s="171">
        <v>4381</v>
      </c>
      <c r="O10" s="171">
        <f>SUM(B10:N10)</f>
        <v>8850</v>
      </c>
    </row>
    <row r="11" spans="1:16">
      <c r="A11" s="170" t="s">
        <v>568</v>
      </c>
      <c r="B11" s="172">
        <f t="shared" ref="B11:O11" si="0">B9-B10</f>
        <v>0</v>
      </c>
      <c r="C11" s="173">
        <f t="shared" si="0"/>
        <v>750</v>
      </c>
      <c r="D11" s="173">
        <f t="shared" si="0"/>
        <v>750</v>
      </c>
      <c r="E11" s="173">
        <f t="shared" si="0"/>
        <v>750</v>
      </c>
      <c r="F11" s="173">
        <f t="shared" si="0"/>
        <v>750</v>
      </c>
      <c r="G11" s="173">
        <f t="shared" si="0"/>
        <v>750</v>
      </c>
      <c r="H11" s="173">
        <f t="shared" si="0"/>
        <v>-3719</v>
      </c>
      <c r="I11" s="173">
        <f t="shared" si="0"/>
        <v>750</v>
      </c>
      <c r="J11" s="173">
        <f t="shared" si="0"/>
        <v>750</v>
      </c>
      <c r="K11" s="173">
        <f t="shared" si="0"/>
        <v>750</v>
      </c>
      <c r="L11" s="173">
        <f t="shared" si="0"/>
        <v>750</v>
      </c>
      <c r="M11" s="173">
        <f t="shared" si="0"/>
        <v>750</v>
      </c>
      <c r="N11" s="173">
        <f t="shared" si="0"/>
        <v>-3631</v>
      </c>
      <c r="O11" s="173">
        <f t="shared" si="0"/>
        <v>150</v>
      </c>
      <c r="P11" s="137" t="s">
        <v>733</v>
      </c>
    </row>
    <row r="12" spans="1:16">
      <c r="A12" s="170"/>
      <c r="C12" s="171"/>
      <c r="D12" s="171"/>
      <c r="E12" s="171"/>
      <c r="F12" s="171"/>
      <c r="G12" s="171"/>
      <c r="H12" s="171"/>
      <c r="I12" s="171"/>
      <c r="J12" s="171"/>
      <c r="K12" s="171"/>
      <c r="L12" s="171"/>
      <c r="M12" s="171"/>
      <c r="N12" s="171"/>
    </row>
    <row r="13" spans="1:16">
      <c r="A13" s="174" t="s">
        <v>406</v>
      </c>
      <c r="C13" s="171"/>
      <c r="D13" s="171"/>
      <c r="E13" s="171"/>
      <c r="F13" s="171"/>
      <c r="G13" s="171"/>
      <c r="H13" s="171"/>
      <c r="I13" s="171"/>
      <c r="J13" s="171"/>
      <c r="K13" s="171"/>
      <c r="L13" s="171"/>
      <c r="M13" s="171"/>
      <c r="N13" s="171"/>
    </row>
    <row r="14" spans="1:16">
      <c r="A14" s="170" t="s">
        <v>403</v>
      </c>
      <c r="C14" s="171">
        <f>Jan!D15</f>
        <v>100</v>
      </c>
      <c r="D14" s="171">
        <f>Feb!D15</f>
        <v>100</v>
      </c>
      <c r="E14" s="171">
        <f>Mar!D15</f>
        <v>100</v>
      </c>
      <c r="F14" s="171">
        <f>Apr!D15</f>
        <v>100</v>
      </c>
      <c r="G14" s="171">
        <f>May!D15</f>
        <v>100</v>
      </c>
      <c r="H14" s="171">
        <f>Jun!D15</f>
        <v>700</v>
      </c>
      <c r="I14" s="171">
        <f>July!D15</f>
        <v>200</v>
      </c>
      <c r="J14" s="171">
        <f>Aug!D15</f>
        <v>200</v>
      </c>
      <c r="K14" s="171">
        <f>Sep!D15</f>
        <v>200</v>
      </c>
      <c r="L14" s="171">
        <f>Oct!D15</f>
        <v>200</v>
      </c>
      <c r="M14" s="171">
        <f>Nov!D15</f>
        <v>200</v>
      </c>
      <c r="N14" s="171">
        <f>Dec!D15</f>
        <v>200</v>
      </c>
      <c r="O14" s="171">
        <f>SUM(B14:N14)</f>
        <v>2400</v>
      </c>
    </row>
    <row r="15" spans="1:16">
      <c r="A15" s="170" t="s">
        <v>567</v>
      </c>
      <c r="C15" s="171">
        <f>Jan!E15</f>
        <v>0</v>
      </c>
      <c r="D15" s="171">
        <f>Feb!E15</f>
        <v>0</v>
      </c>
      <c r="E15" s="171">
        <f>Mar!E15</f>
        <v>0</v>
      </c>
      <c r="F15" s="171">
        <v>4000</v>
      </c>
      <c r="G15" s="171">
        <f>May!E15</f>
        <v>0</v>
      </c>
      <c r="H15" s="171">
        <f>Jun!E15</f>
        <v>0</v>
      </c>
      <c r="I15" s="171">
        <f>July!E15</f>
        <v>0</v>
      </c>
      <c r="J15" s="171">
        <f>Aug!E15</f>
        <v>0</v>
      </c>
      <c r="K15" s="171">
        <f>Sep!E15</f>
        <v>0</v>
      </c>
      <c r="L15" s="171">
        <f>Oct!E15</f>
        <v>0</v>
      </c>
      <c r="M15" s="171">
        <v>2570</v>
      </c>
      <c r="N15" s="171">
        <f>Dec!E15</f>
        <v>0</v>
      </c>
      <c r="O15" s="171">
        <f>SUM(B15:N15)</f>
        <v>6570</v>
      </c>
    </row>
    <row r="16" spans="1:16">
      <c r="A16" s="170" t="s">
        <v>568</v>
      </c>
      <c r="B16" s="172">
        <f t="shared" ref="B16:O16" si="1">B14-B15</f>
        <v>0</v>
      </c>
      <c r="C16" s="173">
        <f t="shared" si="1"/>
        <v>100</v>
      </c>
      <c r="D16" s="173">
        <f t="shared" si="1"/>
        <v>100</v>
      </c>
      <c r="E16" s="173">
        <f t="shared" si="1"/>
        <v>100</v>
      </c>
      <c r="F16" s="173">
        <f t="shared" si="1"/>
        <v>-3900</v>
      </c>
      <c r="G16" s="173">
        <f t="shared" si="1"/>
        <v>100</v>
      </c>
      <c r="H16" s="173">
        <f t="shared" si="1"/>
        <v>700</v>
      </c>
      <c r="I16" s="173">
        <f t="shared" si="1"/>
        <v>200</v>
      </c>
      <c r="J16" s="173">
        <f t="shared" si="1"/>
        <v>200</v>
      </c>
      <c r="K16" s="173">
        <f t="shared" si="1"/>
        <v>200</v>
      </c>
      <c r="L16" s="173">
        <f t="shared" si="1"/>
        <v>200</v>
      </c>
      <c r="M16" s="173">
        <f t="shared" si="1"/>
        <v>-2370</v>
      </c>
      <c r="N16" s="173">
        <f t="shared" si="1"/>
        <v>200</v>
      </c>
      <c r="O16" s="173">
        <f t="shared" si="1"/>
        <v>-4170</v>
      </c>
      <c r="P16" s="137" t="s">
        <v>734</v>
      </c>
    </row>
    <row r="17" spans="1:16">
      <c r="C17" s="171"/>
      <c r="D17" s="171"/>
      <c r="E17" s="171"/>
      <c r="F17" s="171"/>
      <c r="G17" s="171"/>
      <c r="H17" s="171"/>
      <c r="I17" s="171"/>
      <c r="J17" s="171"/>
      <c r="K17" s="171"/>
      <c r="L17" s="171"/>
      <c r="M17" s="171"/>
      <c r="N17" s="171"/>
      <c r="O17" s="171"/>
    </row>
    <row r="18" spans="1:16">
      <c r="A18" s="174" t="s">
        <v>569</v>
      </c>
      <c r="C18" s="171"/>
      <c r="D18" s="171"/>
      <c r="E18" s="171"/>
      <c r="F18" s="171"/>
      <c r="G18" s="171"/>
      <c r="H18" s="171"/>
      <c r="I18" s="171"/>
      <c r="J18" s="171"/>
      <c r="K18" s="171"/>
      <c r="L18" s="171"/>
      <c r="M18" s="171"/>
      <c r="N18" s="171"/>
      <c r="O18" s="171"/>
    </row>
    <row r="19" spans="1:16">
      <c r="A19" s="170" t="s">
        <v>403</v>
      </c>
      <c r="C19" s="171">
        <f>Jan!D16</f>
        <v>100</v>
      </c>
      <c r="D19" s="171">
        <f>Feb!D16</f>
        <v>100</v>
      </c>
      <c r="E19" s="171">
        <f>Mar!D16</f>
        <v>100</v>
      </c>
      <c r="F19" s="171">
        <f>Apr!D16</f>
        <v>100</v>
      </c>
      <c r="G19" s="171">
        <f>May!D16</f>
        <v>100</v>
      </c>
      <c r="H19" s="171">
        <f>Jun!D16</f>
        <v>700</v>
      </c>
      <c r="I19" s="171">
        <f>July!D16</f>
        <v>200</v>
      </c>
      <c r="J19" s="171">
        <f>Aug!D16</f>
        <v>200</v>
      </c>
      <c r="K19" s="171">
        <f>Sep!D16</f>
        <v>200</v>
      </c>
      <c r="L19" s="171">
        <f>Oct!D16</f>
        <v>200</v>
      </c>
      <c r="M19" s="171">
        <f>Nov!D16</f>
        <v>200</v>
      </c>
      <c r="N19" s="171">
        <f>Dec!D16</f>
        <v>200</v>
      </c>
      <c r="O19" s="171">
        <f>SUM(B19:N19)</f>
        <v>2400</v>
      </c>
    </row>
    <row r="20" spans="1:16">
      <c r="A20" s="170" t="s">
        <v>567</v>
      </c>
      <c r="C20" s="171"/>
      <c r="D20" s="171"/>
      <c r="E20" s="171"/>
      <c r="F20" s="171"/>
      <c r="G20" s="171"/>
      <c r="H20" s="171"/>
      <c r="I20" s="171"/>
      <c r="J20" s="171">
        <v>1600</v>
      </c>
      <c r="K20" s="171"/>
      <c r="L20" s="171"/>
      <c r="M20" s="171"/>
      <c r="N20" s="171">
        <v>800</v>
      </c>
      <c r="O20" s="171">
        <f>SUM(B20:N20)</f>
        <v>2400</v>
      </c>
    </row>
    <row r="21" spans="1:16">
      <c r="A21" s="170" t="s">
        <v>568</v>
      </c>
      <c r="B21" s="172">
        <f t="shared" ref="B21:O21" si="2">B19-B20</f>
        <v>0</v>
      </c>
      <c r="C21" s="173">
        <f t="shared" si="2"/>
        <v>100</v>
      </c>
      <c r="D21" s="173">
        <f t="shared" si="2"/>
        <v>100</v>
      </c>
      <c r="E21" s="173">
        <f t="shared" si="2"/>
        <v>100</v>
      </c>
      <c r="F21" s="173">
        <f t="shared" si="2"/>
        <v>100</v>
      </c>
      <c r="G21" s="173">
        <f t="shared" si="2"/>
        <v>100</v>
      </c>
      <c r="H21" s="173">
        <f t="shared" si="2"/>
        <v>700</v>
      </c>
      <c r="I21" s="173">
        <f t="shared" si="2"/>
        <v>200</v>
      </c>
      <c r="J21" s="173">
        <f t="shared" si="2"/>
        <v>-1400</v>
      </c>
      <c r="K21" s="173">
        <f t="shared" si="2"/>
        <v>200</v>
      </c>
      <c r="L21" s="173">
        <f t="shared" si="2"/>
        <v>200</v>
      </c>
      <c r="M21" s="173">
        <f t="shared" si="2"/>
        <v>200</v>
      </c>
      <c r="N21" s="173">
        <f t="shared" si="2"/>
        <v>-600</v>
      </c>
      <c r="O21" s="173">
        <f t="shared" si="2"/>
        <v>0</v>
      </c>
    </row>
    <row r="22" spans="1:16">
      <c r="C22" s="171"/>
      <c r="D22" s="171"/>
      <c r="E22" s="171"/>
      <c r="F22" s="171"/>
      <c r="G22" s="171"/>
      <c r="H22" s="171"/>
      <c r="I22" s="171"/>
      <c r="J22" s="171"/>
      <c r="K22" s="171"/>
      <c r="L22" s="171"/>
      <c r="M22" s="171"/>
      <c r="N22" s="171"/>
      <c r="O22" s="171"/>
    </row>
    <row r="23" spans="1:16">
      <c r="A23" s="174" t="s">
        <v>570</v>
      </c>
    </row>
    <row r="24" spans="1:16">
      <c r="A24" s="170" t="s">
        <v>403</v>
      </c>
      <c r="C24" s="171">
        <f>Jan!D17</f>
        <v>100</v>
      </c>
      <c r="D24" s="171">
        <f>Feb!D17</f>
        <v>100</v>
      </c>
      <c r="E24" s="171">
        <f>Mar!D17</f>
        <v>100</v>
      </c>
      <c r="F24" s="171">
        <f>Apr!D17</f>
        <v>100</v>
      </c>
      <c r="G24" s="171">
        <f>May!D17</f>
        <v>100</v>
      </c>
      <c r="H24" s="171">
        <f>Jun!D17</f>
        <v>100</v>
      </c>
      <c r="I24" s="171">
        <f>July!D17</f>
        <v>100</v>
      </c>
      <c r="J24" s="171">
        <f>Aug!D17</f>
        <v>100</v>
      </c>
      <c r="K24" s="171">
        <f>Sep!D17</f>
        <v>100</v>
      </c>
      <c r="L24" s="171">
        <f>Oct!D17</f>
        <v>100</v>
      </c>
      <c r="M24" s="171">
        <f>Nov!D17</f>
        <v>100</v>
      </c>
      <c r="N24" s="171">
        <f>Dec!D17</f>
        <v>100</v>
      </c>
      <c r="O24" s="171">
        <f>SUM(B24:N24)</f>
        <v>1200</v>
      </c>
    </row>
    <row r="25" spans="1:16">
      <c r="A25" s="170" t="s">
        <v>567</v>
      </c>
      <c r="C25" s="171"/>
      <c r="D25" s="171"/>
      <c r="E25" s="171"/>
      <c r="F25" s="171"/>
      <c r="G25" s="171"/>
      <c r="H25" s="171"/>
      <c r="I25" s="171"/>
      <c r="J25" s="171"/>
      <c r="K25" s="171"/>
      <c r="L25" s="171"/>
      <c r="M25" s="171"/>
      <c r="N25" s="171">
        <v>0</v>
      </c>
      <c r="O25" s="171">
        <f>SUM(B25:N25)</f>
        <v>0</v>
      </c>
    </row>
    <row r="26" spans="1:16">
      <c r="A26" s="170" t="s">
        <v>568</v>
      </c>
      <c r="B26" s="172">
        <f t="shared" ref="B26:O26" si="3">B24-B25</f>
        <v>0</v>
      </c>
      <c r="C26" s="173">
        <f t="shared" si="3"/>
        <v>100</v>
      </c>
      <c r="D26" s="173">
        <f t="shared" si="3"/>
        <v>100</v>
      </c>
      <c r="E26" s="173">
        <f t="shared" si="3"/>
        <v>100</v>
      </c>
      <c r="F26" s="173">
        <f t="shared" si="3"/>
        <v>100</v>
      </c>
      <c r="G26" s="173">
        <f t="shared" si="3"/>
        <v>100</v>
      </c>
      <c r="H26" s="173">
        <f t="shared" si="3"/>
        <v>100</v>
      </c>
      <c r="I26" s="173">
        <f t="shared" si="3"/>
        <v>100</v>
      </c>
      <c r="J26" s="173">
        <f t="shared" si="3"/>
        <v>100</v>
      </c>
      <c r="K26" s="173">
        <f t="shared" si="3"/>
        <v>100</v>
      </c>
      <c r="L26" s="173">
        <f t="shared" si="3"/>
        <v>100</v>
      </c>
      <c r="M26" s="173">
        <f t="shared" si="3"/>
        <v>100</v>
      </c>
      <c r="N26" s="173">
        <f t="shared" si="3"/>
        <v>100</v>
      </c>
      <c r="O26" s="173">
        <f t="shared" si="3"/>
        <v>1200</v>
      </c>
      <c r="P26" s="137" t="s">
        <v>754</v>
      </c>
    </row>
    <row r="27" spans="1:16">
      <c r="A27" s="170"/>
      <c r="B27" s="175"/>
      <c r="C27" s="175"/>
      <c r="D27" s="175"/>
      <c r="E27" s="175"/>
      <c r="F27" s="175"/>
      <c r="G27" s="175"/>
      <c r="H27" s="175"/>
      <c r="I27" s="175"/>
      <c r="J27" s="175"/>
      <c r="K27" s="175"/>
      <c r="L27" s="175"/>
      <c r="M27" s="175"/>
      <c r="N27" s="175"/>
      <c r="O27" s="175"/>
    </row>
    <row r="28" spans="1:16" ht="13.5" thickBot="1">
      <c r="A28" s="201" t="s">
        <v>660</v>
      </c>
      <c r="B28" s="203">
        <f>B11+B16+B21+B26</f>
        <v>0</v>
      </c>
      <c r="C28" s="203">
        <f t="shared" ref="C28:N28" si="4">C11+C16+C21+C26</f>
        <v>1050</v>
      </c>
      <c r="D28" s="203">
        <f t="shared" si="4"/>
        <v>1050</v>
      </c>
      <c r="E28" s="203">
        <f t="shared" si="4"/>
        <v>1050</v>
      </c>
      <c r="F28" s="205">
        <f t="shared" si="4"/>
        <v>-2950</v>
      </c>
      <c r="G28" s="203">
        <f t="shared" si="4"/>
        <v>1050</v>
      </c>
      <c r="H28" s="205">
        <f t="shared" si="4"/>
        <v>-2219</v>
      </c>
      <c r="I28" s="203">
        <f t="shared" si="4"/>
        <v>1250</v>
      </c>
      <c r="J28" s="203">
        <f t="shared" si="4"/>
        <v>-350</v>
      </c>
      <c r="K28" s="203">
        <f t="shared" si="4"/>
        <v>1250</v>
      </c>
      <c r="L28" s="203">
        <f t="shared" si="4"/>
        <v>1250</v>
      </c>
      <c r="M28" s="203">
        <f t="shared" si="4"/>
        <v>-1320</v>
      </c>
      <c r="N28" s="203">
        <f t="shared" si="4"/>
        <v>-3931</v>
      </c>
      <c r="O28" s="204">
        <f>SUM(C28:N28)</f>
        <v>-2820</v>
      </c>
    </row>
    <row r="29" spans="1:16" ht="13.5" thickTop="1">
      <c r="A29" s="202"/>
      <c r="B29" s="180"/>
      <c r="C29" s="180"/>
      <c r="D29" s="180"/>
      <c r="E29" s="180"/>
      <c r="F29" s="180"/>
      <c r="G29" s="180"/>
      <c r="H29" s="180"/>
      <c r="I29" s="180"/>
      <c r="J29" s="180"/>
      <c r="K29" s="180"/>
      <c r="L29" s="180"/>
      <c r="M29" s="180"/>
      <c r="N29" s="180"/>
      <c r="O29" s="180"/>
    </row>
    <row r="30" spans="1:16">
      <c r="A30" s="202"/>
      <c r="B30" s="180"/>
      <c r="C30" s="180"/>
      <c r="D30" s="180"/>
      <c r="E30" s="180"/>
      <c r="F30" s="180"/>
      <c r="G30" s="180"/>
      <c r="H30" s="180"/>
      <c r="I30" s="180"/>
      <c r="J30" s="180"/>
      <c r="K30" s="180"/>
      <c r="L30" s="180"/>
      <c r="M30" s="180"/>
      <c r="N30" s="180"/>
      <c r="O30" s="180"/>
    </row>
    <row r="31" spans="1:16">
      <c r="A31" s="137" t="s">
        <v>657</v>
      </c>
      <c r="C31" s="171"/>
      <c r="D31" s="171"/>
      <c r="E31" s="171"/>
      <c r="F31" s="171"/>
      <c r="G31" s="171"/>
      <c r="H31" s="171"/>
      <c r="I31" s="171"/>
      <c r="J31" s="171"/>
      <c r="K31" s="171"/>
      <c r="L31" s="171"/>
      <c r="M31" s="171"/>
      <c r="N31" s="171"/>
      <c r="O31" s="171"/>
    </row>
    <row r="32" spans="1:16">
      <c r="A32" s="174" t="s">
        <v>571</v>
      </c>
      <c r="B32" s="172"/>
      <c r="C32" s="173">
        <f>Jan!D19</f>
        <v>0</v>
      </c>
      <c r="D32" s="173">
        <f>Feb!D19</f>
        <v>0</v>
      </c>
      <c r="E32" s="173">
        <f>Mar!D19</f>
        <v>0</v>
      </c>
      <c r="F32" s="173">
        <f>Apr!D19</f>
        <v>0</v>
      </c>
      <c r="G32" s="173">
        <f>May!D19</f>
        <v>8337</v>
      </c>
      <c r="H32" s="173">
        <f>Jun!D19</f>
        <v>0</v>
      </c>
      <c r="I32" s="173">
        <f>July!D19</f>
        <v>3258.21</v>
      </c>
      <c r="J32" s="173">
        <f>Aug!D19</f>
        <v>0</v>
      </c>
      <c r="K32" s="173">
        <f>Sep!D19</f>
        <v>0</v>
      </c>
      <c r="L32" s="173">
        <f>Oct!D19</f>
        <v>0</v>
      </c>
      <c r="M32" s="173">
        <f>Nov!D19</f>
        <v>0</v>
      </c>
      <c r="N32" s="173">
        <f>Dec!D19</f>
        <v>0</v>
      </c>
      <c r="O32" s="173">
        <f>SUM(B32:N32)</f>
        <v>11595.21</v>
      </c>
    </row>
    <row r="33" spans="1:16">
      <c r="A33" s="176"/>
      <c r="B33" s="175"/>
      <c r="C33" s="177"/>
      <c r="D33" s="177"/>
      <c r="E33" s="177"/>
      <c r="F33" s="177"/>
      <c r="G33" s="177"/>
      <c r="H33" s="177"/>
      <c r="I33" s="177"/>
      <c r="J33" s="177"/>
      <c r="K33" s="177"/>
      <c r="L33" s="177"/>
      <c r="M33" s="177"/>
      <c r="N33" s="177"/>
      <c r="O33" s="177"/>
    </row>
    <row r="34" spans="1:16">
      <c r="C34" s="171"/>
      <c r="D34" s="171"/>
      <c r="E34" s="171"/>
      <c r="F34" s="171"/>
      <c r="G34" s="171"/>
      <c r="H34" s="171"/>
      <c r="I34" s="171"/>
      <c r="J34" s="171"/>
      <c r="K34" s="171"/>
      <c r="L34" s="171"/>
      <c r="M34" s="171"/>
      <c r="N34" s="171"/>
      <c r="O34" s="171"/>
    </row>
    <row r="35" spans="1:16">
      <c r="A35" s="174" t="s">
        <v>659</v>
      </c>
      <c r="B35" s="178">
        <v>0</v>
      </c>
      <c r="C35" s="178">
        <f>Jan!E25</f>
        <v>2661.8000000000015</v>
      </c>
      <c r="D35" s="178">
        <f>Feb!E25</f>
        <v>2123.27</v>
      </c>
      <c r="E35" s="178">
        <f>Mar!E25</f>
        <v>3590.4199999999996</v>
      </c>
      <c r="F35" s="178">
        <f>Apr!E25</f>
        <v>4010.4</v>
      </c>
      <c r="G35" s="179">
        <f>May!E25</f>
        <v>8252.51</v>
      </c>
      <c r="H35" s="178">
        <f>Jun!E25</f>
        <v>2447.3000000000006</v>
      </c>
      <c r="I35" s="178">
        <f>July!E25</f>
        <v>4572.4799999999996</v>
      </c>
      <c r="J35" s="178">
        <f>Aug!E25</f>
        <v>2058.6099999999988</v>
      </c>
      <c r="K35" s="178">
        <f>Sep!E25</f>
        <v>-485.36000000000058</v>
      </c>
      <c r="L35" s="178">
        <f>Oct!E25</f>
        <v>439.16999999999916</v>
      </c>
      <c r="M35" s="178">
        <f>Nov!E25</f>
        <v>7452.2499999999991</v>
      </c>
      <c r="N35" s="178">
        <f>Dec!E25</f>
        <v>5649.9400000000005</v>
      </c>
      <c r="O35" s="178">
        <f>SUM(B35:N35)</f>
        <v>42772.79</v>
      </c>
    </row>
    <row r="36" spans="1:16" s="176" customFormat="1">
      <c r="B36" s="180"/>
      <c r="C36" s="180"/>
      <c r="D36" s="180"/>
      <c r="E36" s="180"/>
      <c r="F36" s="180"/>
      <c r="G36" s="181"/>
      <c r="H36" s="180"/>
      <c r="I36" s="180"/>
      <c r="J36" s="180"/>
      <c r="K36" s="180"/>
      <c r="L36" s="180"/>
      <c r="M36" s="180"/>
      <c r="N36" s="180"/>
      <c r="O36" s="180"/>
    </row>
    <row r="38" spans="1:16">
      <c r="A38" s="137" t="s">
        <v>661</v>
      </c>
    </row>
    <row r="39" spans="1:16">
      <c r="B39" s="175"/>
      <c r="C39" s="175"/>
      <c r="D39" s="175"/>
      <c r="E39" s="175"/>
      <c r="F39" s="175"/>
      <c r="G39" s="175"/>
      <c r="H39" s="175"/>
      <c r="I39" s="175"/>
      <c r="J39" s="175"/>
      <c r="K39" s="175"/>
      <c r="L39" s="175"/>
      <c r="M39" s="175"/>
      <c r="N39" s="175"/>
      <c r="O39" s="175"/>
    </row>
    <row r="40" spans="1:16">
      <c r="A40" s="176" t="s">
        <v>572</v>
      </c>
      <c r="B40" s="182">
        <v>6000</v>
      </c>
      <c r="C40" s="182">
        <v>3800</v>
      </c>
      <c r="D40" s="182">
        <v>0</v>
      </c>
      <c r="E40" s="182">
        <v>0</v>
      </c>
      <c r="F40" s="182">
        <v>0</v>
      </c>
      <c r="G40" s="182">
        <v>0</v>
      </c>
      <c r="H40" s="182">
        <v>0</v>
      </c>
      <c r="I40" s="182"/>
      <c r="J40" s="182"/>
      <c r="K40" s="182"/>
      <c r="L40" s="182"/>
      <c r="M40" s="182">
        <v>-9164.2199999999993</v>
      </c>
      <c r="N40" s="182"/>
      <c r="O40" s="182">
        <f>SUM(B40:N40)</f>
        <v>635.78000000000065</v>
      </c>
      <c r="P40" s="137" t="s">
        <v>745</v>
      </c>
    </row>
    <row r="41" spans="1:16">
      <c r="A41" s="176"/>
      <c r="B41" s="175"/>
      <c r="C41" s="175"/>
      <c r="D41" s="175"/>
      <c r="E41" s="175"/>
      <c r="F41" s="175"/>
      <c r="G41" s="175"/>
      <c r="H41" s="175"/>
      <c r="I41" s="175"/>
      <c r="J41" s="175"/>
      <c r="K41" s="175"/>
      <c r="L41" s="175"/>
      <c r="M41" s="175"/>
      <c r="N41" s="175"/>
      <c r="O41" s="175"/>
    </row>
    <row r="42" spans="1:16">
      <c r="A42" s="137" t="s">
        <v>573</v>
      </c>
      <c r="B42" s="182">
        <f>2718.72-130.91</f>
        <v>2587.81</v>
      </c>
      <c r="C42" s="182">
        <v>0</v>
      </c>
      <c r="D42" s="182">
        <v>0</v>
      </c>
      <c r="E42" s="182">
        <v>0</v>
      </c>
      <c r="F42" s="182">
        <v>0</v>
      </c>
      <c r="G42" s="182">
        <v>0</v>
      </c>
      <c r="H42" s="182">
        <v>0</v>
      </c>
      <c r="I42" s="182"/>
      <c r="J42" s="182"/>
      <c r="K42" s="182"/>
      <c r="L42" s="182"/>
      <c r="M42" s="182">
        <v>2587.9699999999998</v>
      </c>
      <c r="N42" s="182"/>
      <c r="O42" s="182"/>
    </row>
    <row r="44" spans="1:16">
      <c r="A44" s="174" t="s">
        <v>574</v>
      </c>
      <c r="B44" s="183">
        <v>0</v>
      </c>
      <c r="C44" s="183">
        <f t="shared" ref="C44:N44" si="5">C35-C40-C42</f>
        <v>-1138.1999999999985</v>
      </c>
      <c r="D44" s="183">
        <f t="shared" si="5"/>
        <v>2123.27</v>
      </c>
      <c r="E44" s="183">
        <f t="shared" si="5"/>
        <v>3590.4199999999996</v>
      </c>
      <c r="F44" s="183">
        <f t="shared" si="5"/>
        <v>4010.4</v>
      </c>
      <c r="G44" s="184">
        <f t="shared" si="5"/>
        <v>8252.51</v>
      </c>
      <c r="H44" s="183">
        <f t="shared" si="5"/>
        <v>2447.3000000000006</v>
      </c>
      <c r="I44" s="183">
        <f t="shared" si="5"/>
        <v>4572.4799999999996</v>
      </c>
      <c r="J44" s="183">
        <f t="shared" si="5"/>
        <v>2058.6099999999988</v>
      </c>
      <c r="K44" s="183">
        <f t="shared" si="5"/>
        <v>-485.36000000000058</v>
      </c>
      <c r="L44" s="183">
        <f>L35-L40-L42</f>
        <v>439.16999999999916</v>
      </c>
      <c r="M44" s="183">
        <f>M35</f>
        <v>7452.2499999999991</v>
      </c>
      <c r="N44" s="183">
        <f t="shared" si="5"/>
        <v>5649.9400000000005</v>
      </c>
      <c r="O44" s="183">
        <f>SUM(B44:N44)</f>
        <v>38972.79</v>
      </c>
    </row>
    <row r="45" spans="1:16">
      <c r="C45" s="175"/>
      <c r="D45" s="175"/>
      <c r="E45" s="175"/>
      <c r="F45" s="175"/>
      <c r="G45" s="175"/>
      <c r="H45" s="175"/>
      <c r="I45" s="175"/>
      <c r="J45" s="175"/>
      <c r="K45" s="175"/>
      <c r="L45" s="175"/>
      <c r="M45" s="175"/>
      <c r="N45" s="175"/>
      <c r="O45" s="175"/>
    </row>
    <row r="46" spans="1:16">
      <c r="A46" s="137" t="s">
        <v>575</v>
      </c>
      <c r="B46" s="137">
        <f>6778.34-1200-2400+216.76</f>
        <v>3395.1000000000004</v>
      </c>
      <c r="C46" s="137">
        <v>0</v>
      </c>
      <c r="D46" s="137">
        <f>1521.36+63.71-600</f>
        <v>985.06999999999994</v>
      </c>
      <c r="E46" s="137">
        <f>3406.47+169.95</f>
        <v>3576.4199999999996</v>
      </c>
      <c r="F46" s="137">
        <f>24.4+4000</f>
        <v>4024.4</v>
      </c>
      <c r="G46" s="137">
        <f>7259+1078</f>
        <v>8337</v>
      </c>
      <c r="H46" s="197">
        <v>2500</v>
      </c>
      <c r="I46" s="137">
        <f>3258.21+1177.08</f>
        <v>4435.29</v>
      </c>
      <c r="J46" s="137">
        <f>458.61+1600</f>
        <v>2058.61</v>
      </c>
      <c r="K46" s="137">
        <v>-485.36</v>
      </c>
      <c r="L46" s="137">
        <v>439.17</v>
      </c>
      <c r="M46" s="137">
        <f>3831.86+3620.39</f>
        <v>7452.25</v>
      </c>
      <c r="N46" s="137">
        <v>5649.94</v>
      </c>
      <c r="O46" s="137">
        <f>SUM(B46:N46)</f>
        <v>42367.89</v>
      </c>
    </row>
    <row r="47" spans="1:16">
      <c r="A47" s="137" t="s">
        <v>651</v>
      </c>
      <c r="B47" s="137">
        <v>0</v>
      </c>
      <c r="C47" s="137">
        <v>0</v>
      </c>
      <c r="D47" s="137">
        <v>0</v>
      </c>
      <c r="J47" s="137">
        <v>0</v>
      </c>
      <c r="M47" s="137">
        <v>-4000</v>
      </c>
      <c r="N47" s="137">
        <v>-500</v>
      </c>
      <c r="O47" s="137">
        <f t="shared" ref="O47:O52" si="6">SUM(B47:N47)</f>
        <v>-4500</v>
      </c>
    </row>
    <row r="48" spans="1:16">
      <c r="A48" s="137" t="s">
        <v>738</v>
      </c>
      <c r="F48" s="137">
        <v>-4000</v>
      </c>
      <c r="M48" s="137">
        <v>-2570</v>
      </c>
      <c r="N48" s="137">
        <f>2400</f>
        <v>2400</v>
      </c>
      <c r="O48" s="137">
        <f t="shared" si="6"/>
        <v>-4170</v>
      </c>
      <c r="P48" s="137" t="s">
        <v>744</v>
      </c>
    </row>
    <row r="49" spans="1:19">
      <c r="A49" s="137" t="s">
        <v>770</v>
      </c>
      <c r="O49" s="137">
        <f t="shared" si="6"/>
        <v>0</v>
      </c>
    </row>
    <row r="50" spans="1:19">
      <c r="A50" s="137" t="s">
        <v>727</v>
      </c>
      <c r="G50" s="137">
        <v>-15511.62</v>
      </c>
      <c r="J50" s="137">
        <v>-5000</v>
      </c>
      <c r="K50" s="137">
        <v>-5000</v>
      </c>
      <c r="N50" s="137">
        <v>-6500</v>
      </c>
      <c r="O50" s="137">
        <f t="shared" si="6"/>
        <v>-32011.620000000003</v>
      </c>
    </row>
    <row r="51" spans="1:19">
      <c r="A51" s="137" t="s">
        <v>742</v>
      </c>
      <c r="O51" s="137">
        <f t="shared" si="6"/>
        <v>0</v>
      </c>
    </row>
    <row r="52" spans="1:19">
      <c r="A52" s="137" t="s">
        <v>743</v>
      </c>
      <c r="B52" s="137">
        <v>6000</v>
      </c>
      <c r="C52" s="137">
        <v>3800</v>
      </c>
      <c r="M52" s="137">
        <v>-635.78</v>
      </c>
      <c r="O52" s="137">
        <f t="shared" si="6"/>
        <v>9164.2199999999993</v>
      </c>
    </row>
    <row r="53" spans="1:19">
      <c r="A53" s="232" t="s">
        <v>769</v>
      </c>
      <c r="B53" s="185">
        <f t="shared" ref="B53:O53" si="7">B46+SUM(B47:B51)+B52</f>
        <v>9395.1</v>
      </c>
      <c r="C53" s="185">
        <f t="shared" si="7"/>
        <v>3800</v>
      </c>
      <c r="D53" s="185">
        <f t="shared" si="7"/>
        <v>985.06999999999994</v>
      </c>
      <c r="E53" s="185">
        <f t="shared" si="7"/>
        <v>3576.4199999999996</v>
      </c>
      <c r="F53" s="185">
        <f t="shared" si="7"/>
        <v>24.400000000000091</v>
      </c>
      <c r="G53" s="185">
        <f t="shared" si="7"/>
        <v>-7174.6200000000008</v>
      </c>
      <c r="H53" s="185">
        <f t="shared" si="7"/>
        <v>2500</v>
      </c>
      <c r="I53" s="185">
        <f t="shared" si="7"/>
        <v>4435.29</v>
      </c>
      <c r="J53" s="185">
        <f t="shared" si="7"/>
        <v>-2941.39</v>
      </c>
      <c r="K53" s="185">
        <f t="shared" si="7"/>
        <v>-5485.36</v>
      </c>
      <c r="L53" s="185">
        <f t="shared" si="7"/>
        <v>439.17</v>
      </c>
      <c r="M53" s="185">
        <f t="shared" si="7"/>
        <v>246.47000000000003</v>
      </c>
      <c r="N53" s="185">
        <f t="shared" si="7"/>
        <v>1049.9399999999996</v>
      </c>
      <c r="O53" s="185">
        <f t="shared" si="7"/>
        <v>10850.489999999996</v>
      </c>
      <c r="P53" s="185">
        <f>SUM(B53:N53)</f>
        <v>10850.489999999998</v>
      </c>
      <c r="Q53" s="185"/>
    </row>
    <row r="54" spans="1:19">
      <c r="A54" s="232"/>
      <c r="B54" s="200"/>
      <c r="C54" s="200"/>
      <c r="D54" s="200"/>
      <c r="E54" s="200"/>
      <c r="F54" s="200"/>
      <c r="G54" s="200"/>
      <c r="H54" s="200"/>
      <c r="I54" s="200"/>
      <c r="J54" s="200"/>
      <c r="K54" s="200"/>
      <c r="L54" s="200"/>
      <c r="M54" s="200"/>
      <c r="N54" s="200"/>
      <c r="O54" s="200"/>
      <c r="P54" s="200"/>
      <c r="Q54" s="200"/>
    </row>
    <row r="55" spans="1:19">
      <c r="A55" s="232"/>
      <c r="B55" s="200"/>
      <c r="C55" s="200"/>
      <c r="D55" s="200"/>
      <c r="E55" s="200"/>
      <c r="F55" s="200"/>
      <c r="G55" s="200"/>
      <c r="H55" s="200"/>
      <c r="I55" s="200"/>
      <c r="J55" s="200"/>
      <c r="K55" s="200"/>
      <c r="L55" s="200"/>
      <c r="M55" s="200"/>
      <c r="N55" s="200"/>
      <c r="O55" s="200"/>
      <c r="P55" s="200"/>
      <c r="Q55" s="200"/>
    </row>
    <row r="56" spans="1:19">
      <c r="A56" s="233" t="s">
        <v>678</v>
      </c>
      <c r="B56" s="175"/>
      <c r="C56" s="175"/>
      <c r="D56" s="175"/>
      <c r="E56" s="175"/>
      <c r="F56" s="175"/>
      <c r="G56" s="175"/>
      <c r="H56" s="175"/>
      <c r="I56" s="175"/>
      <c r="J56" s="175"/>
      <c r="K56" s="175"/>
      <c r="L56" s="175"/>
      <c r="M56" s="175"/>
      <c r="N56" s="175"/>
      <c r="O56" s="200"/>
      <c r="P56" s="200"/>
      <c r="Q56" s="200"/>
    </row>
    <row r="57" spans="1:19">
      <c r="A57" s="137" t="s">
        <v>652</v>
      </c>
      <c r="B57" s="175">
        <f>B47</f>
        <v>0</v>
      </c>
      <c r="C57" s="175">
        <f t="shared" ref="C57:I57" si="8">-C47</f>
        <v>0</v>
      </c>
      <c r="D57" s="175">
        <f t="shared" si="8"/>
        <v>0</v>
      </c>
      <c r="E57" s="175">
        <f t="shared" si="8"/>
        <v>0</v>
      </c>
      <c r="F57" s="175">
        <f t="shared" si="8"/>
        <v>0</v>
      </c>
      <c r="G57" s="175">
        <f t="shared" si="8"/>
        <v>0</v>
      </c>
      <c r="H57" s="175">
        <f t="shared" si="8"/>
        <v>0</v>
      </c>
      <c r="I57" s="175">
        <f t="shared" si="8"/>
        <v>0</v>
      </c>
      <c r="J57" s="175">
        <v>0</v>
      </c>
      <c r="K57" s="175">
        <f t="shared" ref="K57:N57" si="9">-K47</f>
        <v>0</v>
      </c>
      <c r="L57" s="175">
        <f t="shared" si="9"/>
        <v>0</v>
      </c>
      <c r="M57" s="175">
        <f t="shared" si="9"/>
        <v>4000</v>
      </c>
      <c r="N57" s="175">
        <f t="shared" si="9"/>
        <v>500</v>
      </c>
      <c r="O57" s="137">
        <f>SUM(B57:N57)</f>
        <v>4500</v>
      </c>
      <c r="P57" s="200"/>
      <c r="Q57" s="200"/>
    </row>
    <row r="58" spans="1:19">
      <c r="A58" s="137" t="s">
        <v>656</v>
      </c>
      <c r="B58" s="175">
        <v>0</v>
      </c>
      <c r="C58" s="175"/>
      <c r="D58" s="175"/>
      <c r="E58" s="175"/>
      <c r="F58" s="175"/>
      <c r="G58" s="175"/>
      <c r="H58" s="175"/>
      <c r="I58" s="175"/>
      <c r="J58" s="175"/>
      <c r="K58" s="175">
        <f>Sep!F30-500</f>
        <v>2000</v>
      </c>
      <c r="L58" s="175">
        <f>Oct!F30-500</f>
        <v>1500</v>
      </c>
      <c r="M58" s="175">
        <f>Nov!F30-500</f>
        <v>2000</v>
      </c>
      <c r="N58" s="175">
        <v>2000</v>
      </c>
      <c r="O58" s="137">
        <f>SUM(B58:N58)</f>
        <v>7500</v>
      </c>
      <c r="P58" s="200"/>
      <c r="Q58" s="200"/>
    </row>
    <row r="59" spans="1:19">
      <c r="A59" s="137" t="s">
        <v>576</v>
      </c>
      <c r="B59" s="137">
        <f>1250+400+100</f>
        <v>1750</v>
      </c>
      <c r="C59" s="137">
        <v>0</v>
      </c>
      <c r="D59" s="137">
        <v>0</v>
      </c>
      <c r="O59" s="137">
        <f>SUM(B59:N59)</f>
        <v>1750</v>
      </c>
      <c r="P59" s="137" t="s">
        <v>649</v>
      </c>
      <c r="S59" s="137">
        <v>16977.82</v>
      </c>
    </row>
    <row r="60" spans="1:19">
      <c r="A60" s="137" t="s">
        <v>577</v>
      </c>
      <c r="B60" s="137">
        <f>1250+400+100</f>
        <v>1750</v>
      </c>
      <c r="O60" s="137">
        <f>SUM(B60:N60)</f>
        <v>1750</v>
      </c>
      <c r="P60" s="137" t="s">
        <v>578</v>
      </c>
    </row>
    <row r="61" spans="1:19">
      <c r="A61" s="137" t="s">
        <v>755</v>
      </c>
      <c r="N61" s="137">
        <v>1200</v>
      </c>
      <c r="O61" s="137">
        <f>SUM(B61:N61)</f>
        <v>1200</v>
      </c>
    </row>
    <row r="62" spans="1:19">
      <c r="A62" s="232" t="s">
        <v>771</v>
      </c>
      <c r="B62" s="222">
        <f t="shared" ref="B62:N62" si="10">SUM(B57:B61)</f>
        <v>3500</v>
      </c>
      <c r="C62" s="222">
        <f t="shared" si="10"/>
        <v>0</v>
      </c>
      <c r="D62" s="222">
        <f t="shared" si="10"/>
        <v>0</v>
      </c>
      <c r="E62" s="222">
        <f t="shared" si="10"/>
        <v>0</v>
      </c>
      <c r="F62" s="222">
        <f t="shared" si="10"/>
        <v>0</v>
      </c>
      <c r="G62" s="222">
        <f t="shared" si="10"/>
        <v>0</v>
      </c>
      <c r="H62" s="222">
        <f t="shared" si="10"/>
        <v>0</v>
      </c>
      <c r="I62" s="222">
        <f t="shared" si="10"/>
        <v>0</v>
      </c>
      <c r="J62" s="222">
        <f t="shared" si="10"/>
        <v>0</v>
      </c>
      <c r="K62" s="222">
        <f t="shared" si="10"/>
        <v>2000</v>
      </c>
      <c r="L62" s="222">
        <f t="shared" si="10"/>
        <v>1500</v>
      </c>
      <c r="M62" s="222">
        <f t="shared" si="10"/>
        <v>6000</v>
      </c>
      <c r="N62" s="222">
        <f t="shared" si="10"/>
        <v>3700</v>
      </c>
      <c r="O62" s="222">
        <f>SUM(O57:O61)</f>
        <v>16700</v>
      </c>
    </row>
    <row r="64" spans="1:19">
      <c r="A64" s="154" t="s">
        <v>655</v>
      </c>
    </row>
    <row r="65" spans="1:18">
      <c r="A65" s="137" t="s">
        <v>579</v>
      </c>
      <c r="B65" s="192">
        <f>FV(5%/12,48,,18750)</f>
        <v>-22891.78790672664</v>
      </c>
      <c r="D65" s="137">
        <v>0</v>
      </c>
      <c r="G65" s="186">
        <v>5000</v>
      </c>
      <c r="H65" s="137">
        <v>0</v>
      </c>
      <c r="I65" s="197"/>
      <c r="J65" s="137">
        <f>5000</f>
        <v>5000</v>
      </c>
      <c r="K65" s="137">
        <f>5000+500</f>
        <v>5500</v>
      </c>
      <c r="L65" s="137">
        <v>500</v>
      </c>
      <c r="M65" s="137">
        <f>500</f>
        <v>500</v>
      </c>
      <c r="N65" s="137">
        <f>500+6500</f>
        <v>7000</v>
      </c>
      <c r="O65" s="192">
        <f>SUM(B65:N65)</f>
        <v>608.21209327335964</v>
      </c>
      <c r="P65" s="137" t="s">
        <v>580</v>
      </c>
      <c r="R65" s="137" t="s">
        <v>581</v>
      </c>
    </row>
    <row r="66" spans="1:18">
      <c r="A66" s="137" t="s">
        <v>582</v>
      </c>
      <c r="B66" s="192">
        <f>FV(5%/12,12,,10000)</f>
        <v>-10511.618978817334</v>
      </c>
      <c r="G66" s="196">
        <f>9000+1511.62</f>
        <v>10511.619999999999</v>
      </c>
      <c r="O66" s="187">
        <f>SUM(B66:N66)</f>
        <v>1.0211826647719136E-3</v>
      </c>
      <c r="P66" s="137" t="s">
        <v>583</v>
      </c>
      <c r="R66" s="137" t="s">
        <v>584</v>
      </c>
    </row>
    <row r="67" spans="1:18">
      <c r="B67" s="188">
        <f t="shared" ref="B67:O67" si="11">SUM(B65:B66)</f>
        <v>-33403.406885543976</v>
      </c>
      <c r="C67" s="188">
        <f t="shared" si="11"/>
        <v>0</v>
      </c>
      <c r="D67" s="188">
        <f t="shared" si="11"/>
        <v>0</v>
      </c>
      <c r="E67" s="188">
        <f t="shared" si="11"/>
        <v>0</v>
      </c>
      <c r="F67" s="188">
        <f t="shared" si="11"/>
        <v>0</v>
      </c>
      <c r="G67" s="188">
        <f t="shared" si="11"/>
        <v>15511.619999999999</v>
      </c>
      <c r="H67" s="188">
        <f t="shared" si="11"/>
        <v>0</v>
      </c>
      <c r="I67" s="188">
        <f t="shared" si="11"/>
        <v>0</v>
      </c>
      <c r="J67" s="188">
        <f t="shared" si="11"/>
        <v>5000</v>
      </c>
      <c r="K67" s="188">
        <f t="shared" si="11"/>
        <v>5500</v>
      </c>
      <c r="L67" s="188">
        <f t="shared" si="11"/>
        <v>500</v>
      </c>
      <c r="M67" s="188">
        <f t="shared" si="11"/>
        <v>500</v>
      </c>
      <c r="N67" s="188">
        <f t="shared" si="11"/>
        <v>7000</v>
      </c>
      <c r="O67" s="188">
        <f t="shared" si="11"/>
        <v>608.21311445602441</v>
      </c>
    </row>
    <row r="69" spans="1:18">
      <c r="A69" s="137" t="s">
        <v>585</v>
      </c>
      <c r="C69" s="189">
        <f>C44-C53-C67+3800</f>
        <v>-1138.1999999999989</v>
      </c>
      <c r="D69" s="189">
        <f>D44-D53-D67</f>
        <v>1138.2</v>
      </c>
      <c r="E69" s="189">
        <f>E44-E53-E67</f>
        <v>14</v>
      </c>
      <c r="F69" s="189">
        <f>F44-F53-F67-4000</f>
        <v>-14</v>
      </c>
      <c r="G69" s="189">
        <f>G44-G53-G67</f>
        <v>-84.489999999997963</v>
      </c>
      <c r="H69" s="190">
        <f>H44-H53-H67</f>
        <v>-52.699999999999363</v>
      </c>
      <c r="I69" s="190">
        <f>I44-I53-I67</f>
        <v>137.1899999999996</v>
      </c>
      <c r="J69" s="190">
        <f>J44-J53-J67</f>
        <v>0</v>
      </c>
      <c r="K69" s="190">
        <f>K44-K53-K67+500</f>
        <v>-9.0949470177292824E-13</v>
      </c>
      <c r="L69" s="190">
        <f>L44-L53-L67+500</f>
        <v>-8.5265128291212022E-13</v>
      </c>
      <c r="M69" s="190">
        <f>M53-M67+500</f>
        <v>246.47000000000003</v>
      </c>
      <c r="N69" s="190">
        <f>N53-N67+500</f>
        <v>-5450.06</v>
      </c>
      <c r="O69" s="189">
        <f>SUM(C69:N69)</f>
        <v>-5203.5899999999983</v>
      </c>
    </row>
    <row r="72" spans="1:18">
      <c r="A72" s="137" t="s">
        <v>586</v>
      </c>
    </row>
    <row r="73" spans="1:18">
      <c r="A73" s="137" t="s">
        <v>587</v>
      </c>
    </row>
    <row r="74" spans="1:18">
      <c r="A74" s="137" t="s">
        <v>588</v>
      </c>
    </row>
    <row r="78" spans="1:18">
      <c r="A78" s="137" t="s">
        <v>589</v>
      </c>
    </row>
    <row r="79" spans="1:18">
      <c r="A79" s="191" t="s">
        <v>590</v>
      </c>
      <c r="B79" s="137">
        <v>61289.34</v>
      </c>
    </row>
    <row r="80" spans="1:18">
      <c r="A80" s="137" t="s">
        <v>591</v>
      </c>
      <c r="B80" s="137">
        <v>32544.49</v>
      </c>
    </row>
    <row r="81" spans="1:2">
      <c r="A81" s="137" t="s">
        <v>592</v>
      </c>
      <c r="B81" s="172">
        <f>B79-B80</f>
        <v>28744.849999999995</v>
      </c>
    </row>
    <row r="82" spans="1:2">
      <c r="A82" s="137" t="s">
        <v>593</v>
      </c>
      <c r="B82" s="192">
        <f>-B67-B81</f>
        <v>4658.5568855439815</v>
      </c>
    </row>
    <row r="84" spans="1:2">
      <c r="A84" s="137" t="s">
        <v>764</v>
      </c>
      <c r="B84" s="230">
        <f>-B67+O67</f>
        <v>34011.620000000003</v>
      </c>
    </row>
  </sheetData>
  <sheetProtection selectLockedCells="1" selectUnlockedCells="1"/>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worksheet>
</file>

<file path=xl/worksheets/sheet18.xml><?xml version="1.0" encoding="utf-8"?>
<worksheet xmlns="http://schemas.openxmlformats.org/spreadsheetml/2006/main" xmlns:r="http://schemas.openxmlformats.org/officeDocument/2006/relationships">
  <dimension ref="A1:H147"/>
  <sheetViews>
    <sheetView workbookViewId="0">
      <pane ySplit="510" topLeftCell="A20" activePane="bottomLeft"/>
      <selection activeCell="P1" sqref="P1"/>
      <selection pane="bottomLeft" activeCell="B40" sqref="B40"/>
    </sheetView>
  </sheetViews>
  <sheetFormatPr defaultRowHeight="12.75"/>
  <cols>
    <col min="1" max="1" width="16.7109375" customWidth="1"/>
    <col min="2" max="2" width="28.5703125" customWidth="1"/>
    <col min="3" max="3" width="15" customWidth="1"/>
    <col min="4" max="4" width="22.85546875" customWidth="1"/>
    <col min="5" max="5" width="10.5703125" customWidth="1"/>
  </cols>
  <sheetData>
    <row r="1" spans="1:6">
      <c r="A1" s="2" t="s">
        <v>798</v>
      </c>
    </row>
    <row r="3" spans="1:6">
      <c r="A3" t="s">
        <v>594</v>
      </c>
      <c r="C3" t="s">
        <v>595</v>
      </c>
      <c r="D3" t="s">
        <v>914</v>
      </c>
    </row>
    <row r="4" spans="1:6">
      <c r="A4" t="s">
        <v>596</v>
      </c>
      <c r="B4" t="s">
        <v>597</v>
      </c>
      <c r="C4" t="s">
        <v>948</v>
      </c>
      <c r="D4" t="s">
        <v>949</v>
      </c>
    </row>
    <row r="5" spans="1:6">
      <c r="A5" t="s">
        <v>598</v>
      </c>
      <c r="B5" t="s">
        <v>600</v>
      </c>
      <c r="C5" t="s">
        <v>599</v>
      </c>
      <c r="D5">
        <v>150</v>
      </c>
    </row>
    <row r="6" spans="1:6">
      <c r="A6" t="s">
        <v>909</v>
      </c>
      <c r="B6" t="s">
        <v>911</v>
      </c>
      <c r="C6" t="s">
        <v>910</v>
      </c>
      <c r="D6" t="s">
        <v>949</v>
      </c>
    </row>
    <row r="7" spans="1:6">
      <c r="A7" t="s">
        <v>275</v>
      </c>
      <c r="B7" t="s">
        <v>912</v>
      </c>
      <c r="C7" t="s">
        <v>913</v>
      </c>
      <c r="D7">
        <v>60</v>
      </c>
    </row>
    <row r="8" spans="1:6">
      <c r="A8" t="s">
        <v>282</v>
      </c>
      <c r="B8" t="s">
        <v>912</v>
      </c>
      <c r="C8" t="s">
        <v>913</v>
      </c>
      <c r="D8">
        <v>60</v>
      </c>
    </row>
    <row r="9" spans="1:6">
      <c r="A9" t="s">
        <v>15</v>
      </c>
      <c r="B9" t="s">
        <v>912</v>
      </c>
      <c r="C9" t="s">
        <v>913</v>
      </c>
      <c r="D9">
        <v>60</v>
      </c>
    </row>
    <row r="10" spans="1:6">
      <c r="A10" t="s">
        <v>15</v>
      </c>
      <c r="B10" t="s">
        <v>912</v>
      </c>
      <c r="C10" t="s">
        <v>913</v>
      </c>
      <c r="D10">
        <v>60</v>
      </c>
    </row>
    <row r="11" spans="1:6">
      <c r="A11" s="2" t="s">
        <v>794</v>
      </c>
    </row>
    <row r="12" spans="1:6">
      <c r="A12" s="244" t="s">
        <v>950</v>
      </c>
      <c r="B12" s="245" t="s">
        <v>595</v>
      </c>
      <c r="C12" s="239" t="s">
        <v>803</v>
      </c>
      <c r="D12" s="246" t="s">
        <v>951</v>
      </c>
      <c r="E12" s="239" t="s">
        <v>804</v>
      </c>
    </row>
    <row r="13" spans="1:6">
      <c r="A13" t="s">
        <v>795</v>
      </c>
      <c r="B13" t="s">
        <v>799</v>
      </c>
      <c r="C13">
        <v>0</v>
      </c>
      <c r="D13" t="s">
        <v>801</v>
      </c>
      <c r="E13">
        <v>2</v>
      </c>
      <c r="F13" t="s">
        <v>805</v>
      </c>
    </row>
    <row r="14" spans="1:6">
      <c r="A14" t="s">
        <v>795</v>
      </c>
      <c r="B14" t="s">
        <v>799</v>
      </c>
      <c r="C14">
        <v>0</v>
      </c>
      <c r="D14" t="s">
        <v>801</v>
      </c>
      <c r="E14">
        <v>2</v>
      </c>
      <c r="F14" t="s">
        <v>806</v>
      </c>
    </row>
    <row r="15" spans="1:6">
      <c r="A15" t="s">
        <v>795</v>
      </c>
      <c r="B15" t="s">
        <v>799</v>
      </c>
      <c r="C15">
        <v>0</v>
      </c>
      <c r="D15" t="s">
        <v>801</v>
      </c>
      <c r="E15">
        <v>4</v>
      </c>
      <c r="F15" t="s">
        <v>808</v>
      </c>
    </row>
    <row r="16" spans="1:6">
      <c r="A16" t="s">
        <v>796</v>
      </c>
      <c r="B16" t="s">
        <v>800</v>
      </c>
      <c r="C16">
        <v>20</v>
      </c>
      <c r="D16" t="s">
        <v>801</v>
      </c>
      <c r="E16">
        <v>1</v>
      </c>
      <c r="F16" t="s">
        <v>959</v>
      </c>
    </row>
    <row r="17" spans="1:8">
      <c r="A17" t="s">
        <v>37</v>
      </c>
      <c r="B17" t="s">
        <v>797</v>
      </c>
      <c r="C17">
        <v>51</v>
      </c>
      <c r="D17" t="s">
        <v>802</v>
      </c>
      <c r="E17">
        <v>1</v>
      </c>
      <c r="F17" t="s">
        <v>960</v>
      </c>
    </row>
    <row r="20" spans="1:8">
      <c r="A20" s="2" t="s">
        <v>788</v>
      </c>
      <c r="B20" s="242" t="s">
        <v>962</v>
      </c>
      <c r="C20" s="240">
        <f>C22+C27+C55+C68+E128</f>
        <v>7744.3483333333343</v>
      </c>
    </row>
    <row r="21" spans="1:8" ht="13.5" thickBot="1"/>
    <row r="22" spans="1:8" ht="13.5" thickBot="1">
      <c r="A22" s="2" t="s">
        <v>789</v>
      </c>
      <c r="B22" s="242" t="s">
        <v>905</v>
      </c>
      <c r="C22" s="247">
        <f>C23*0.555</f>
        <v>758.13000000000011</v>
      </c>
    </row>
    <row r="23" spans="1:8">
      <c r="A23" t="s">
        <v>809</v>
      </c>
      <c r="B23" s="241" t="s">
        <v>957</v>
      </c>
      <c r="C23">
        <f>4*60+20*8+51*16+150</f>
        <v>1366</v>
      </c>
      <c r="D23" s="194" t="s">
        <v>958</v>
      </c>
    </row>
    <row r="26" spans="1:8" ht="13.5" thickBot="1">
      <c r="A26" s="2" t="s">
        <v>790</v>
      </c>
    </row>
    <row r="27" spans="1:8" ht="13.5" thickBot="1">
      <c r="B27" s="242" t="s">
        <v>904</v>
      </c>
      <c r="C27" s="247">
        <f>SUM(C28:C52)</f>
        <v>1359.46</v>
      </c>
      <c r="D27" t="s">
        <v>965</v>
      </c>
    </row>
    <row r="28" spans="1:8">
      <c r="A28" s="215">
        <v>40973</v>
      </c>
      <c r="B28" t="s">
        <v>813</v>
      </c>
      <c r="C28">
        <v>10</v>
      </c>
      <c r="D28" t="s">
        <v>823</v>
      </c>
      <c r="F28" t="s">
        <v>829</v>
      </c>
    </row>
    <row r="29" spans="1:8">
      <c r="A29" s="215">
        <v>40945</v>
      </c>
      <c r="B29" t="s">
        <v>813</v>
      </c>
      <c r="C29">
        <v>24.1</v>
      </c>
      <c r="D29" t="s">
        <v>823</v>
      </c>
      <c r="F29" t="s">
        <v>829</v>
      </c>
    </row>
    <row r="30" spans="1:8">
      <c r="A30" s="215">
        <v>40975</v>
      </c>
      <c r="B30" t="s">
        <v>813</v>
      </c>
      <c r="C30">
        <v>11.14</v>
      </c>
      <c r="D30" t="s">
        <v>823</v>
      </c>
      <c r="F30" t="s">
        <v>829</v>
      </c>
    </row>
    <row r="31" spans="1:8">
      <c r="A31" s="215">
        <v>41006</v>
      </c>
      <c r="B31" t="s">
        <v>813</v>
      </c>
      <c r="C31">
        <v>40.25</v>
      </c>
      <c r="D31" t="s">
        <v>823</v>
      </c>
      <c r="F31" t="s">
        <v>829</v>
      </c>
      <c r="G31" t="s">
        <v>812</v>
      </c>
      <c r="H31">
        <f>SUM(C28:C34)</f>
        <v>134.46</v>
      </c>
    </row>
    <row r="32" spans="1:8">
      <c r="A32" t="s">
        <v>822</v>
      </c>
      <c r="B32" t="s">
        <v>813</v>
      </c>
      <c r="C32">
        <v>23.04</v>
      </c>
      <c r="D32" t="s">
        <v>823</v>
      </c>
      <c r="F32" t="s">
        <v>829</v>
      </c>
      <c r="G32" t="s">
        <v>963</v>
      </c>
      <c r="H32">
        <f>SUM(C35:C52)</f>
        <v>1225</v>
      </c>
    </row>
    <row r="33" spans="1:6">
      <c r="A33" s="215">
        <v>41098</v>
      </c>
      <c r="B33" t="s">
        <v>813</v>
      </c>
      <c r="C33">
        <v>15.93</v>
      </c>
      <c r="D33" t="s">
        <v>823</v>
      </c>
      <c r="F33" t="s">
        <v>829</v>
      </c>
    </row>
    <row r="34" spans="1:6">
      <c r="A34" s="215">
        <v>40917</v>
      </c>
      <c r="B34" t="s">
        <v>813</v>
      </c>
      <c r="C34">
        <v>10</v>
      </c>
      <c r="D34" t="s">
        <v>823</v>
      </c>
      <c r="F34" t="s">
        <v>829</v>
      </c>
    </row>
    <row r="35" spans="1:6">
      <c r="A35" s="215">
        <v>41030</v>
      </c>
      <c r="B35" t="s">
        <v>835</v>
      </c>
      <c r="C35">
        <v>85</v>
      </c>
      <c r="D35" t="s">
        <v>836</v>
      </c>
      <c r="F35" t="s">
        <v>837</v>
      </c>
    </row>
    <row r="36" spans="1:6">
      <c r="A36" t="s">
        <v>839</v>
      </c>
      <c r="B36" t="s">
        <v>843</v>
      </c>
      <c r="C36">
        <v>85</v>
      </c>
      <c r="D36" t="s">
        <v>836</v>
      </c>
      <c r="F36" t="s">
        <v>837</v>
      </c>
    </row>
    <row r="37" spans="1:6">
      <c r="A37" t="s">
        <v>847</v>
      </c>
      <c r="B37" t="s">
        <v>843</v>
      </c>
      <c r="C37">
        <v>85</v>
      </c>
      <c r="D37" t="s">
        <v>836</v>
      </c>
      <c r="F37" t="s">
        <v>837</v>
      </c>
    </row>
    <row r="38" spans="1:6">
      <c r="A38" s="215">
        <v>41246</v>
      </c>
      <c r="B38" t="s">
        <v>835</v>
      </c>
      <c r="C38">
        <v>85</v>
      </c>
      <c r="D38" t="s">
        <v>836</v>
      </c>
      <c r="F38" t="s">
        <v>837</v>
      </c>
    </row>
    <row r="39" spans="1:6">
      <c r="A39" t="s">
        <v>854</v>
      </c>
      <c r="B39" t="s">
        <v>835</v>
      </c>
      <c r="C39">
        <v>85</v>
      </c>
      <c r="D39" t="s">
        <v>836</v>
      </c>
      <c r="F39" t="s">
        <v>837</v>
      </c>
    </row>
    <row r="40" spans="1:6">
      <c r="A40" t="s">
        <v>865</v>
      </c>
      <c r="B40" t="s">
        <v>835</v>
      </c>
      <c r="C40">
        <v>85</v>
      </c>
      <c r="D40" t="s">
        <v>836</v>
      </c>
      <c r="F40" t="s">
        <v>837</v>
      </c>
    </row>
    <row r="41" spans="1:6">
      <c r="A41" s="215" t="s">
        <v>915</v>
      </c>
      <c r="B41" t="s">
        <v>916</v>
      </c>
      <c r="C41">
        <v>5</v>
      </c>
      <c r="D41" t="s">
        <v>917</v>
      </c>
      <c r="F41" t="s">
        <v>837</v>
      </c>
    </row>
    <row r="42" spans="1:6">
      <c r="A42" t="s">
        <v>926</v>
      </c>
      <c r="B42" t="s">
        <v>843</v>
      </c>
      <c r="C42">
        <v>85</v>
      </c>
      <c r="D42" t="s">
        <v>836</v>
      </c>
      <c r="F42" t="s">
        <v>837</v>
      </c>
    </row>
    <row r="43" spans="1:6">
      <c r="A43" s="215">
        <v>41129</v>
      </c>
      <c r="B43" t="s">
        <v>843</v>
      </c>
      <c r="C43">
        <v>85</v>
      </c>
      <c r="D43" t="s">
        <v>836</v>
      </c>
      <c r="F43" t="s">
        <v>837</v>
      </c>
    </row>
    <row r="44" spans="1:6">
      <c r="A44" t="s">
        <v>928</v>
      </c>
      <c r="B44" t="s">
        <v>916</v>
      </c>
      <c r="C44">
        <v>7</v>
      </c>
      <c r="D44" t="s">
        <v>917</v>
      </c>
      <c r="F44" t="s">
        <v>837</v>
      </c>
    </row>
    <row r="45" spans="1:6">
      <c r="A45" s="215">
        <v>40948</v>
      </c>
      <c r="B45" t="s">
        <v>916</v>
      </c>
      <c r="C45">
        <f>7+10</f>
        <v>17</v>
      </c>
      <c r="D45" t="s">
        <v>917</v>
      </c>
      <c r="F45" t="s">
        <v>837</v>
      </c>
    </row>
    <row r="46" spans="1:6">
      <c r="A46" s="215">
        <v>40977</v>
      </c>
      <c r="B46" t="s">
        <v>931</v>
      </c>
      <c r="C46">
        <v>6</v>
      </c>
      <c r="D46" t="s">
        <v>932</v>
      </c>
      <c r="F46" t="s">
        <v>837</v>
      </c>
    </row>
    <row r="47" spans="1:6">
      <c r="A47" t="s">
        <v>933</v>
      </c>
      <c r="B47" t="s">
        <v>843</v>
      </c>
      <c r="C47">
        <v>85</v>
      </c>
      <c r="D47" t="s">
        <v>836</v>
      </c>
      <c r="F47" t="s">
        <v>837</v>
      </c>
    </row>
    <row r="48" spans="1:6">
      <c r="A48" s="215">
        <v>41162</v>
      </c>
      <c r="B48" t="s">
        <v>835</v>
      </c>
      <c r="C48">
        <v>85</v>
      </c>
      <c r="D48" t="s">
        <v>836</v>
      </c>
      <c r="F48" t="s">
        <v>837</v>
      </c>
    </row>
    <row r="49" spans="1:8">
      <c r="A49" t="s">
        <v>936</v>
      </c>
      <c r="B49" t="s">
        <v>835</v>
      </c>
      <c r="C49">
        <v>85</v>
      </c>
      <c r="D49" t="s">
        <v>836</v>
      </c>
      <c r="F49" t="s">
        <v>837</v>
      </c>
    </row>
    <row r="50" spans="1:8">
      <c r="A50" t="s">
        <v>939</v>
      </c>
      <c r="B50" t="s">
        <v>835</v>
      </c>
      <c r="C50">
        <v>85</v>
      </c>
      <c r="D50" t="s">
        <v>836</v>
      </c>
      <c r="F50" t="s">
        <v>837</v>
      </c>
    </row>
    <row r="51" spans="1:8">
      <c r="A51" t="s">
        <v>940</v>
      </c>
      <c r="B51" t="s">
        <v>843</v>
      </c>
      <c r="C51">
        <v>85</v>
      </c>
      <c r="D51" t="s">
        <v>836</v>
      </c>
      <c r="F51" t="s">
        <v>837</v>
      </c>
    </row>
    <row r="52" spans="1:8">
      <c r="A52" t="s">
        <v>943</v>
      </c>
      <c r="B52" t="s">
        <v>835</v>
      </c>
      <c r="C52">
        <v>85</v>
      </c>
      <c r="D52" t="s">
        <v>836</v>
      </c>
      <c r="F52" t="s">
        <v>837</v>
      </c>
    </row>
    <row r="54" spans="1:8" ht="13.5" thickBot="1">
      <c r="A54" s="2" t="s">
        <v>894</v>
      </c>
    </row>
    <row r="55" spans="1:8" ht="13.5" thickBot="1">
      <c r="A55" s="2"/>
      <c r="B55" s="242" t="s">
        <v>906</v>
      </c>
      <c r="C55" s="247">
        <f>SUM(C56:C64)</f>
        <v>1317.8</v>
      </c>
    </row>
    <row r="56" spans="1:8">
      <c r="A56" t="s">
        <v>855</v>
      </c>
      <c r="B56" t="s">
        <v>856</v>
      </c>
      <c r="C56">
        <v>1028.0999999999999</v>
      </c>
      <c r="D56" t="s">
        <v>876</v>
      </c>
      <c r="F56" t="s">
        <v>837</v>
      </c>
    </row>
    <row r="57" spans="1:8">
      <c r="A57" s="215">
        <v>41064</v>
      </c>
      <c r="B57" t="s">
        <v>857</v>
      </c>
      <c r="C57">
        <v>20</v>
      </c>
      <c r="D57" t="s">
        <v>858</v>
      </c>
      <c r="F57" t="s">
        <v>837</v>
      </c>
    </row>
    <row r="58" spans="1:8">
      <c r="A58" t="s">
        <v>859</v>
      </c>
      <c r="B58" t="s">
        <v>860</v>
      </c>
      <c r="C58">
        <v>5</v>
      </c>
      <c r="D58" t="s">
        <v>861</v>
      </c>
      <c r="F58" t="s">
        <v>837</v>
      </c>
    </row>
    <row r="59" spans="1:8">
      <c r="A59" t="s">
        <v>17</v>
      </c>
      <c r="B59" t="s">
        <v>862</v>
      </c>
      <c r="C59">
        <v>50</v>
      </c>
      <c r="D59" t="s">
        <v>863</v>
      </c>
      <c r="H59" t="s">
        <v>864</v>
      </c>
    </row>
    <row r="60" spans="1:8">
      <c r="A60" t="s">
        <v>873</v>
      </c>
      <c r="B60" t="s">
        <v>874</v>
      </c>
      <c r="C60">
        <v>77.7</v>
      </c>
      <c r="D60" t="s">
        <v>875</v>
      </c>
      <c r="F60" t="s">
        <v>837</v>
      </c>
    </row>
    <row r="61" spans="1:8">
      <c r="A61" s="215">
        <v>40973</v>
      </c>
      <c r="B61" t="s">
        <v>860</v>
      </c>
      <c r="C61">
        <v>25</v>
      </c>
      <c r="D61" t="s">
        <v>861</v>
      </c>
      <c r="F61" t="s">
        <v>837</v>
      </c>
    </row>
    <row r="62" spans="1:8">
      <c r="A62" s="215">
        <v>40944</v>
      </c>
      <c r="B62" t="s">
        <v>835</v>
      </c>
      <c r="C62">
        <v>22</v>
      </c>
      <c r="D62" t="s">
        <v>836</v>
      </c>
      <c r="F62" t="s">
        <v>837</v>
      </c>
    </row>
    <row r="63" spans="1:8">
      <c r="A63" s="215">
        <v>40973</v>
      </c>
      <c r="B63" t="s">
        <v>835</v>
      </c>
      <c r="C63">
        <v>30</v>
      </c>
      <c r="D63" t="s">
        <v>861</v>
      </c>
      <c r="F63" t="s">
        <v>837</v>
      </c>
    </row>
    <row r="64" spans="1:8">
      <c r="A64" s="215" t="s">
        <v>900</v>
      </c>
      <c r="B64" t="s">
        <v>860</v>
      </c>
      <c r="C64">
        <v>60</v>
      </c>
      <c r="D64" t="s">
        <v>876</v>
      </c>
      <c r="F64" t="s">
        <v>837</v>
      </c>
    </row>
    <row r="65" spans="1:7">
      <c r="A65" s="215"/>
    </row>
    <row r="67" spans="1:7" ht="13.5" thickBot="1">
      <c r="A67" s="2" t="s">
        <v>791</v>
      </c>
    </row>
    <row r="68" spans="1:7" ht="13.5" thickBot="1">
      <c r="A68" s="2"/>
      <c r="B68" s="242" t="s">
        <v>907</v>
      </c>
      <c r="C68" s="247">
        <f>E69+E83+E98+E112+E121</f>
        <v>3966.2033333333338</v>
      </c>
    </row>
    <row r="69" spans="1:7">
      <c r="A69" s="35" t="s">
        <v>967</v>
      </c>
      <c r="E69" s="2">
        <f>SUM(C70:C82)</f>
        <v>963.91</v>
      </c>
      <c r="G69" s="248"/>
    </row>
    <row r="70" spans="1:7">
      <c r="A70" s="215">
        <v>41000</v>
      </c>
      <c r="B70" t="s">
        <v>793</v>
      </c>
      <c r="C70">
        <v>74.63</v>
      </c>
      <c r="D70" t="s">
        <v>115</v>
      </c>
      <c r="F70" t="s">
        <v>828</v>
      </c>
    </row>
    <row r="71" spans="1:7">
      <c r="A71" s="215">
        <v>41001</v>
      </c>
      <c r="B71" t="s">
        <v>793</v>
      </c>
      <c r="C71">
        <v>74.63</v>
      </c>
      <c r="D71" t="s">
        <v>115</v>
      </c>
      <c r="F71" t="s">
        <v>828</v>
      </c>
    </row>
    <row r="72" spans="1:7">
      <c r="A72" s="215">
        <v>40943</v>
      </c>
      <c r="B72" t="s">
        <v>793</v>
      </c>
      <c r="C72">
        <v>74.63</v>
      </c>
      <c r="D72" s="215" t="s">
        <v>115</v>
      </c>
      <c r="F72" t="s">
        <v>828</v>
      </c>
    </row>
    <row r="73" spans="1:7">
      <c r="A73" s="215">
        <v>40971</v>
      </c>
      <c r="B73" t="s">
        <v>793</v>
      </c>
      <c r="C73">
        <v>75.78</v>
      </c>
      <c r="D73" t="s">
        <v>115</v>
      </c>
      <c r="F73" t="s">
        <v>851</v>
      </c>
    </row>
    <row r="74" spans="1:7">
      <c r="A74" s="215">
        <v>40972</v>
      </c>
      <c r="B74" t="s">
        <v>793</v>
      </c>
      <c r="C74">
        <v>73.28</v>
      </c>
      <c r="D74" t="s">
        <v>115</v>
      </c>
      <c r="F74" t="s">
        <v>851</v>
      </c>
    </row>
    <row r="75" spans="1:7">
      <c r="A75" s="215">
        <v>40973</v>
      </c>
      <c r="B75" t="s">
        <v>793</v>
      </c>
      <c r="C75">
        <v>72.069999999999993</v>
      </c>
      <c r="D75" t="s">
        <v>115</v>
      </c>
      <c r="F75" t="s">
        <v>851</v>
      </c>
    </row>
    <row r="76" spans="1:7">
      <c r="A76" s="215">
        <v>40974</v>
      </c>
      <c r="B76" t="s">
        <v>793</v>
      </c>
      <c r="C76">
        <v>71.86</v>
      </c>
      <c r="D76" t="s">
        <v>115</v>
      </c>
      <c r="F76" t="s">
        <v>851</v>
      </c>
    </row>
    <row r="77" spans="1:7">
      <c r="A77" s="215">
        <v>40975</v>
      </c>
      <c r="B77" t="s">
        <v>793</v>
      </c>
      <c r="C77">
        <v>74.099999999999994</v>
      </c>
      <c r="D77" t="s">
        <v>115</v>
      </c>
      <c r="F77" t="s">
        <v>851</v>
      </c>
    </row>
    <row r="78" spans="1:7">
      <c r="A78" s="215">
        <v>41007</v>
      </c>
      <c r="B78" t="s">
        <v>793</v>
      </c>
      <c r="C78">
        <v>75.33</v>
      </c>
      <c r="D78" t="s">
        <v>115</v>
      </c>
      <c r="F78" t="s">
        <v>851</v>
      </c>
    </row>
    <row r="79" spans="1:7">
      <c r="A79" s="215">
        <v>40977</v>
      </c>
      <c r="B79" t="s">
        <v>793</v>
      </c>
      <c r="C79">
        <v>71.540000000000006</v>
      </c>
      <c r="D79" t="s">
        <v>115</v>
      </c>
      <c r="F79" t="s">
        <v>851</v>
      </c>
    </row>
    <row r="80" spans="1:7">
      <c r="A80" s="215">
        <v>40978</v>
      </c>
      <c r="B80" t="s">
        <v>793</v>
      </c>
      <c r="C80">
        <v>77.86</v>
      </c>
      <c r="D80" t="s">
        <v>115</v>
      </c>
      <c r="F80" t="s">
        <v>851</v>
      </c>
    </row>
    <row r="81" spans="1:6">
      <c r="A81" s="215">
        <v>40979</v>
      </c>
      <c r="B81" t="s">
        <v>793</v>
      </c>
      <c r="C81">
        <v>74.739999999999995</v>
      </c>
      <c r="D81" t="s">
        <v>115</v>
      </c>
      <c r="F81" t="s">
        <v>851</v>
      </c>
    </row>
    <row r="82" spans="1:6">
      <c r="A82" s="215">
        <v>40980</v>
      </c>
      <c r="B82" t="s">
        <v>793</v>
      </c>
      <c r="C82">
        <v>73.459999999999994</v>
      </c>
      <c r="D82" t="s">
        <v>115</v>
      </c>
      <c r="F82" t="s">
        <v>851</v>
      </c>
    </row>
    <row r="83" spans="1:6">
      <c r="A83" s="243" t="s">
        <v>964</v>
      </c>
      <c r="E83" s="2">
        <f>SUM(C84:C97)</f>
        <v>772.68000000000006</v>
      </c>
    </row>
    <row r="84" spans="1:6">
      <c r="A84" s="215" t="s">
        <v>830</v>
      </c>
      <c r="B84" t="s">
        <v>831</v>
      </c>
      <c r="C84">
        <v>61.93</v>
      </c>
      <c r="D84" t="s">
        <v>832</v>
      </c>
      <c r="F84" t="s">
        <v>229</v>
      </c>
    </row>
    <row r="85" spans="1:6">
      <c r="A85" s="215" t="s">
        <v>833</v>
      </c>
      <c r="B85" t="s">
        <v>831</v>
      </c>
      <c r="C85">
        <v>65.14</v>
      </c>
      <c r="D85" t="s">
        <v>832</v>
      </c>
      <c r="F85" t="s">
        <v>229</v>
      </c>
    </row>
    <row r="86" spans="1:6">
      <c r="A86" s="215" t="s">
        <v>844</v>
      </c>
      <c r="B86" t="s">
        <v>845</v>
      </c>
      <c r="C86">
        <v>53.94</v>
      </c>
      <c r="D86" t="s">
        <v>846</v>
      </c>
      <c r="F86" t="s">
        <v>837</v>
      </c>
    </row>
    <row r="87" spans="1:6">
      <c r="A87" s="215" t="s">
        <v>871</v>
      </c>
      <c r="B87" t="s">
        <v>845</v>
      </c>
      <c r="C87">
        <v>3.27</v>
      </c>
      <c r="D87" t="s">
        <v>846</v>
      </c>
      <c r="F87" t="s">
        <v>837</v>
      </c>
    </row>
    <row r="88" spans="1:6">
      <c r="A88" s="215" t="s">
        <v>872</v>
      </c>
      <c r="B88" t="s">
        <v>831</v>
      </c>
      <c r="C88">
        <v>130.28</v>
      </c>
      <c r="D88" t="s">
        <v>832</v>
      </c>
      <c r="F88" t="s">
        <v>837</v>
      </c>
    </row>
    <row r="89" spans="1:6">
      <c r="A89" s="215" t="s">
        <v>899</v>
      </c>
      <c r="B89" t="s">
        <v>845</v>
      </c>
      <c r="C89">
        <v>10</v>
      </c>
      <c r="D89" t="s">
        <v>846</v>
      </c>
      <c r="F89" t="s">
        <v>837</v>
      </c>
    </row>
    <row r="90" spans="1:6">
      <c r="A90" s="215">
        <v>40945</v>
      </c>
      <c r="B90" t="s">
        <v>831</v>
      </c>
      <c r="C90">
        <v>66.319999999999993</v>
      </c>
      <c r="D90" t="s">
        <v>832</v>
      </c>
      <c r="F90" t="s">
        <v>837</v>
      </c>
    </row>
    <row r="91" spans="1:6">
      <c r="A91" s="215" t="s">
        <v>918</v>
      </c>
      <c r="B91" t="s">
        <v>845</v>
      </c>
      <c r="C91">
        <v>3.27</v>
      </c>
      <c r="D91" t="s">
        <v>846</v>
      </c>
      <c r="F91" t="s">
        <v>837</v>
      </c>
    </row>
    <row r="92" spans="1:6">
      <c r="A92" s="215">
        <v>40975</v>
      </c>
      <c r="B92" t="s">
        <v>831</v>
      </c>
      <c r="C92">
        <v>66.319999999999993</v>
      </c>
      <c r="D92" t="s">
        <v>832</v>
      </c>
      <c r="F92" t="s">
        <v>837</v>
      </c>
    </row>
    <row r="93" spans="1:6">
      <c r="A93" s="215">
        <v>40976</v>
      </c>
      <c r="B93" t="s">
        <v>831</v>
      </c>
      <c r="C93">
        <v>60.34</v>
      </c>
      <c r="D93" t="s">
        <v>832</v>
      </c>
      <c r="F93" t="s">
        <v>837</v>
      </c>
    </row>
    <row r="94" spans="1:6">
      <c r="A94" s="215">
        <v>40948</v>
      </c>
      <c r="B94" t="s">
        <v>831</v>
      </c>
      <c r="C94">
        <v>62.97</v>
      </c>
      <c r="D94" t="s">
        <v>832</v>
      </c>
      <c r="F94" t="s">
        <v>837</v>
      </c>
    </row>
    <row r="95" spans="1:6">
      <c r="A95" s="215">
        <v>40978</v>
      </c>
      <c r="B95" t="s">
        <v>831</v>
      </c>
      <c r="C95">
        <v>62.97</v>
      </c>
      <c r="D95" t="s">
        <v>832</v>
      </c>
      <c r="F95" t="s">
        <v>837</v>
      </c>
    </row>
    <row r="96" spans="1:6">
      <c r="A96" s="215">
        <v>40950</v>
      </c>
      <c r="B96" t="s">
        <v>831</v>
      </c>
      <c r="C96">
        <v>62.96</v>
      </c>
      <c r="D96" t="s">
        <v>832</v>
      </c>
      <c r="F96" t="s">
        <v>837</v>
      </c>
    </row>
    <row r="97" spans="1:6">
      <c r="A97" s="215">
        <v>40980</v>
      </c>
      <c r="B97" t="s">
        <v>831</v>
      </c>
      <c r="C97">
        <v>62.97</v>
      </c>
      <c r="D97" t="s">
        <v>832</v>
      </c>
      <c r="F97" t="s">
        <v>837</v>
      </c>
    </row>
    <row r="98" spans="1:6">
      <c r="A98" s="243" t="s">
        <v>810</v>
      </c>
      <c r="E98" s="2">
        <f>SUM(C99:C111)</f>
        <v>1742.8500000000001</v>
      </c>
    </row>
    <row r="99" spans="1:6">
      <c r="A99" s="215">
        <v>41153</v>
      </c>
      <c r="B99" t="s">
        <v>825</v>
      </c>
      <c r="C99">
        <v>7.05</v>
      </c>
      <c r="D99" t="s">
        <v>838</v>
      </c>
      <c r="F99" t="s">
        <v>870</v>
      </c>
    </row>
    <row r="100" spans="1:6">
      <c r="A100" s="215" t="s">
        <v>840</v>
      </c>
      <c r="B100" t="s">
        <v>841</v>
      </c>
      <c r="C100">
        <v>199</v>
      </c>
      <c r="D100" t="s">
        <v>842</v>
      </c>
      <c r="F100" t="s">
        <v>870</v>
      </c>
    </row>
    <row r="101" spans="1:6">
      <c r="A101" s="215" t="s">
        <v>848</v>
      </c>
      <c r="B101" t="s">
        <v>849</v>
      </c>
      <c r="C101">
        <v>135</v>
      </c>
      <c r="D101" t="s">
        <v>850</v>
      </c>
      <c r="F101" t="s">
        <v>870</v>
      </c>
    </row>
    <row r="102" spans="1:6">
      <c r="A102" s="215" t="s">
        <v>824</v>
      </c>
      <c r="B102" t="s">
        <v>825</v>
      </c>
      <c r="C102">
        <v>44.41</v>
      </c>
      <c r="D102" t="s">
        <v>826</v>
      </c>
      <c r="F102" t="s">
        <v>828</v>
      </c>
    </row>
    <row r="103" spans="1:6">
      <c r="A103" s="215" t="s">
        <v>827</v>
      </c>
      <c r="B103" t="s">
        <v>825</v>
      </c>
      <c r="C103">
        <v>11.08</v>
      </c>
      <c r="D103" t="s">
        <v>826</v>
      </c>
      <c r="F103" t="s">
        <v>829</v>
      </c>
    </row>
    <row r="104" spans="1:6">
      <c r="A104" s="215" t="s">
        <v>868</v>
      </c>
      <c r="B104" t="s">
        <v>869</v>
      </c>
      <c r="C104">
        <v>4.74</v>
      </c>
      <c r="D104" t="s">
        <v>826</v>
      </c>
      <c r="F104" t="s">
        <v>837</v>
      </c>
    </row>
    <row r="105" spans="1:6">
      <c r="A105" s="215">
        <v>40913</v>
      </c>
      <c r="B105" t="s">
        <v>825</v>
      </c>
      <c r="C105">
        <v>10.93</v>
      </c>
      <c r="D105" t="s">
        <v>826</v>
      </c>
      <c r="F105" t="s">
        <v>837</v>
      </c>
    </row>
    <row r="106" spans="1:6">
      <c r="A106" s="215">
        <v>41097</v>
      </c>
      <c r="B106" t="s">
        <v>825</v>
      </c>
      <c r="C106">
        <v>21.99</v>
      </c>
      <c r="D106" t="s">
        <v>826</v>
      </c>
      <c r="F106" t="s">
        <v>837</v>
      </c>
    </row>
    <row r="107" spans="1:6">
      <c r="A107" s="215" t="s">
        <v>922</v>
      </c>
      <c r="B107" t="s">
        <v>825</v>
      </c>
      <c r="C107">
        <v>40.119999999999997</v>
      </c>
      <c r="D107" t="s">
        <v>826</v>
      </c>
      <c r="F107" t="s">
        <v>837</v>
      </c>
    </row>
    <row r="108" spans="1:6">
      <c r="A108" s="215" t="s">
        <v>934</v>
      </c>
      <c r="B108" t="s">
        <v>935</v>
      </c>
      <c r="C108">
        <v>57.36</v>
      </c>
      <c r="D108" t="s">
        <v>826</v>
      </c>
      <c r="F108" t="s">
        <v>837</v>
      </c>
    </row>
    <row r="109" spans="1:6">
      <c r="A109" s="215">
        <v>41132</v>
      </c>
      <c r="B109" t="s">
        <v>825</v>
      </c>
      <c r="C109">
        <v>5.98</v>
      </c>
      <c r="D109" t="s">
        <v>826</v>
      </c>
      <c r="F109" t="s">
        <v>837</v>
      </c>
    </row>
    <row r="110" spans="1:6">
      <c r="A110" s="215">
        <v>41255</v>
      </c>
      <c r="B110" t="s">
        <v>941</v>
      </c>
      <c r="C110">
        <v>1191.22</v>
      </c>
      <c r="D110" t="s">
        <v>942</v>
      </c>
      <c r="F110" t="s">
        <v>837</v>
      </c>
    </row>
    <row r="111" spans="1:6">
      <c r="A111" t="s">
        <v>946</v>
      </c>
      <c r="B111" t="s">
        <v>825</v>
      </c>
      <c r="C111">
        <v>13.97</v>
      </c>
      <c r="D111" t="s">
        <v>947</v>
      </c>
      <c r="F111" t="s">
        <v>837</v>
      </c>
    </row>
    <row r="112" spans="1:6">
      <c r="A112" s="243" t="s">
        <v>811</v>
      </c>
      <c r="E112" s="2">
        <f>SUM(C113:C120)</f>
        <v>126.1</v>
      </c>
    </row>
    <row r="113" spans="1:6">
      <c r="A113" s="215">
        <v>41186</v>
      </c>
      <c r="B113" t="s">
        <v>834</v>
      </c>
      <c r="C113">
        <v>10</v>
      </c>
      <c r="D113" t="s">
        <v>961</v>
      </c>
    </row>
    <row r="114" spans="1:6">
      <c r="A114" t="s">
        <v>818</v>
      </c>
      <c r="B114" t="s">
        <v>819</v>
      </c>
      <c r="C114">
        <v>27.99</v>
      </c>
      <c r="D114" t="s">
        <v>820</v>
      </c>
      <c r="F114" t="s">
        <v>829</v>
      </c>
    </row>
    <row r="115" spans="1:6">
      <c r="A115" t="s">
        <v>818</v>
      </c>
      <c r="B115" t="s">
        <v>819</v>
      </c>
      <c r="C115">
        <v>3.6</v>
      </c>
      <c r="D115" t="s">
        <v>821</v>
      </c>
      <c r="F115" t="s">
        <v>829</v>
      </c>
    </row>
    <row r="116" spans="1:6">
      <c r="A116" t="s">
        <v>901</v>
      </c>
      <c r="B116" t="s">
        <v>819</v>
      </c>
      <c r="C116">
        <v>5.87</v>
      </c>
      <c r="D116" t="s">
        <v>902</v>
      </c>
      <c r="F116" t="s">
        <v>837</v>
      </c>
    </row>
    <row r="117" spans="1:6">
      <c r="A117" t="s">
        <v>920</v>
      </c>
      <c r="B117" t="s">
        <v>819</v>
      </c>
      <c r="C117">
        <v>39.950000000000003</v>
      </c>
      <c r="D117" t="s">
        <v>921</v>
      </c>
      <c r="F117" t="s">
        <v>837</v>
      </c>
    </row>
    <row r="118" spans="1:6">
      <c r="A118" t="s">
        <v>923</v>
      </c>
      <c r="B118" t="s">
        <v>924</v>
      </c>
      <c r="C118">
        <v>4.5</v>
      </c>
      <c r="D118" t="s">
        <v>925</v>
      </c>
      <c r="F118" t="s">
        <v>837</v>
      </c>
    </row>
    <row r="119" spans="1:6">
      <c r="A119" t="s">
        <v>937</v>
      </c>
      <c r="B119" t="s">
        <v>819</v>
      </c>
      <c r="C119">
        <v>5.99</v>
      </c>
      <c r="D119" t="s">
        <v>938</v>
      </c>
      <c r="F119" t="s">
        <v>837</v>
      </c>
    </row>
    <row r="120" spans="1:6">
      <c r="A120" t="s">
        <v>944</v>
      </c>
      <c r="B120" t="s">
        <v>924</v>
      </c>
      <c r="C120">
        <v>28.2</v>
      </c>
      <c r="D120" t="s">
        <v>925</v>
      </c>
      <c r="F120" t="s">
        <v>837</v>
      </c>
    </row>
    <row r="121" spans="1:6">
      <c r="A121" s="35" t="s">
        <v>956</v>
      </c>
      <c r="E121" s="2">
        <f>SUM(C122:C125)</f>
        <v>360.6633333333333</v>
      </c>
    </row>
    <row r="122" spans="1:6">
      <c r="A122" t="s">
        <v>866</v>
      </c>
      <c r="B122" t="s">
        <v>867</v>
      </c>
      <c r="C122">
        <f>195/3</f>
        <v>65</v>
      </c>
      <c r="D122" t="s">
        <v>953</v>
      </c>
      <c r="F122" t="s">
        <v>837</v>
      </c>
    </row>
    <row r="123" spans="1:6">
      <c r="A123" t="s">
        <v>884</v>
      </c>
      <c r="B123" t="s">
        <v>885</v>
      </c>
      <c r="C123">
        <f>49.99/3</f>
        <v>16.663333333333334</v>
      </c>
      <c r="D123" t="s">
        <v>952</v>
      </c>
      <c r="F123" t="s">
        <v>837</v>
      </c>
    </row>
    <row r="124" spans="1:6">
      <c r="A124" t="s">
        <v>884</v>
      </c>
      <c r="B124" t="s">
        <v>886</v>
      </c>
      <c r="C124">
        <f>438/3</f>
        <v>146</v>
      </c>
      <c r="D124" t="s">
        <v>954</v>
      </c>
      <c r="F124" t="s">
        <v>837</v>
      </c>
    </row>
    <row r="125" spans="1:6">
      <c r="A125" t="s">
        <v>927</v>
      </c>
      <c r="B125" t="s">
        <v>867</v>
      </c>
      <c r="C125">
        <f>399/3</f>
        <v>133</v>
      </c>
      <c r="D125" t="s">
        <v>955</v>
      </c>
      <c r="F125" t="s">
        <v>837</v>
      </c>
    </row>
    <row r="127" spans="1:6" ht="13.5" thickBot="1"/>
    <row r="128" spans="1:6" ht="13.5" thickBot="1">
      <c r="A128" s="2" t="s">
        <v>792</v>
      </c>
      <c r="C128" s="240">
        <f>SUM(C129:C148)</f>
        <v>685.51</v>
      </c>
      <c r="D128" s="242" t="s">
        <v>908</v>
      </c>
      <c r="E128" s="247">
        <f>0.5*C128</f>
        <v>342.755</v>
      </c>
    </row>
    <row r="129" spans="1:6">
      <c r="A129" t="s">
        <v>814</v>
      </c>
      <c r="B129" t="s">
        <v>815</v>
      </c>
      <c r="C129">
        <v>18.05</v>
      </c>
      <c r="D129" t="s">
        <v>817</v>
      </c>
      <c r="F129" t="s">
        <v>829</v>
      </c>
    </row>
    <row r="130" spans="1:6">
      <c r="A130" t="s">
        <v>852</v>
      </c>
      <c r="B130" t="s">
        <v>815</v>
      </c>
      <c r="C130">
        <v>20</v>
      </c>
      <c r="D130" t="s">
        <v>853</v>
      </c>
    </row>
    <row r="131" spans="1:6">
      <c r="A131" t="s">
        <v>877</v>
      </c>
      <c r="B131" t="s">
        <v>878</v>
      </c>
      <c r="C131">
        <v>7.21</v>
      </c>
      <c r="D131" t="s">
        <v>881</v>
      </c>
      <c r="F131" t="s">
        <v>896</v>
      </c>
    </row>
    <row r="132" spans="1:6">
      <c r="A132" t="s">
        <v>879</v>
      </c>
      <c r="B132" t="s">
        <v>880</v>
      </c>
      <c r="C132">
        <v>7.16</v>
      </c>
      <c r="D132" t="s">
        <v>881</v>
      </c>
    </row>
    <row r="133" spans="1:6">
      <c r="A133" t="s">
        <v>882</v>
      </c>
      <c r="B133" t="s">
        <v>883</v>
      </c>
      <c r="C133">
        <v>8.5500000000000007</v>
      </c>
      <c r="D133" t="s">
        <v>881</v>
      </c>
    </row>
    <row r="134" spans="1:6">
      <c r="A134" s="215">
        <v>40913</v>
      </c>
      <c r="B134" t="s">
        <v>887</v>
      </c>
      <c r="C134">
        <v>125</v>
      </c>
      <c r="D134" t="s">
        <v>888</v>
      </c>
      <c r="F134" t="s">
        <v>895</v>
      </c>
    </row>
    <row r="135" spans="1:6">
      <c r="A135" s="215">
        <v>40913</v>
      </c>
      <c r="B135" t="s">
        <v>887</v>
      </c>
      <c r="C135">
        <v>90</v>
      </c>
      <c r="D135" t="s">
        <v>888</v>
      </c>
    </row>
    <row r="136" spans="1:6">
      <c r="A136" s="215">
        <v>40913</v>
      </c>
      <c r="B136" t="s">
        <v>889</v>
      </c>
      <c r="C136">
        <v>20</v>
      </c>
      <c r="D136" t="s">
        <v>888</v>
      </c>
    </row>
    <row r="137" spans="1:6">
      <c r="A137" s="215">
        <v>40913</v>
      </c>
      <c r="B137" t="s">
        <v>889</v>
      </c>
      <c r="C137">
        <v>40</v>
      </c>
      <c r="D137" t="s">
        <v>888</v>
      </c>
    </row>
    <row r="138" spans="1:6">
      <c r="A138" s="215">
        <v>40913</v>
      </c>
      <c r="B138" t="s">
        <v>890</v>
      </c>
      <c r="C138">
        <v>99</v>
      </c>
      <c r="D138" t="s">
        <v>888</v>
      </c>
    </row>
    <row r="139" spans="1:6">
      <c r="A139" s="215">
        <v>40913</v>
      </c>
      <c r="B139" t="s">
        <v>890</v>
      </c>
      <c r="C139">
        <v>24</v>
      </c>
      <c r="D139" t="s">
        <v>888</v>
      </c>
    </row>
    <row r="140" spans="1:6">
      <c r="A140" s="215">
        <v>40913</v>
      </c>
      <c r="B140" t="s">
        <v>891</v>
      </c>
      <c r="C140">
        <v>40</v>
      </c>
      <c r="D140" t="s">
        <v>892</v>
      </c>
    </row>
    <row r="141" spans="1:6">
      <c r="A141" s="215">
        <v>40913</v>
      </c>
      <c r="B141" t="s">
        <v>893</v>
      </c>
      <c r="C141">
        <v>47.94</v>
      </c>
      <c r="D141" t="s">
        <v>888</v>
      </c>
    </row>
    <row r="142" spans="1:6">
      <c r="A142" s="215">
        <v>40973</v>
      </c>
      <c r="B142" t="s">
        <v>897</v>
      </c>
      <c r="C142">
        <v>9.7899999999999991</v>
      </c>
      <c r="D142" t="s">
        <v>898</v>
      </c>
    </row>
    <row r="143" spans="1:6">
      <c r="A143" t="s">
        <v>901</v>
      </c>
      <c r="B143" t="s">
        <v>903</v>
      </c>
      <c r="C143">
        <v>40.31</v>
      </c>
      <c r="D143" t="s">
        <v>892</v>
      </c>
    </row>
    <row r="144" spans="1:6">
      <c r="A144" s="215">
        <v>40946</v>
      </c>
      <c r="B144" t="s">
        <v>919</v>
      </c>
      <c r="C144">
        <v>27</v>
      </c>
      <c r="D144" t="s">
        <v>892</v>
      </c>
    </row>
    <row r="145" spans="1:4">
      <c r="A145" t="s">
        <v>929</v>
      </c>
      <c r="B145" t="s">
        <v>930</v>
      </c>
      <c r="C145">
        <v>1.5</v>
      </c>
      <c r="D145" t="s">
        <v>816</v>
      </c>
    </row>
    <row r="146" spans="1:4">
      <c r="A146" s="215">
        <v>41254</v>
      </c>
      <c r="B146" t="s">
        <v>919</v>
      </c>
      <c r="C146">
        <v>20</v>
      </c>
      <c r="D146" t="s">
        <v>892</v>
      </c>
    </row>
    <row r="147" spans="1:4">
      <c r="A147" t="s">
        <v>945</v>
      </c>
      <c r="B147" t="s">
        <v>815</v>
      </c>
      <c r="C147">
        <v>40</v>
      </c>
      <c r="D147" t="s">
        <v>853</v>
      </c>
    </row>
  </sheetData>
  <sheetProtection selectLockedCells="1" selectUnlockedCells="1"/>
  <pageMargins left="0.55118110236220474" right="0.47244094488188981" top="0.62992125984251968" bottom="0.39370078740157483" header="0.51181102362204722" footer="0.31496062992125984"/>
  <pageSetup firstPageNumber="0"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dimension ref="A1"/>
  <sheetViews>
    <sheetView workbookViewId="0">
      <pane ySplit="1"/>
      <selection pane="bottomLeft"/>
    </sheetView>
  </sheetViews>
  <sheetFormatPr defaultRowHeight="12.75"/>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J65536"/>
  <sheetViews>
    <sheetView topLeftCell="A79" zoomScale="84" zoomScaleNormal="84" workbookViewId="0">
      <pane ySplit="1" topLeftCell="A106" activePane="bottomLeft"/>
      <selection activeCell="J92" sqref="J92"/>
      <selection pane="bottomLeft" activeCell="F126" sqref="F126"/>
    </sheetView>
  </sheetViews>
  <sheetFormatPr defaultColWidth="9.42578125" defaultRowHeight="13.5"/>
  <cols>
    <col min="1" max="1" width="31.7109375" style="14" customWidth="1"/>
    <col min="2" max="2" width="13.85546875" style="14" customWidth="1"/>
    <col min="3" max="3" width="13.42578125" style="14" customWidth="1"/>
    <col min="4" max="4" width="12.140625" style="14" customWidth="1"/>
    <col min="5" max="5" width="11.7109375" style="14" customWidth="1"/>
    <col min="6" max="6" width="13.85546875" style="14" customWidth="1"/>
    <col min="7" max="9" width="13.5703125" style="14" customWidth="1"/>
    <col min="10" max="16384" width="9.42578125" style="14"/>
  </cols>
  <sheetData>
    <row r="1" spans="1:5" ht="12.75" customHeight="1">
      <c r="A1" s="14" t="s">
        <v>39</v>
      </c>
    </row>
    <row r="2" spans="1:5" ht="12.75" customHeight="1">
      <c r="A2" s="14" t="s">
        <v>40</v>
      </c>
    </row>
    <row r="3" spans="1:5" ht="12.75" customHeight="1">
      <c r="A3" s="14" t="s">
        <v>41</v>
      </c>
    </row>
    <row r="4" spans="1:5">
      <c r="A4" s="14" t="s">
        <v>42</v>
      </c>
    </row>
    <row r="7" spans="1:5" ht="12.75" customHeight="1">
      <c r="A7" s="14" t="s">
        <v>43</v>
      </c>
      <c r="D7" s="14" t="s">
        <v>44</v>
      </c>
      <c r="E7" s="14" t="s">
        <v>44</v>
      </c>
    </row>
    <row r="8" spans="1:5" ht="13.5" customHeight="1">
      <c r="A8" s="14" t="s">
        <v>45</v>
      </c>
      <c r="D8" s="14">
        <f>2900*26</f>
        <v>75400</v>
      </c>
      <c r="E8" s="14">
        <f>D8</f>
        <v>75400</v>
      </c>
    </row>
    <row r="9" spans="1:5" ht="12.75" customHeight="1">
      <c r="A9" s="14" t="s">
        <v>46</v>
      </c>
      <c r="D9" s="14">
        <v>0</v>
      </c>
      <c r="E9" s="14">
        <f>D9</f>
        <v>0</v>
      </c>
    </row>
    <row r="10" spans="1:5" ht="12.75" customHeight="1">
      <c r="C10" s="15" t="s">
        <v>47</v>
      </c>
      <c r="D10" s="16">
        <f>SUM(D8:D9)</f>
        <v>75400</v>
      </c>
      <c r="E10" s="16">
        <f>SUM(E8:E9)</f>
        <v>75400</v>
      </c>
    </row>
    <row r="13" spans="1:5" ht="12.75" customHeight="1">
      <c r="A13" s="14" t="s">
        <v>48</v>
      </c>
      <c r="D13" s="14" t="s">
        <v>49</v>
      </c>
      <c r="E13" s="14" t="s">
        <v>50</v>
      </c>
    </row>
    <row r="14" spans="1:5" ht="12.75" customHeight="1">
      <c r="A14" s="14" t="s">
        <v>51</v>
      </c>
      <c r="B14" s="14" t="s">
        <v>52</v>
      </c>
      <c r="D14" s="14">
        <v>0</v>
      </c>
      <c r="E14" s="14">
        <v>0</v>
      </c>
    </row>
    <row r="15" spans="1:5" ht="12.75" customHeight="1">
      <c r="A15" s="14" t="s">
        <v>53</v>
      </c>
    </row>
    <row r="16" spans="1:5" ht="12.75" customHeight="1">
      <c r="A16" s="17" t="s">
        <v>54</v>
      </c>
      <c r="B16" s="14" t="s">
        <v>55</v>
      </c>
      <c r="D16" s="14">
        <v>115</v>
      </c>
      <c r="E16" s="14">
        <v>115</v>
      </c>
    </row>
    <row r="17" spans="1:6" ht="12.75" customHeight="1">
      <c r="A17" s="17" t="s">
        <v>56</v>
      </c>
      <c r="B17" s="14" t="s">
        <v>57</v>
      </c>
      <c r="D17" s="14">
        <v>50</v>
      </c>
      <c r="E17" s="14">
        <v>40</v>
      </c>
    </row>
    <row r="18" spans="1:6" ht="12.75" customHeight="1">
      <c r="A18" s="17" t="s">
        <v>58</v>
      </c>
      <c r="B18" s="14" t="s">
        <v>59</v>
      </c>
      <c r="D18" s="14">
        <f>810/12</f>
        <v>67.5</v>
      </c>
      <c r="E18" s="14">
        <f>675/12</f>
        <v>56.25</v>
      </c>
    </row>
    <row r="19" spans="1:6" ht="12.75" customHeight="1">
      <c r="A19" s="17" t="s">
        <v>60</v>
      </c>
      <c r="B19" s="14" t="s">
        <v>61</v>
      </c>
      <c r="D19" s="14">
        <f>1200/12</f>
        <v>100</v>
      </c>
      <c r="E19" s="14">
        <v>1200</v>
      </c>
      <c r="F19" s="14" t="s">
        <v>62</v>
      </c>
    </row>
    <row r="20" spans="1:6" ht="12.75" customHeight="1">
      <c r="A20" s="17"/>
      <c r="B20" s="14" t="s">
        <v>63</v>
      </c>
      <c r="D20" s="18">
        <f>SUM(D16:D19)</f>
        <v>332.5</v>
      </c>
      <c r="E20" s="18">
        <f>SUM(E16:E19)</f>
        <v>1411.25</v>
      </c>
    </row>
    <row r="21" spans="1:6" ht="12.75" customHeight="1">
      <c r="A21" s="17"/>
      <c r="D21" s="19"/>
      <c r="E21" s="19"/>
    </row>
    <row r="22" spans="1:6" ht="12.75" customHeight="1">
      <c r="A22" s="14" t="s">
        <v>64</v>
      </c>
      <c r="B22" s="14" t="s">
        <v>65</v>
      </c>
      <c r="D22" s="14">
        <v>61.92</v>
      </c>
      <c r="E22" s="14">
        <v>61.92</v>
      </c>
    </row>
    <row r="23" spans="1:6" ht="12.75" customHeight="1">
      <c r="A23" s="14" t="s">
        <v>66</v>
      </c>
      <c r="D23" s="14">
        <v>100</v>
      </c>
      <c r="E23" s="14">
        <v>100</v>
      </c>
    </row>
    <row r="24" spans="1:6" ht="12.75" customHeight="1">
      <c r="A24" s="14" t="s">
        <v>67</v>
      </c>
      <c r="B24" s="14" t="s">
        <v>52</v>
      </c>
      <c r="C24" s="14" t="s">
        <v>68</v>
      </c>
      <c r="D24" s="14">
        <v>600</v>
      </c>
      <c r="E24" s="14">
        <v>400</v>
      </c>
      <c r="F24" s="14" t="s">
        <v>69</v>
      </c>
    </row>
    <row r="25" spans="1:6" ht="12.75" customHeight="1">
      <c r="B25" s="14" t="s">
        <v>70</v>
      </c>
      <c r="C25" s="14" t="s">
        <v>71</v>
      </c>
      <c r="D25" s="14">
        <v>900</v>
      </c>
      <c r="E25" s="14">
        <v>600</v>
      </c>
      <c r="F25" s="14" t="s">
        <v>72</v>
      </c>
    </row>
    <row r="26" spans="1:6" ht="12.75" customHeight="1">
      <c r="D26" s="18">
        <f>SUM(D22:D25)</f>
        <v>1661.92</v>
      </c>
      <c r="E26" s="18">
        <f>SUM(E22:E25)</f>
        <v>1161.92</v>
      </c>
    </row>
    <row r="27" spans="1:6" ht="12.75" customHeight="1">
      <c r="D27" s="19"/>
    </row>
    <row r="28" spans="1:6" ht="12.75" customHeight="1">
      <c r="A28" s="14" t="s">
        <v>73</v>
      </c>
      <c r="B28" s="14" t="s">
        <v>74</v>
      </c>
      <c r="D28" s="20">
        <f>B37/12</f>
        <v>1205.6016666666667</v>
      </c>
      <c r="E28" s="20">
        <f>B37/12</f>
        <v>1205.6016666666667</v>
      </c>
    </row>
    <row r="29" spans="1:6" ht="12.75" customHeight="1">
      <c r="D29" s="20"/>
      <c r="E29" s="20"/>
    </row>
    <row r="30" spans="1:6" ht="12.75" customHeight="1">
      <c r="A30" s="17" t="s">
        <v>75</v>
      </c>
      <c r="B30" s="14">
        <f>173.4+135</f>
        <v>308.39999999999998</v>
      </c>
      <c r="C30" s="14" t="s">
        <v>76</v>
      </c>
      <c r="D30" s="14">
        <f t="shared" ref="D30:D36" si="0">B30/12</f>
        <v>25.7</v>
      </c>
    </row>
    <row r="31" spans="1:6" ht="12.75" customHeight="1">
      <c r="A31" s="17" t="s">
        <v>77</v>
      </c>
      <c r="B31" s="14">
        <f>1653+28</f>
        <v>1681</v>
      </c>
      <c r="C31" s="14" t="s">
        <v>78</v>
      </c>
      <c r="D31" s="14">
        <f t="shared" si="0"/>
        <v>140.08333333333334</v>
      </c>
    </row>
    <row r="32" spans="1:6" ht="12.75" customHeight="1">
      <c r="A32" s="17" t="s">
        <v>79</v>
      </c>
      <c r="B32" s="14">
        <v>432.82</v>
      </c>
      <c r="D32" s="14">
        <f t="shared" si="0"/>
        <v>36.068333333333335</v>
      </c>
    </row>
    <row r="33" spans="1:6" ht="12.75" customHeight="1">
      <c r="A33" s="17" t="s">
        <v>80</v>
      </c>
      <c r="B33" s="14">
        <v>0</v>
      </c>
      <c r="D33" s="14">
        <f t="shared" si="0"/>
        <v>0</v>
      </c>
    </row>
    <row r="34" spans="1:6" ht="12.75" customHeight="1">
      <c r="A34" s="17" t="s">
        <v>81</v>
      </c>
      <c r="B34" s="14">
        <v>9000</v>
      </c>
      <c r="D34" s="14">
        <f t="shared" si="0"/>
        <v>750</v>
      </c>
    </row>
    <row r="35" spans="1:6" ht="12.75" customHeight="1">
      <c r="A35" s="17" t="s">
        <v>82</v>
      </c>
      <c r="B35" s="14">
        <f>1200</f>
        <v>1200</v>
      </c>
      <c r="D35" s="14">
        <f t="shared" si="0"/>
        <v>100</v>
      </c>
    </row>
    <row r="36" spans="1:6" ht="12.75" customHeight="1">
      <c r="A36" s="17" t="s">
        <v>83</v>
      </c>
      <c r="B36" s="14">
        <f>750*2+45*3+65*2+40*2</f>
        <v>1845</v>
      </c>
      <c r="D36" s="14">
        <f t="shared" si="0"/>
        <v>153.75</v>
      </c>
      <c r="F36" s="21" t="s">
        <v>84</v>
      </c>
    </row>
    <row r="37" spans="1:6" ht="12.75" customHeight="1">
      <c r="B37" s="16">
        <f>SUM(B30:B36)</f>
        <v>14467.220000000001</v>
      </c>
      <c r="C37" s="14" t="s">
        <v>85</v>
      </c>
      <c r="D37" s="18">
        <f>SUM(D30:D36)</f>
        <v>1205.6016666666667</v>
      </c>
    </row>
    <row r="38" spans="1:6" ht="12.75" customHeight="1">
      <c r="A38" s="21" t="s">
        <v>86</v>
      </c>
    </row>
    <row r="39" spans="1:6" ht="12.75" customHeight="1">
      <c r="A39" s="21"/>
    </row>
    <row r="40" spans="1:6" ht="12.75" customHeight="1">
      <c r="A40" s="21" t="s">
        <v>87</v>
      </c>
    </row>
    <row r="41" spans="1:6" ht="12.75" customHeight="1">
      <c r="A41" s="21" t="s">
        <v>88</v>
      </c>
      <c r="B41" s="14">
        <v>300</v>
      </c>
      <c r="C41" s="14" t="s">
        <v>89</v>
      </c>
      <c r="D41" s="14">
        <f>B41/24</f>
        <v>12.5</v>
      </c>
    </row>
    <row r="42" spans="1:6" ht="12.75" customHeight="1">
      <c r="A42" s="21" t="s">
        <v>90</v>
      </c>
      <c r="B42" s="14">
        <v>10000</v>
      </c>
      <c r="C42" s="14" t="s">
        <v>89</v>
      </c>
      <c r="D42" s="14">
        <f>B42/24</f>
        <v>416.66666666666669</v>
      </c>
    </row>
    <row r="43" spans="1:6" ht="12.75" customHeight="1">
      <c r="A43" s="21"/>
      <c r="D43" s="22">
        <f>SUM(D41:D42)</f>
        <v>429.16666666666669</v>
      </c>
      <c r="E43" s="22">
        <f>D43</f>
        <v>429.16666666666669</v>
      </c>
    </row>
    <row r="44" spans="1:6" ht="12.75" customHeight="1">
      <c r="A44" s="21"/>
    </row>
    <row r="45" spans="1:6" ht="12.75" customHeight="1">
      <c r="A45" s="21"/>
    </row>
    <row r="46" spans="1:6" ht="12.75" customHeight="1">
      <c r="C46" s="14" t="s">
        <v>91</v>
      </c>
      <c r="D46" s="20">
        <f>D14+D20+D26+D28+D43</f>
        <v>3629.188333333333</v>
      </c>
      <c r="E46" s="20">
        <f>E14+E20+E26+E28+E43</f>
        <v>4207.9383333333335</v>
      </c>
    </row>
    <row r="49" spans="1:10" ht="12.75" customHeight="1"/>
    <row r="50" spans="1:10" ht="12.75" customHeight="1">
      <c r="A50" s="14" t="s">
        <v>92</v>
      </c>
      <c r="B50" s="14" t="s">
        <v>34</v>
      </c>
      <c r="D50" s="14">
        <f>D10/12</f>
        <v>6283.333333333333</v>
      </c>
      <c r="E50" s="14">
        <f>D50</f>
        <v>6283.333333333333</v>
      </c>
    </row>
    <row r="51" spans="1:10" ht="12.75" customHeight="1">
      <c r="A51" s="14" t="s">
        <v>93</v>
      </c>
      <c r="D51" s="20">
        <f>D46</f>
        <v>3629.188333333333</v>
      </c>
      <c r="E51" s="20">
        <f>E46</f>
        <v>4207.9383333333335</v>
      </c>
    </row>
    <row r="53" spans="1:10" ht="12.75" customHeight="1">
      <c r="A53" s="14" t="s">
        <v>94</v>
      </c>
      <c r="D53" s="20">
        <f>D50-D51</f>
        <v>2654.145</v>
      </c>
      <c r="E53" s="20">
        <f>E50-E51</f>
        <v>2075.3949999999995</v>
      </c>
    </row>
    <row r="54" spans="1:10" ht="12.75" customHeight="1">
      <c r="A54" s="14" t="s">
        <v>95</v>
      </c>
      <c r="D54" s="14">
        <f>0.13*D50</f>
        <v>816.83333333333337</v>
      </c>
      <c r="E54" s="14">
        <f>0.13*E50</f>
        <v>816.83333333333337</v>
      </c>
    </row>
    <row r="55" spans="1:10" ht="12.75" customHeight="1">
      <c r="C55" s="14" t="s">
        <v>96</v>
      </c>
      <c r="D55" s="23">
        <f>D53-D54</f>
        <v>1837.3116666666665</v>
      </c>
      <c r="E55" s="23">
        <f>E53-E54</f>
        <v>1258.561666666666</v>
      </c>
    </row>
    <row r="56" spans="1:10" ht="12.75" customHeight="1">
      <c r="C56" s="14" t="s">
        <v>97</v>
      </c>
      <c r="D56" s="24">
        <f>D55/D50</f>
        <v>0.29241034482758621</v>
      </c>
      <c r="E56" s="24">
        <f>E55/E50</f>
        <v>0.20030159151193624</v>
      </c>
    </row>
    <row r="57" spans="1:10" ht="12.75" customHeight="1">
      <c r="D57" s="24"/>
      <c r="E57" s="24"/>
    </row>
    <row r="58" spans="1:10" ht="31.15" customHeight="1">
      <c r="A58" s="25" t="s">
        <v>98</v>
      </c>
      <c r="B58" s="26"/>
      <c r="D58" s="27"/>
      <c r="F58" s="28">
        <f>SUM(F61:F129)</f>
        <v>51501.119999999995</v>
      </c>
      <c r="G58" s="28">
        <f>SUM(G61:G129)</f>
        <v>37475</v>
      </c>
      <c r="H58" s="28">
        <f>SUM(H61:H129)</f>
        <v>-14026.12</v>
      </c>
      <c r="I58" s="28">
        <f>SUM(I61:I129)</f>
        <v>4350</v>
      </c>
    </row>
    <row r="59" spans="1:10" ht="17.850000000000001" customHeight="1">
      <c r="B59" s="26"/>
      <c r="D59" s="27"/>
      <c r="F59" s="17" t="s">
        <v>99</v>
      </c>
      <c r="H59" s="29" t="s">
        <v>100</v>
      </c>
    </row>
    <row r="60" spans="1:10" ht="15.95" customHeight="1">
      <c r="A60" s="26" t="s">
        <v>608</v>
      </c>
      <c r="B60" s="30">
        <f>B61+B63+B69+B73+B78+B84+B89+B97+B102+B109+B115+B121+B125+B128</f>
        <v>51501.119999999995</v>
      </c>
      <c r="F60" s="17" t="s">
        <v>101</v>
      </c>
      <c r="G60" s="14" t="s">
        <v>102</v>
      </c>
      <c r="H60" s="31" t="s">
        <v>103</v>
      </c>
      <c r="I60" s="14" t="s">
        <v>104</v>
      </c>
    </row>
    <row r="61" spans="1:10" ht="12.75" customHeight="1">
      <c r="A61" s="26" t="s">
        <v>105</v>
      </c>
      <c r="B61" s="26">
        <f>F61</f>
        <v>9500</v>
      </c>
      <c r="C61" s="14" t="s">
        <v>106</v>
      </c>
      <c r="F61" s="14">
        <f>Jan!F30+Feb!F30+Mar!F30+Apr!F30+May!F30+Jun!F30+July!F30+Aug!F30+Sep!F30+Oct!F30+Nov!F30+Dec!F30</f>
        <v>9500</v>
      </c>
      <c r="G61" s="14">
        <f>I61*4</f>
        <v>8000</v>
      </c>
      <c r="H61" s="29">
        <f>G61-F61</f>
        <v>-1500</v>
      </c>
      <c r="I61" s="14">
        <v>2000</v>
      </c>
      <c r="J61" s="14" t="s">
        <v>647</v>
      </c>
    </row>
    <row r="62" spans="1:10" ht="12.75" customHeight="1">
      <c r="A62" s="14" t="s">
        <v>646</v>
      </c>
      <c r="H62" s="29"/>
    </row>
    <row r="63" spans="1:10" ht="12.75" customHeight="1">
      <c r="A63" s="26" t="s">
        <v>107</v>
      </c>
      <c r="B63" s="26">
        <f>SUM(F64:F67)</f>
        <v>4160.62</v>
      </c>
      <c r="C63" s="26">
        <f>SUM(G64:G67)</f>
        <v>4080</v>
      </c>
      <c r="D63" s="26">
        <f>C63-B63</f>
        <v>-80.619999999999891</v>
      </c>
      <c r="H63" s="29"/>
    </row>
    <row r="64" spans="1:10" ht="12.75" customHeight="1">
      <c r="B64" s="14" t="s">
        <v>54</v>
      </c>
      <c r="C64" s="14" t="s">
        <v>55</v>
      </c>
      <c r="F64" s="14">
        <f>Jan!F33+Feb!F33+Mar!F33+Apr!F33+May!F33+Jun!F33+July!F33+Aug!F33+Sep!F33+Oct!F33+Nov!F33+Dec!F33</f>
        <v>1206.6699999999998</v>
      </c>
      <c r="G64" s="14">
        <f>I64*12</f>
        <v>1380</v>
      </c>
      <c r="H64" s="29">
        <f>G64-F64</f>
        <v>173.33000000000015</v>
      </c>
      <c r="I64" s="14">
        <v>115</v>
      </c>
    </row>
    <row r="65" spans="1:9" ht="12.75" customHeight="1">
      <c r="B65" s="14" t="s">
        <v>56</v>
      </c>
      <c r="C65" s="14" t="s">
        <v>57</v>
      </c>
      <c r="F65" s="14">
        <f>Jan!F34+Feb!F34+Mar!F34+Apr!F34+May!F34+Jun!F34+July!F34+Aug!F34+Sep!F34+Oct!F34+Nov!F34+Dec!F34</f>
        <v>736.3</v>
      </c>
      <c r="G65" s="14">
        <f>I65*12</f>
        <v>480</v>
      </c>
      <c r="H65" s="29">
        <f>G65-F65</f>
        <v>-256.29999999999995</v>
      </c>
      <c r="I65" s="14">
        <v>40</v>
      </c>
    </row>
    <row r="66" spans="1:9" ht="12.75" customHeight="1">
      <c r="B66" s="14" t="s">
        <v>108</v>
      </c>
      <c r="C66" s="14" t="s">
        <v>109</v>
      </c>
      <c r="D66" s="14" t="s">
        <v>110</v>
      </c>
      <c r="F66" s="14">
        <f>Jan!F35+Feb!F35+Mar!F35+Apr!F35+May!F35+Jun!F35+July!F35+Aug!F35+Sep!F35+Oct!F35+Nov!F35+Dec!F35</f>
        <v>529.98</v>
      </c>
      <c r="G66" s="14">
        <f>I66*12</f>
        <v>1020</v>
      </c>
      <c r="H66" s="29">
        <f>G66-F66</f>
        <v>490.02</v>
      </c>
      <c r="I66" s="14">
        <v>85</v>
      </c>
    </row>
    <row r="67" spans="1:9" ht="12.75" customHeight="1">
      <c r="B67" s="221" t="s">
        <v>111</v>
      </c>
      <c r="C67" s="14" t="s">
        <v>112</v>
      </c>
      <c r="D67" s="14" t="s">
        <v>113</v>
      </c>
      <c r="F67" s="14">
        <f>Jan!F36+Feb!F36+Mar!F36+Apr!F36+May!F36+Jun!F36+July!F36+Aug!F36+Sep!F36+Oct!F36+Nov!F36+Dec!F36</f>
        <v>1687.67</v>
      </c>
      <c r="G67" s="14">
        <f>I67*12</f>
        <v>1200</v>
      </c>
      <c r="H67" s="220">
        <f>G67-F67</f>
        <v>-487.67000000000007</v>
      </c>
      <c r="I67" s="14">
        <v>100</v>
      </c>
    </row>
    <row r="68" spans="1:9" ht="12.75" customHeight="1">
      <c r="H68" s="29"/>
    </row>
    <row r="69" spans="1:9" ht="12.75" customHeight="1">
      <c r="A69" s="26" t="s">
        <v>114</v>
      </c>
      <c r="B69" s="26">
        <f>SUM(F70:F71)</f>
        <v>1668.9700000000003</v>
      </c>
      <c r="C69" s="26">
        <f>SUM(G70:G71)</f>
        <v>1731</v>
      </c>
      <c r="D69" s="26">
        <f>C69-B69</f>
        <v>62.029999999999745</v>
      </c>
      <c r="H69" s="29"/>
    </row>
    <row r="70" spans="1:9" ht="12.75" customHeight="1">
      <c r="B70" s="14" t="s">
        <v>64</v>
      </c>
      <c r="C70" s="14" t="s">
        <v>65</v>
      </c>
      <c r="F70" s="14">
        <f>Jan!F39+Feb!F39+Mar!F39+Apr!F39+May!F39+Jun!F39+July!F39+Aug!F39+Sep!F39+Oct!F39+Nov!F39+Dec!F39</f>
        <v>702.20000000000016</v>
      </c>
      <c r="G70" s="14">
        <f>I70*12</f>
        <v>756</v>
      </c>
      <c r="H70" s="29">
        <f>G70-F70</f>
        <v>53.799999999999841</v>
      </c>
      <c r="I70" s="14">
        <v>63</v>
      </c>
    </row>
    <row r="71" spans="1:9" ht="12.75" customHeight="1">
      <c r="B71" s="14" t="s">
        <v>115</v>
      </c>
      <c r="C71" s="14" t="s">
        <v>116</v>
      </c>
      <c r="D71"/>
      <c r="F71" s="14">
        <f>Jan!F40+Feb!F40+Mar!F40+Apr!F40+May!F40+Jun!F40+July!F40+Aug!F40+Sep!F40+Oct!F40+Nov!F40+Dec!F40</f>
        <v>966.77</v>
      </c>
      <c r="G71" s="14">
        <f>I71*13</f>
        <v>975</v>
      </c>
      <c r="H71" s="29">
        <f>G71-F71</f>
        <v>8.2300000000000182</v>
      </c>
      <c r="I71" s="14">
        <v>75</v>
      </c>
    </row>
    <row r="72" spans="1:9" ht="12.75" customHeight="1">
      <c r="H72" s="29"/>
    </row>
    <row r="73" spans="1:9" ht="12.75" customHeight="1">
      <c r="A73" s="26" t="s">
        <v>117</v>
      </c>
      <c r="B73" s="26">
        <f>SUM(F74:F76)</f>
        <v>2105.8200000000002</v>
      </c>
      <c r="C73" s="26">
        <f>SUM(G74:G76)</f>
        <v>2124</v>
      </c>
      <c r="D73" s="26">
        <f>C73-B73</f>
        <v>18.179999999999836</v>
      </c>
      <c r="H73" s="29"/>
    </row>
    <row r="74" spans="1:9" ht="12.75" customHeight="1">
      <c r="B74" s="14" t="s">
        <v>118</v>
      </c>
      <c r="C74" s="14" t="s">
        <v>119</v>
      </c>
      <c r="F74" s="14">
        <f>Jan!F43+Feb!F43+Mar!F43+Apr!F43+May!F43+Jun!F43+July!F43+Aug!F43+Sep!F43+Oct!F43+Nov!F43+Dec!F43</f>
        <v>659</v>
      </c>
      <c r="G74" s="14">
        <f>I74*12</f>
        <v>678</v>
      </c>
      <c r="H74" s="29">
        <f>G74-F74</f>
        <v>19</v>
      </c>
      <c r="I74" s="14">
        <v>56.5</v>
      </c>
    </row>
    <row r="75" spans="1:9" ht="12.75" customHeight="1">
      <c r="B75" s="14" t="s">
        <v>120</v>
      </c>
      <c r="C75" s="14" t="s">
        <v>119</v>
      </c>
      <c r="F75" s="14">
        <f>Jan!F44+Feb!F44+Mar!F44+Apr!F44+May!F44+Jun!F44+July!F44+Aug!F44+Sep!F44+Oct!F44+Nov!F44+Dec!F44</f>
        <v>1014</v>
      </c>
      <c r="G75" s="14">
        <f>I75*12</f>
        <v>1014</v>
      </c>
      <c r="H75" s="29">
        <f>G75-F75</f>
        <v>0</v>
      </c>
      <c r="I75" s="14">
        <v>84.5</v>
      </c>
    </row>
    <row r="76" spans="1:9" ht="12.75" customHeight="1">
      <c r="B76" s="14" t="s">
        <v>121</v>
      </c>
      <c r="F76" s="14">
        <f>Jan!F45+Feb!F45+Mar!F45+Apr!F45+May!F45+Jun!F45+July!F45+Aug!F45+Sep!F45+Oct!F45+Nov!F45+Dec!F45</f>
        <v>432.82</v>
      </c>
      <c r="G76" s="14">
        <f>I76*12</f>
        <v>432</v>
      </c>
      <c r="H76" s="29">
        <f>G76-F76</f>
        <v>-0.81999999999999318</v>
      </c>
      <c r="I76" s="14">
        <v>36</v>
      </c>
    </row>
    <row r="77" spans="1:9" ht="12.75" customHeight="1">
      <c r="H77" s="29"/>
    </row>
    <row r="78" spans="1:9" ht="12.75" customHeight="1">
      <c r="A78" s="26" t="s">
        <v>122</v>
      </c>
      <c r="B78" s="26">
        <f>SUM(F79:F82)</f>
        <v>4569.2299999999996</v>
      </c>
      <c r="C78" s="26">
        <f>SUM(G79:G82)</f>
        <v>1690</v>
      </c>
      <c r="D78" s="26">
        <f>C78-B78</f>
        <v>-2879.2299999999996</v>
      </c>
      <c r="H78" s="29"/>
    </row>
    <row r="79" spans="1:9" ht="12.75" customHeight="1">
      <c r="A79" s="14" t="s">
        <v>123</v>
      </c>
      <c r="B79" s="14" t="s">
        <v>124</v>
      </c>
      <c r="F79" s="14">
        <f>Jan!F48+Feb!F48+Mar!F48+Apr!F48+May!F48+Jun!F48+July!F48+Aug!F48+Sep!F48+Oct!F48+Nov!F48+Dec!F48</f>
        <v>91.57000000000005</v>
      </c>
      <c r="G79" s="14">
        <f>I79*13</f>
        <v>260</v>
      </c>
      <c r="H79" s="29">
        <f>G79-F79</f>
        <v>168.42999999999995</v>
      </c>
      <c r="I79" s="14">
        <v>20</v>
      </c>
    </row>
    <row r="80" spans="1:9" ht="12.75" customHeight="1">
      <c r="B80" s="14" t="s">
        <v>125</v>
      </c>
      <c r="F80" s="14">
        <f>Jan!F49+Feb!F49+Mar!F49+Apr!F49+May!F49+Jun!F49+July!F49+Aug!F49+Sep!F49+Oct!F49+Nov!F49+Dec!F49</f>
        <v>70.11</v>
      </c>
      <c r="G80" s="14">
        <f>I80*13</f>
        <v>130</v>
      </c>
      <c r="H80" s="29">
        <f>G80-F80</f>
        <v>59.89</v>
      </c>
      <c r="I80" s="14">
        <v>10</v>
      </c>
    </row>
    <row r="81" spans="1:10" ht="12.75" customHeight="1">
      <c r="B81" s="221" t="s">
        <v>126</v>
      </c>
      <c r="F81" s="14">
        <f>Jan!F50+Feb!F50+Mar!F50+Apr!F50+May!F50+Jun!F50+July!F50+Aug!F50+Sep!F50+Oct!F50+Nov!F50+Dec!F50</f>
        <v>3903.78</v>
      </c>
      <c r="G81" s="14">
        <f>I81*13</f>
        <v>650</v>
      </c>
      <c r="H81" s="220">
        <f>G81-F81</f>
        <v>-3253.78</v>
      </c>
      <c r="I81" s="14">
        <v>50</v>
      </c>
      <c r="J81" s="221" t="s">
        <v>721</v>
      </c>
    </row>
    <row r="82" spans="1:10" ht="12.75" customHeight="1">
      <c r="B82" s="14" t="s">
        <v>127</v>
      </c>
      <c r="F82" s="14">
        <f>Jan!F51+Feb!F51+Mar!F51+Apr!F51+May!F51+Jun!F51+July!F51+Aug!F51+Sep!F51+Oct!F51+Nov!F51+Dec!F51</f>
        <v>503.77</v>
      </c>
      <c r="G82" s="14">
        <f>I82*13</f>
        <v>650</v>
      </c>
      <c r="H82" s="29">
        <f>G82-F82</f>
        <v>146.23000000000002</v>
      </c>
      <c r="I82" s="14">
        <v>50</v>
      </c>
    </row>
    <row r="83" spans="1:10" ht="12.75" customHeight="1">
      <c r="H83" s="29"/>
    </row>
    <row r="84" spans="1:10" ht="12.75" customHeight="1">
      <c r="A84" s="26" t="s">
        <v>128</v>
      </c>
      <c r="B84" s="26">
        <f>SUM(F85:F87)</f>
        <v>1186.55</v>
      </c>
      <c r="C84" s="26">
        <f>SUM(G85:G87)</f>
        <v>1040</v>
      </c>
      <c r="D84" s="26">
        <f>C84-B84</f>
        <v>-146.54999999999995</v>
      </c>
      <c r="H84" s="29"/>
    </row>
    <row r="85" spans="1:10" ht="12.75" customHeight="1">
      <c r="A85" s="14" t="s">
        <v>123</v>
      </c>
      <c r="B85" s="14" t="s">
        <v>129</v>
      </c>
      <c r="F85" s="14">
        <f>Jan!F54+Feb!F54+Mar!F54+Apr!F54+May!F54+Jun!F54+July!F54+Aug!F54+Sep!F54+Oct!F54+Nov!F54+Dec!F54</f>
        <v>307.94000000000005</v>
      </c>
      <c r="G85" s="14">
        <f>I85*13</f>
        <v>650</v>
      </c>
      <c r="H85" s="29">
        <f>G85-F85</f>
        <v>342.05999999999995</v>
      </c>
      <c r="I85" s="14">
        <f>50</f>
        <v>50</v>
      </c>
      <c r="J85" s="14" t="s">
        <v>130</v>
      </c>
    </row>
    <row r="86" spans="1:10" ht="12.75" customHeight="1">
      <c r="B86" s="221" t="s">
        <v>131</v>
      </c>
      <c r="F86" s="14">
        <f>Jan!F55+Feb!F55+Mar!F55+Apr!F55+May!F55+Jun!F55+July!F55+Aug!F55+Sep!F55+Oct!F55+Nov!F55+Dec!F55</f>
        <v>366.81</v>
      </c>
      <c r="G86" s="14">
        <f>I86*13</f>
        <v>260</v>
      </c>
      <c r="H86" s="220">
        <f>G86-F86</f>
        <v>-106.81</v>
      </c>
      <c r="I86" s="14">
        <v>20</v>
      </c>
    </row>
    <row r="87" spans="1:10" ht="12.75" customHeight="1">
      <c r="B87" s="221" t="s">
        <v>132</v>
      </c>
      <c r="F87" s="14">
        <f>Jan!F56+Feb!F56+Mar!F56+Apr!F56+May!F56+Jun!F56+July!F56+Aug!F56+Sep!F56+Oct!F56+Nov!F56+Dec!F56</f>
        <v>511.8</v>
      </c>
      <c r="G87" s="14">
        <f>I87*13</f>
        <v>130</v>
      </c>
      <c r="H87" s="220">
        <f>G87-F87</f>
        <v>-381.8</v>
      </c>
      <c r="I87" s="14">
        <v>10</v>
      </c>
    </row>
    <row r="88" spans="1:10" ht="12.75" customHeight="1">
      <c r="H88" s="29"/>
    </row>
    <row r="89" spans="1:10" ht="12.75" customHeight="1">
      <c r="A89" s="26" t="s">
        <v>133</v>
      </c>
      <c r="B89" s="26">
        <f>SUM(F90:F95)</f>
        <v>8669.07</v>
      </c>
      <c r="C89" s="26">
        <f>SUM(G90:G95)</f>
        <v>6500</v>
      </c>
      <c r="D89" s="26">
        <f>C89-B89</f>
        <v>-2169.0699999999997</v>
      </c>
      <c r="H89" s="29"/>
    </row>
    <row r="90" spans="1:10" ht="12.75" customHeight="1">
      <c r="A90" s="14" t="s">
        <v>123</v>
      </c>
      <c r="B90" s="14" t="s">
        <v>134</v>
      </c>
      <c r="F90" s="14">
        <f>Jan!F59+Feb!F59+Mar!F59+Apr!F59+May!F59+Jun!F59+July!F59+Aug!F59+Sep!F59+Oct!F59+Nov!F59+Dec!F59</f>
        <v>1306.56</v>
      </c>
      <c r="G90" s="14">
        <f t="shared" ref="G90:G95" si="1">I90*13</f>
        <v>1300</v>
      </c>
      <c r="H90" s="29">
        <f t="shared" ref="H90:H95" si="2">G90-F90</f>
        <v>-6.5599999999999454</v>
      </c>
      <c r="I90" s="14">
        <v>100</v>
      </c>
    </row>
    <row r="91" spans="1:10" ht="12.75" customHeight="1">
      <c r="B91" s="221" t="s">
        <v>135</v>
      </c>
      <c r="F91" s="14">
        <f>Jan!F60+Feb!F60+Mar!F60+Apr!F60+May!F60+Jun!F60+July!F60+Aug!F60+Sep!F60+Oct!F60+Nov!F60+Dec!F60</f>
        <v>5525.51</v>
      </c>
      <c r="G91" s="14">
        <f t="shared" si="1"/>
        <v>3900</v>
      </c>
      <c r="H91" s="220">
        <f t="shared" si="2"/>
        <v>-1625.5100000000002</v>
      </c>
      <c r="I91" s="14">
        <v>300</v>
      </c>
    </row>
    <row r="92" spans="1:10" ht="12.75" customHeight="1">
      <c r="B92" s="14" t="s">
        <v>136</v>
      </c>
      <c r="F92" s="14">
        <f>Jan!F61+Feb!F61+Mar!F61+Apr!F61+May!F61+Jun!F61+July!F61+Aug!F61+Sep!F61+Oct!F61+Nov!F61+Dec!F61</f>
        <v>242.33999999999997</v>
      </c>
      <c r="G92" s="14">
        <f t="shared" si="1"/>
        <v>390</v>
      </c>
      <c r="H92" s="29">
        <f t="shared" si="2"/>
        <v>147.66000000000003</v>
      </c>
      <c r="I92" s="14">
        <v>30</v>
      </c>
      <c r="J92" s="14" t="s">
        <v>137</v>
      </c>
    </row>
    <row r="93" spans="1:10" ht="12.75" customHeight="1">
      <c r="B93" s="221" t="s">
        <v>138</v>
      </c>
      <c r="F93" s="14">
        <f>Jan!F62+Feb!F62+Mar!F62+Apr!F62+May!F62+Jun!F62+July!F62+Aug!F62+Sep!F62+Oct!F62+Nov!F62+Dec!F62</f>
        <v>904.73</v>
      </c>
      <c r="G93" s="14">
        <f t="shared" si="1"/>
        <v>390</v>
      </c>
      <c r="H93" s="220">
        <f t="shared" si="2"/>
        <v>-514.73</v>
      </c>
      <c r="I93" s="14">
        <v>30</v>
      </c>
    </row>
    <row r="94" spans="1:10" ht="12.75" customHeight="1">
      <c r="B94" s="221" t="s">
        <v>139</v>
      </c>
      <c r="F94" s="14">
        <f>Jan!F63+Feb!F63+Mar!F63+Apr!F63+May!F63+Jun!F63+July!F63+Aug!F63+Sep!F63+Oct!F63+Nov!F63+Dec!F63</f>
        <v>647.05999999999983</v>
      </c>
      <c r="G94" s="14">
        <f t="shared" si="1"/>
        <v>390</v>
      </c>
      <c r="H94" s="220">
        <f t="shared" si="2"/>
        <v>-257.05999999999983</v>
      </c>
      <c r="I94" s="14">
        <v>30</v>
      </c>
    </row>
    <row r="95" spans="1:10" ht="12.75" customHeight="1">
      <c r="B95" s="14" t="s">
        <v>140</v>
      </c>
      <c r="F95" s="14">
        <f>Jan!F64+Feb!F64+Mar!F64+Apr!F64+May!F64+Jun!F64+July!F64+Aug!F64+Sep!F64+Oct!F64+Nov!F64+Dec!F64</f>
        <v>42.870000000000005</v>
      </c>
      <c r="G95" s="14">
        <f t="shared" si="1"/>
        <v>130</v>
      </c>
      <c r="H95" s="29">
        <f t="shared" si="2"/>
        <v>87.13</v>
      </c>
      <c r="I95" s="14">
        <v>10</v>
      </c>
    </row>
    <row r="96" spans="1:10" ht="12.75" customHeight="1">
      <c r="H96" s="29"/>
    </row>
    <row r="97" spans="1:10" ht="12.75" customHeight="1">
      <c r="A97" s="26" t="s">
        <v>141</v>
      </c>
      <c r="B97" s="26">
        <f>SUM(F98:F100)</f>
        <v>1489.26</v>
      </c>
      <c r="C97" s="26">
        <f>SUM(G98:G100)</f>
        <v>1260</v>
      </c>
      <c r="D97" s="26">
        <f>C97-B97</f>
        <v>-229.26</v>
      </c>
      <c r="H97" s="29"/>
    </row>
    <row r="98" spans="1:10" ht="12.75" customHeight="1">
      <c r="B98" s="221" t="s">
        <v>142</v>
      </c>
      <c r="F98" s="14">
        <f>Jan!F67+Feb!F67+Mar!F67+Apr!F67+May!F67+Jun!F67+July!F67+Aug!F67+Sep!F67+Oct!F67+Nov!F67+Dec!F67</f>
        <v>384.87</v>
      </c>
      <c r="G98" s="14">
        <f>I98*12</f>
        <v>300</v>
      </c>
      <c r="H98" s="220">
        <f>G98-F98</f>
        <v>-84.87</v>
      </c>
      <c r="I98" s="14">
        <v>25</v>
      </c>
    </row>
    <row r="99" spans="1:10" ht="12.75" customHeight="1">
      <c r="B99" s="14" t="s">
        <v>143</v>
      </c>
      <c r="F99" s="14">
        <f>Jan!F68+Feb!F68+Mar!F68+Apr!F68+May!F68+Jun!F68+July!F68+Aug!F68+Sep!F68+Oct!F68+Nov!F68+Dec!F68</f>
        <v>233.39999999999998</v>
      </c>
      <c r="G99" s="14">
        <f>I99*12</f>
        <v>240</v>
      </c>
      <c r="H99" s="29">
        <f>G99-F99</f>
        <v>6.6000000000000227</v>
      </c>
      <c r="I99" s="14">
        <v>20</v>
      </c>
    </row>
    <row r="100" spans="1:10" ht="12.75" customHeight="1">
      <c r="B100" s="221" t="s">
        <v>144</v>
      </c>
      <c r="F100" s="14">
        <f>Jan!F69+Feb!F69+Mar!F69+Apr!F69+May!F69+Jun!F69+July!F69+Aug!F69+Sep!F69+Oct!F69+Nov!F69+Dec!F69</f>
        <v>870.99</v>
      </c>
      <c r="G100" s="14">
        <f>I100*12</f>
        <v>720</v>
      </c>
      <c r="H100" s="227">
        <f>G100-F100</f>
        <v>-150.99</v>
      </c>
      <c r="I100" s="14">
        <v>60</v>
      </c>
    </row>
    <row r="101" spans="1:10" ht="12.75" customHeight="1">
      <c r="H101" s="29"/>
    </row>
    <row r="102" spans="1:10">
      <c r="A102" s="26" t="s">
        <v>145</v>
      </c>
      <c r="B102" s="26">
        <f>SUM(F103:F107)</f>
        <v>3843.6500000000005</v>
      </c>
      <c r="C102" s="26">
        <f>SUM(G103:G107)</f>
        <v>4810</v>
      </c>
      <c r="D102" s="26">
        <f>C102-B102</f>
        <v>966.34999999999945</v>
      </c>
      <c r="H102" s="29"/>
    </row>
    <row r="103" spans="1:10">
      <c r="A103" s="14" t="s">
        <v>123</v>
      </c>
      <c r="B103" s="14" t="s">
        <v>146</v>
      </c>
      <c r="F103" s="14">
        <f>Jan!F72+Feb!F72+Mar!F72+Apr!F72+May!F72+Jun!F72+July!F72+Aug!F72+Sep!F72+Oct!F72+Nov!F72+Dec!F72</f>
        <v>643.19000000000005</v>
      </c>
      <c r="G103" s="14">
        <f>I103*13</f>
        <v>1300</v>
      </c>
      <c r="H103" s="29">
        <f>G103-F103</f>
        <v>656.81</v>
      </c>
      <c r="I103" s="14">
        <v>100</v>
      </c>
    </row>
    <row r="104" spans="1:10">
      <c r="B104" s="14" t="s">
        <v>147</v>
      </c>
      <c r="D104" s="14" t="s">
        <v>148</v>
      </c>
      <c r="F104" s="14">
        <f>Jan!F73+Feb!F73+Mar!F73+Apr!F73+May!F73+Jun!F73+July!F73+Aug!F73+Sep!F73+Oct!F73+Nov!F73+Dec!F73</f>
        <v>1518.64</v>
      </c>
      <c r="G104" s="14">
        <f>I104*13</f>
        <v>2210</v>
      </c>
      <c r="H104" s="29">
        <f>G104-F104</f>
        <v>691.3599999999999</v>
      </c>
      <c r="I104" s="14">
        <f>85*2</f>
        <v>170</v>
      </c>
    </row>
    <row r="105" spans="1:10">
      <c r="B105" s="14" t="s">
        <v>149</v>
      </c>
      <c r="F105" s="14">
        <f>Jan!F74+Feb!F74+Mar!F74+Apr!F74+May!F74+Jun!F74+July!F74+Aug!F74+Sep!F74+Oct!F74+Nov!F74+Dec!F74</f>
        <v>206.46</v>
      </c>
      <c r="G105" s="14">
        <f>I105*13</f>
        <v>390</v>
      </c>
      <c r="H105" s="29">
        <f>G105-F105</f>
        <v>183.54</v>
      </c>
      <c r="I105" s="14">
        <v>30</v>
      </c>
    </row>
    <row r="106" spans="1:10">
      <c r="A106" s="26"/>
      <c r="B106" s="221" t="s">
        <v>150</v>
      </c>
      <c r="F106" s="14">
        <f>Jan!F75+Feb!F75+Mar!F75+Apr!F75+May!F75+Jun!F75+July!F75+Aug!F75+Sep!F75+Oct!F75+Nov!F75+Dec!F75</f>
        <v>864.1400000000001</v>
      </c>
      <c r="G106" s="14">
        <f>I106*13</f>
        <v>260</v>
      </c>
      <c r="H106" s="220">
        <f>G106-F106</f>
        <v>-604.1400000000001</v>
      </c>
      <c r="I106" s="14">
        <v>20</v>
      </c>
    </row>
    <row r="107" spans="1:10">
      <c r="A107" s="26"/>
      <c r="B107" s="14" t="s">
        <v>151</v>
      </c>
      <c r="F107" s="14">
        <f>Jan!F76+Feb!F76+Mar!F76+Apr!F76+May!F76+Jun!F76+July!F76+Aug!F76+Sep!F76+Oct!F76+Nov!F76+Dec!F76</f>
        <v>611.22</v>
      </c>
      <c r="G107" s="14">
        <f>I107*13</f>
        <v>650</v>
      </c>
      <c r="H107" s="29">
        <f>G107-F107</f>
        <v>38.779999999999973</v>
      </c>
      <c r="I107" s="14">
        <v>50</v>
      </c>
    </row>
    <row r="108" spans="1:10">
      <c r="A108" s="26"/>
      <c r="B108" s="26"/>
      <c r="H108" s="29"/>
    </row>
    <row r="109" spans="1:10">
      <c r="A109" s="26" t="s">
        <v>152</v>
      </c>
      <c r="B109" s="26">
        <f>SUM(F110:F113)</f>
        <v>4170.17</v>
      </c>
      <c r="C109" s="26">
        <f>SUM(G110:G113)</f>
        <v>3480</v>
      </c>
      <c r="D109" s="26">
        <f>C109-B109</f>
        <v>-690.17000000000007</v>
      </c>
      <c r="H109" s="29"/>
    </row>
    <row r="110" spans="1:10">
      <c r="B110" s="14" t="s">
        <v>153</v>
      </c>
      <c r="D110" s="14" t="s">
        <v>154</v>
      </c>
      <c r="F110" s="14">
        <f>Jan!F79+Feb!F79+Mar!F79+Apr!F79+May!F79+Jun!F79+July!F79+Aug!F79+Sep!F79+Oct!F79+Nov!F79+Dec!F79</f>
        <v>1417.42</v>
      </c>
      <c r="G110" s="14">
        <f>I110*12</f>
        <v>1200</v>
      </c>
      <c r="H110" s="29">
        <f>G110-F110</f>
        <v>-217.42000000000007</v>
      </c>
      <c r="I110" s="14">
        <f>1200/12</f>
        <v>100</v>
      </c>
    </row>
    <row r="111" spans="1:10">
      <c r="B111" s="221" t="s">
        <v>155</v>
      </c>
      <c r="D111" s="14" t="s">
        <v>156</v>
      </c>
      <c r="F111" s="14">
        <f>Jan!F80+Feb!F80+Mar!F80+Apr!F80+May!F80+Jun!F80+July!F80+Aug!F80+Sep!F80+Oct!F80+Nov!F80+Dec!F80</f>
        <v>165.09000000000003</v>
      </c>
      <c r="G111" s="14">
        <f>I111*12</f>
        <v>120</v>
      </c>
      <c r="H111" s="220">
        <f>G111-F111</f>
        <v>-45.090000000000032</v>
      </c>
      <c r="I111" s="14">
        <v>10</v>
      </c>
    </row>
    <row r="112" spans="1:10">
      <c r="A112" s="26"/>
      <c r="B112" s="221" t="s">
        <v>157</v>
      </c>
      <c r="F112" s="14">
        <f>Jan!F81+Feb!F81+Mar!F81+Apr!F81+May!F81+Jun!F81+July!F81+Aug!F81+Sep!F81+Oct!F81+Nov!F81+Dec!F81</f>
        <v>2405.66</v>
      </c>
      <c r="G112" s="14">
        <f>I112*12</f>
        <v>1800</v>
      </c>
      <c r="H112" s="220">
        <f>G112-F112</f>
        <v>-605.65999999999985</v>
      </c>
      <c r="I112" s="14">
        <f>150</f>
        <v>150</v>
      </c>
      <c r="J112" s="14" t="s">
        <v>716</v>
      </c>
    </row>
    <row r="113" spans="1:10">
      <c r="A113" s="26"/>
      <c r="B113" s="14" t="s">
        <v>158</v>
      </c>
      <c r="F113" s="14">
        <f>Jan!F82+Feb!F82+Mar!F82+Apr!F82+May!F82+Jun!F82+July!F82+Aug!F82+Sep!F82+Oct!F82+Nov!F82+Dec!F82</f>
        <v>182</v>
      </c>
      <c r="G113" s="14">
        <f>I113*12</f>
        <v>360</v>
      </c>
      <c r="H113" s="29">
        <f>G113-F113</f>
        <v>178</v>
      </c>
      <c r="I113" s="14">
        <v>30</v>
      </c>
    </row>
    <row r="114" spans="1:10">
      <c r="A114" s="26"/>
      <c r="B114" s="26"/>
      <c r="H114" s="29"/>
    </row>
    <row r="115" spans="1:10">
      <c r="A115" s="26" t="s">
        <v>159</v>
      </c>
      <c r="B115" s="26">
        <f>SUM(F116:F119)</f>
        <v>6071.0599999999995</v>
      </c>
      <c r="C115" s="26">
        <f>SUM(G116:G119)</f>
        <v>1560</v>
      </c>
      <c r="D115" s="26">
        <f>C115-B115</f>
        <v>-4511.0599999999995</v>
      </c>
      <c r="H115" s="29"/>
    </row>
    <row r="116" spans="1:10">
      <c r="A116" s="14" t="s">
        <v>123</v>
      </c>
      <c r="B116" s="221" t="s">
        <v>160</v>
      </c>
      <c r="F116" s="14">
        <f>Jan!F85+Feb!F85+Mar!F85+Apr!F85+May!F85+Jun!F85+July!F85+Aug!F85+Sep!F85+Oct!F85+Nov!F85+Dec!F85</f>
        <v>1731.68</v>
      </c>
      <c r="G116" s="14">
        <f>I116*13</f>
        <v>650</v>
      </c>
      <c r="H116" s="220">
        <f>G116-F116</f>
        <v>-1081.68</v>
      </c>
      <c r="I116" s="14">
        <v>50</v>
      </c>
      <c r="J116" s="14" t="s">
        <v>161</v>
      </c>
    </row>
    <row r="117" spans="1:10">
      <c r="B117" s="221" t="s">
        <v>162</v>
      </c>
      <c r="F117" s="14">
        <f>Jan!F86+Feb!F86+Mar!F86+Apr!F86+May!F86+Jun!F86+July!F86+Aug!F86+Sep!F86+Oct!F86+Nov!F86+Dec!F86</f>
        <v>1617.77</v>
      </c>
      <c r="G117" s="14">
        <f>I117*13</f>
        <v>260</v>
      </c>
      <c r="H117" s="220">
        <f>G117-F117</f>
        <v>-1357.77</v>
      </c>
      <c r="I117" s="14">
        <v>20</v>
      </c>
      <c r="J117" s="14" t="s">
        <v>163</v>
      </c>
    </row>
    <row r="118" spans="1:10">
      <c r="B118" s="221" t="s">
        <v>164</v>
      </c>
      <c r="F118" s="14">
        <f>Jan!F87+Feb!F87+Mar!F87+Apr!F87+May!F87+Jun!F87+July!F87+Aug!F87+Sep!F87+Oct!F87+Nov!F87+Dec!F87</f>
        <v>2065.12</v>
      </c>
      <c r="G118" s="14">
        <f>I118*13</f>
        <v>390</v>
      </c>
      <c r="H118" s="220">
        <f>G118-F118</f>
        <v>-1675.12</v>
      </c>
      <c r="I118" s="14">
        <v>30</v>
      </c>
      <c r="J118" s="14" t="s">
        <v>717</v>
      </c>
    </row>
    <row r="119" spans="1:10">
      <c r="B119" s="221" t="s">
        <v>165</v>
      </c>
      <c r="F119" s="14">
        <f>Jan!F88+Feb!F88+Mar!F88+Apr!F88+May!F88+Jun!F88+July!F88+Aug!F88+Sep!F88+Oct!F88+Nov!F88+Dec!F88</f>
        <v>656.49</v>
      </c>
      <c r="G119" s="14">
        <f>I119*13</f>
        <v>260</v>
      </c>
      <c r="H119" s="220">
        <f>G119-F119</f>
        <v>-396.49</v>
      </c>
      <c r="I119" s="14">
        <v>20</v>
      </c>
      <c r="J119" s="14" t="s">
        <v>718</v>
      </c>
    </row>
    <row r="120" spans="1:10">
      <c r="H120" s="29"/>
    </row>
    <row r="121" spans="1:10">
      <c r="A121" s="26" t="s">
        <v>166</v>
      </c>
      <c r="B121" s="26">
        <f>SUM(F122:F123)</f>
        <v>1333.98</v>
      </c>
      <c r="C121" s="26">
        <f>SUM(G122:G123)</f>
        <v>840</v>
      </c>
      <c r="D121" s="26">
        <f>C121-B121</f>
        <v>-493.98</v>
      </c>
      <c r="H121" s="29"/>
    </row>
    <row r="122" spans="1:10">
      <c r="B122" s="14" t="s">
        <v>167</v>
      </c>
      <c r="F122" s="14">
        <f>Jan!F91+Feb!F91+Mar!F91+Apr!F91+May!F91+Jun!F91+July!F91+Aug!F91+Sep!F91+Oct!F91+Nov!F91+Dec!F91</f>
        <v>489.11</v>
      </c>
      <c r="G122" s="14">
        <f>I122*12</f>
        <v>480</v>
      </c>
      <c r="H122" s="29">
        <f>G122-F122</f>
        <v>-9.1100000000000136</v>
      </c>
      <c r="I122" s="14">
        <v>40</v>
      </c>
    </row>
    <row r="123" spans="1:10">
      <c r="B123" s="221" t="s">
        <v>168</v>
      </c>
      <c r="D123" s="14" t="s">
        <v>169</v>
      </c>
      <c r="F123" s="14">
        <f>Jan!F92+Feb!F92+Mar!F92+Apr!F92+May!F92+Jun!F92+July!F92+Aug!F92+Sep!F92+Oct!F92+Nov!F92+Dec!F92</f>
        <v>844.87000000000012</v>
      </c>
      <c r="G123" s="14">
        <f>I123*12</f>
        <v>360</v>
      </c>
      <c r="H123" s="220">
        <f>G123-F123</f>
        <v>-484.87000000000012</v>
      </c>
      <c r="I123" s="14">
        <v>30</v>
      </c>
    </row>
    <row r="124" spans="1:10">
      <c r="H124" s="29"/>
    </row>
    <row r="125" spans="1:10">
      <c r="A125" s="26" t="s">
        <v>170</v>
      </c>
      <c r="B125" s="26">
        <f>F126</f>
        <v>1767.4999999999998</v>
      </c>
      <c r="C125" s="26">
        <f>G126</f>
        <v>240</v>
      </c>
      <c r="D125" s="26">
        <f>C125-B125</f>
        <v>-1527.4999999999998</v>
      </c>
      <c r="H125" s="29"/>
    </row>
    <row r="126" spans="1:10">
      <c r="B126" s="221" t="s">
        <v>171</v>
      </c>
      <c r="F126" s="14">
        <f>Jan!F95+Feb!F95+Mar!F95+Apr!F95+May!F95+Jun!F95+July!F95+Aug!F95+Sep!F95+Oct!F95+Nov!F95+Dec!F95</f>
        <v>1767.4999999999998</v>
      </c>
      <c r="G126" s="14">
        <f>I126*12</f>
        <v>240</v>
      </c>
      <c r="H126" s="220">
        <f>G126-F126</f>
        <v>-1527.4999999999998</v>
      </c>
      <c r="I126" s="14">
        <v>20</v>
      </c>
      <c r="J126" s="14" t="s">
        <v>719</v>
      </c>
    </row>
    <row r="127" spans="1:10">
      <c r="H127" s="29"/>
    </row>
    <row r="128" spans="1:10">
      <c r="A128" s="26" t="s">
        <v>172</v>
      </c>
      <c r="B128" s="26">
        <f>F129</f>
        <v>965.24</v>
      </c>
      <c r="C128" s="26">
        <f>G129</f>
        <v>120</v>
      </c>
      <c r="D128" s="26">
        <f>C128-B128</f>
        <v>-845.24</v>
      </c>
      <c r="H128" s="29"/>
    </row>
    <row r="129" spans="2:10">
      <c r="B129" s="221" t="s">
        <v>173</v>
      </c>
      <c r="F129" s="14">
        <f>Jan!F98+Feb!F98+Mar!F98+Apr!F98+May!F98+Jun!F98+July!F98+Aug!F98+Sep!F98+Oct!F98+Nov!F98+Dec!F98</f>
        <v>965.24</v>
      </c>
      <c r="G129" s="14">
        <f>I129*12</f>
        <v>120</v>
      </c>
      <c r="H129" s="220">
        <f>G129-F129</f>
        <v>-845.24</v>
      </c>
      <c r="I129" s="14">
        <v>10</v>
      </c>
      <c r="J129" s="221" t="s">
        <v>720</v>
      </c>
    </row>
    <row r="65536" ht="13.5" customHeight="1"/>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J218"/>
  <sheetViews>
    <sheetView topLeftCell="A120" zoomScale="84" zoomScaleNormal="84" workbookViewId="0">
      <pane ySplit="1" topLeftCell="A79" activePane="bottomLeft"/>
      <selection activeCell="E136" sqref="E136"/>
      <selection pane="bottomLeft" activeCell="E35" sqref="E35"/>
    </sheetView>
  </sheetViews>
  <sheetFormatPr defaultRowHeight="12.75"/>
  <cols>
    <col min="1" max="1" width="16.5703125" customWidth="1"/>
    <col min="2" max="2" width="14.28515625" customWidth="1"/>
    <col min="3" max="3" width="15.42578125" customWidth="1"/>
    <col min="4" max="4" width="14.5703125" customWidth="1"/>
    <col min="5" max="5" width="15.5703125" customWidth="1"/>
    <col min="6" max="6" width="15.28515625" customWidth="1"/>
    <col min="7" max="7" width="12.42578125" customWidth="1"/>
    <col min="9" max="9" width="21.28515625" customWidth="1"/>
    <col min="11" max="11" width="10.28515625" customWidth="1"/>
    <col min="12" max="12" width="4.42578125" customWidth="1"/>
    <col min="13" max="13" width="18" customWidth="1"/>
    <col min="14" max="14" width="17.140625" customWidth="1"/>
    <col min="15" max="15" width="15.140625" customWidth="1"/>
    <col min="16" max="16" width="14.5703125" customWidth="1"/>
  </cols>
  <sheetData>
    <row r="1" spans="1:9" ht="15.75">
      <c r="A1" s="32" t="s">
        <v>174</v>
      </c>
    </row>
    <row r="2" spans="1:9">
      <c r="A2" s="2"/>
    </row>
    <row r="3" spans="1:9" s="35" customFormat="1" ht="15.75">
      <c r="A3" s="33" t="s">
        <v>175</v>
      </c>
      <c r="B3" s="33" t="s">
        <v>176</v>
      </c>
      <c r="C3" s="33"/>
      <c r="D3" s="33"/>
      <c r="E3" s="33"/>
      <c r="F3" s="33"/>
      <c r="G3" s="34"/>
    </row>
    <row r="4" spans="1:9">
      <c r="A4" s="2"/>
    </row>
    <row r="5" spans="1:9">
      <c r="B5" s="5" t="s">
        <v>177</v>
      </c>
      <c r="C5" s="5" t="s">
        <v>178</v>
      </c>
      <c r="D5" s="5" t="s">
        <v>179</v>
      </c>
      <c r="E5" s="5" t="s">
        <v>180</v>
      </c>
      <c r="F5" s="5" t="s">
        <v>181</v>
      </c>
      <c r="G5" s="5" t="s">
        <v>182</v>
      </c>
      <c r="H5" s="5" t="s">
        <v>183</v>
      </c>
      <c r="I5" s="5" t="s">
        <v>184</v>
      </c>
    </row>
    <row r="6" spans="1:9">
      <c r="A6" s="6" t="s">
        <v>12</v>
      </c>
      <c r="B6" s="36">
        <f>Jan!B4</f>
        <v>9678.8000000000011</v>
      </c>
      <c r="C6" s="37">
        <f t="shared" ref="C6:C17" si="0">0.1*B6</f>
        <v>967.88000000000011</v>
      </c>
      <c r="D6">
        <f>B49</f>
        <v>945</v>
      </c>
      <c r="E6">
        <f>C6-D6</f>
        <v>22.880000000000109</v>
      </c>
      <c r="F6" s="38">
        <f t="shared" ref="F6:F17" si="1">D6/B6</f>
        <v>9.7636070587262869E-2</v>
      </c>
      <c r="G6" s="37">
        <f>B6</f>
        <v>9678.8000000000011</v>
      </c>
      <c r="H6">
        <f>D6</f>
        <v>945</v>
      </c>
      <c r="I6" s="38">
        <f t="shared" ref="I6:I12" si="2">H6/G6</f>
        <v>9.7636070587262869E-2</v>
      </c>
    </row>
    <row r="7" spans="1:9">
      <c r="A7" s="6" t="s">
        <v>14</v>
      </c>
      <c r="B7" s="37">
        <f>Feb!$B$4</f>
        <v>6235.5</v>
      </c>
      <c r="C7" s="37">
        <f t="shared" si="0"/>
        <v>623.55000000000007</v>
      </c>
      <c r="D7">
        <f>B63</f>
        <v>910</v>
      </c>
      <c r="E7">
        <f t="shared" ref="E7:E17" si="3">E6+C7-D7</f>
        <v>-263.56999999999982</v>
      </c>
      <c r="F7" s="38">
        <f t="shared" si="1"/>
        <v>0.14593857749979952</v>
      </c>
      <c r="G7" s="39">
        <f t="shared" ref="G7:G12" si="4">G6+B7</f>
        <v>15914.300000000001</v>
      </c>
      <c r="H7">
        <f t="shared" ref="H7:H12" si="5">H6+D7</f>
        <v>1855</v>
      </c>
      <c r="I7" s="38">
        <f t="shared" si="2"/>
        <v>0.11656183432510384</v>
      </c>
    </row>
    <row r="8" spans="1:9">
      <c r="A8" s="6" t="s">
        <v>15</v>
      </c>
      <c r="B8" s="37">
        <f>Mar!$B$4</f>
        <v>9634.51</v>
      </c>
      <c r="C8" s="37">
        <f t="shared" si="0"/>
        <v>963.45100000000002</v>
      </c>
      <c r="D8">
        <f>B77</f>
        <v>1011</v>
      </c>
      <c r="E8">
        <f t="shared" si="3"/>
        <v>-311.1189999999998</v>
      </c>
      <c r="F8" s="38">
        <f t="shared" si="1"/>
        <v>0.10493527953160046</v>
      </c>
      <c r="G8" s="39">
        <f t="shared" si="4"/>
        <v>25548.81</v>
      </c>
      <c r="H8">
        <f t="shared" si="5"/>
        <v>2866</v>
      </c>
      <c r="I8" s="38">
        <f t="shared" si="2"/>
        <v>0.11217743605279462</v>
      </c>
    </row>
    <row r="9" spans="1:9">
      <c r="A9" s="6" t="s">
        <v>17</v>
      </c>
      <c r="B9" s="37">
        <f>Apr!$B$4</f>
        <v>10099</v>
      </c>
      <c r="C9" s="37">
        <f t="shared" si="0"/>
        <v>1009.9000000000001</v>
      </c>
      <c r="D9">
        <f>B91</f>
        <v>1070</v>
      </c>
      <c r="E9">
        <f t="shared" si="3"/>
        <v>-371.21899999999971</v>
      </c>
      <c r="F9" s="38">
        <f t="shared" si="1"/>
        <v>0.10595108426576889</v>
      </c>
      <c r="G9" s="39">
        <f t="shared" si="4"/>
        <v>35647.81</v>
      </c>
      <c r="H9">
        <f t="shared" si="5"/>
        <v>3936</v>
      </c>
      <c r="I9" s="38">
        <f t="shared" si="2"/>
        <v>0.11041351488352301</v>
      </c>
    </row>
    <row r="10" spans="1:9">
      <c r="A10" s="6" t="s">
        <v>18</v>
      </c>
      <c r="B10" s="37">
        <f>May!$B$4</f>
        <v>6324.75</v>
      </c>
      <c r="C10" s="37">
        <f t="shared" si="0"/>
        <v>632.47500000000002</v>
      </c>
      <c r="D10">
        <f>B105</f>
        <v>890</v>
      </c>
      <c r="E10">
        <f t="shared" si="3"/>
        <v>-628.74399999999969</v>
      </c>
      <c r="F10" s="38">
        <f t="shared" si="1"/>
        <v>0.14071702438831574</v>
      </c>
      <c r="G10" s="39">
        <f t="shared" si="4"/>
        <v>41972.56</v>
      </c>
      <c r="H10">
        <f t="shared" si="5"/>
        <v>4826</v>
      </c>
      <c r="I10" s="38">
        <f t="shared" si="2"/>
        <v>0.11497988209439691</v>
      </c>
    </row>
    <row r="11" spans="1:9">
      <c r="A11" s="6" t="s">
        <v>19</v>
      </c>
      <c r="B11" s="37">
        <f>Jun!$B$4</f>
        <v>9614.4599999999991</v>
      </c>
      <c r="C11" s="37">
        <f t="shared" si="0"/>
        <v>961.44599999999991</v>
      </c>
      <c r="D11">
        <f>B119</f>
        <v>940</v>
      </c>
      <c r="E11">
        <f t="shared" si="3"/>
        <v>-607.29799999999977</v>
      </c>
      <c r="F11" s="38">
        <f t="shared" si="1"/>
        <v>9.7769401505648793E-2</v>
      </c>
      <c r="G11" s="39">
        <f t="shared" si="4"/>
        <v>51587.02</v>
      </c>
      <c r="H11">
        <f t="shared" si="5"/>
        <v>5766</v>
      </c>
      <c r="I11" s="38">
        <f t="shared" si="2"/>
        <v>0.1117723024125061</v>
      </c>
    </row>
    <row r="12" spans="1:9">
      <c r="A12" s="6" t="s">
        <v>21</v>
      </c>
      <c r="B12" s="37">
        <f>July!$B$4</f>
        <v>6844.21</v>
      </c>
      <c r="C12" s="37">
        <f t="shared" si="0"/>
        <v>684.42100000000005</v>
      </c>
      <c r="D12">
        <f>B133</f>
        <v>1220</v>
      </c>
      <c r="E12">
        <f t="shared" si="3"/>
        <v>-1142.8769999999997</v>
      </c>
      <c r="F12" s="38">
        <f t="shared" si="1"/>
        <v>0.17825285898591656</v>
      </c>
      <c r="G12" s="39">
        <f t="shared" si="4"/>
        <v>58431.229999999996</v>
      </c>
      <c r="H12">
        <f t="shared" si="5"/>
        <v>6986</v>
      </c>
      <c r="I12" s="38">
        <f t="shared" si="2"/>
        <v>0.11955935207935894</v>
      </c>
    </row>
    <row r="13" spans="1:9">
      <c r="A13" s="6" t="s">
        <v>23</v>
      </c>
      <c r="B13" s="37">
        <f>Aug!$B$4</f>
        <v>7987.7999999999993</v>
      </c>
      <c r="C13" s="37">
        <f t="shared" si="0"/>
        <v>798.78</v>
      </c>
      <c r="D13">
        <f>B149</f>
        <v>1040</v>
      </c>
      <c r="E13">
        <f t="shared" si="3"/>
        <v>-1384.0969999999998</v>
      </c>
      <c r="F13" s="38">
        <f t="shared" si="1"/>
        <v>0.13019855279300935</v>
      </c>
    </row>
    <row r="14" spans="1:9">
      <c r="A14" s="6" t="s">
        <v>24</v>
      </c>
      <c r="B14" s="37">
        <f>Sep!$B$4</f>
        <v>7159.5099999999993</v>
      </c>
      <c r="C14" s="37">
        <f t="shared" si="0"/>
        <v>715.95100000000002</v>
      </c>
      <c r="D14">
        <f>B163</f>
        <v>990</v>
      </c>
      <c r="E14">
        <f t="shared" si="3"/>
        <v>-1658.1459999999997</v>
      </c>
      <c r="F14" s="38">
        <f t="shared" si="1"/>
        <v>0.13827761955776305</v>
      </c>
    </row>
    <row r="15" spans="1:9">
      <c r="A15" s="6" t="s">
        <v>25</v>
      </c>
      <c r="B15" s="37">
        <f>Oct!$B$4</f>
        <v>7159.5099999999993</v>
      </c>
      <c r="C15" s="37">
        <f t="shared" si="0"/>
        <v>715.95100000000002</v>
      </c>
      <c r="D15">
        <f>B177</f>
        <v>970</v>
      </c>
      <c r="E15">
        <f t="shared" si="3"/>
        <v>-1912.1949999999997</v>
      </c>
      <c r="F15" s="38">
        <f t="shared" si="1"/>
        <v>0.13548413229396986</v>
      </c>
    </row>
    <row r="16" spans="1:9">
      <c r="A16" s="6" t="s">
        <v>26</v>
      </c>
      <c r="B16" s="37">
        <f>Nov!$B$4</f>
        <v>14310.77</v>
      </c>
      <c r="C16" s="37">
        <f t="shared" si="0"/>
        <v>1431.0770000000002</v>
      </c>
      <c r="D16">
        <f>B191</f>
        <v>590</v>
      </c>
      <c r="E16">
        <f t="shared" si="3"/>
        <v>-1071.1179999999995</v>
      </c>
      <c r="F16" s="38">
        <f t="shared" si="1"/>
        <v>4.1227690753187982E-2</v>
      </c>
    </row>
    <row r="17" spans="1:8">
      <c r="A17" s="6" t="s">
        <v>27</v>
      </c>
      <c r="B17" s="37">
        <f>Dec!$B$4</f>
        <v>14795.880000000001</v>
      </c>
      <c r="C17" s="37">
        <f t="shared" si="0"/>
        <v>1479.5880000000002</v>
      </c>
      <c r="D17">
        <f>B205</f>
        <v>1590</v>
      </c>
      <c r="E17">
        <f t="shared" si="3"/>
        <v>-1181.5299999999993</v>
      </c>
      <c r="F17" s="38">
        <f t="shared" si="1"/>
        <v>0.10746234762650142</v>
      </c>
    </row>
    <row r="19" spans="1:8">
      <c r="A19" t="s">
        <v>185</v>
      </c>
      <c r="B19" s="36">
        <f>SUM(B6:B17)</f>
        <v>109844.7</v>
      </c>
      <c r="C19" s="36">
        <f>SUM(C6:C17)</f>
        <v>10984.470000000001</v>
      </c>
      <c r="D19" s="36">
        <f>SUM(D6:D17)</f>
        <v>12166</v>
      </c>
    </row>
    <row r="20" spans="1:8">
      <c r="B20" s="36"/>
      <c r="C20" s="1" t="s">
        <v>186</v>
      </c>
      <c r="D20" s="36">
        <f>D19/12</f>
        <v>1013.8333333333334</v>
      </c>
    </row>
    <row r="21" spans="1:8">
      <c r="B21" s="36"/>
      <c r="C21" s="1" t="s">
        <v>187</v>
      </c>
      <c r="D21" s="40">
        <f>D19/B19</f>
        <v>0.11075636785388826</v>
      </c>
    </row>
    <row r="23" spans="1:8">
      <c r="A23" s="41" t="s">
        <v>188</v>
      </c>
      <c r="E23" s="42" t="s">
        <v>190</v>
      </c>
      <c r="F23" s="41" t="s">
        <v>191</v>
      </c>
      <c r="H23" s="42" t="s">
        <v>189</v>
      </c>
    </row>
    <row r="24" spans="1:8">
      <c r="A24" t="s">
        <v>192</v>
      </c>
      <c r="C24" t="s">
        <v>193</v>
      </c>
      <c r="E24">
        <v>4945</v>
      </c>
      <c r="H24">
        <v>4800</v>
      </c>
    </row>
    <row r="25" spans="1:8">
      <c r="A25" t="s">
        <v>194</v>
      </c>
      <c r="C25" t="s">
        <v>195</v>
      </c>
      <c r="E25">
        <f t="shared" ref="E25:E32" si="6">F50+F64+F78+F92+F106+F120+F136+F150+F164+F178+F192+F206</f>
        <v>480</v>
      </c>
      <c r="H25">
        <f>12*40</f>
        <v>480</v>
      </c>
    </row>
    <row r="26" spans="1:8">
      <c r="A26" t="s">
        <v>194</v>
      </c>
      <c r="C26" t="s">
        <v>196</v>
      </c>
      <c r="E26">
        <f t="shared" si="6"/>
        <v>1200</v>
      </c>
      <c r="H26">
        <f>12*100</f>
        <v>1200</v>
      </c>
    </row>
    <row r="27" spans="1:8">
      <c r="A27" t="s">
        <v>197</v>
      </c>
      <c r="C27" t="s">
        <v>197</v>
      </c>
      <c r="E27">
        <f t="shared" si="6"/>
        <v>1500</v>
      </c>
      <c r="H27">
        <f>12*100</f>
        <v>1200</v>
      </c>
    </row>
    <row r="28" spans="1:8">
      <c r="A28" t="s">
        <v>198</v>
      </c>
      <c r="C28" t="s">
        <v>199</v>
      </c>
      <c r="E28">
        <f t="shared" si="6"/>
        <v>600</v>
      </c>
      <c r="H28">
        <f>12*50</f>
        <v>600</v>
      </c>
    </row>
    <row r="29" spans="1:8">
      <c r="A29" t="s">
        <v>200</v>
      </c>
      <c r="C29" t="s">
        <v>201</v>
      </c>
      <c r="E29">
        <f t="shared" si="6"/>
        <v>600</v>
      </c>
      <c r="H29">
        <f>12*50</f>
        <v>600</v>
      </c>
    </row>
    <row r="30" spans="1:8">
      <c r="A30" t="s">
        <v>202</v>
      </c>
      <c r="C30" t="s">
        <v>203</v>
      </c>
      <c r="E30">
        <f t="shared" si="6"/>
        <v>1000</v>
      </c>
      <c r="H30">
        <v>1000</v>
      </c>
    </row>
    <row r="31" spans="1:8">
      <c r="A31" t="s">
        <v>202</v>
      </c>
      <c r="C31" t="s">
        <v>204</v>
      </c>
      <c r="E31">
        <f t="shared" si="6"/>
        <v>120</v>
      </c>
      <c r="H31">
        <v>120</v>
      </c>
    </row>
    <row r="32" spans="1:8">
      <c r="A32" t="s">
        <v>205</v>
      </c>
      <c r="C32" t="s">
        <v>206</v>
      </c>
      <c r="E32">
        <f t="shared" si="6"/>
        <v>800</v>
      </c>
      <c r="H32">
        <v>800</v>
      </c>
    </row>
    <row r="33" spans="1:8">
      <c r="A33" t="s">
        <v>207</v>
      </c>
      <c r="C33" s="43"/>
      <c r="E33">
        <v>200</v>
      </c>
      <c r="H33">
        <v>200</v>
      </c>
    </row>
    <row r="34" spans="1:8">
      <c r="A34" t="s">
        <v>208</v>
      </c>
      <c r="C34" s="43"/>
      <c r="E34">
        <v>400</v>
      </c>
      <c r="H34">
        <v>400</v>
      </c>
    </row>
    <row r="35" spans="1:8">
      <c r="A35" t="s">
        <v>209</v>
      </c>
      <c r="E35">
        <f>F60+F74+F88+F102+F116+F130+F146+F160+F174+F188+F202+F216</f>
        <v>266</v>
      </c>
      <c r="F35" t="s">
        <v>966</v>
      </c>
      <c r="H35">
        <f>25*12</f>
        <v>300</v>
      </c>
    </row>
    <row r="36" spans="1:8">
      <c r="A36" t="s">
        <v>210</v>
      </c>
      <c r="C36" t="s">
        <v>211</v>
      </c>
      <c r="E36">
        <v>30</v>
      </c>
      <c r="F36" t="s">
        <v>212</v>
      </c>
      <c r="H36">
        <v>30</v>
      </c>
    </row>
    <row r="37" spans="1:8">
      <c r="A37" t="s">
        <v>213</v>
      </c>
      <c r="C37" t="s">
        <v>214</v>
      </c>
      <c r="E37">
        <v>100</v>
      </c>
      <c r="F37" t="s">
        <v>215</v>
      </c>
      <c r="H37">
        <v>100</v>
      </c>
    </row>
    <row r="38" spans="1:8">
      <c r="A38" t="s">
        <v>192</v>
      </c>
      <c r="C38" t="s">
        <v>216</v>
      </c>
      <c r="E38">
        <v>20</v>
      </c>
      <c r="F38" t="s">
        <v>212</v>
      </c>
      <c r="H38">
        <v>20</v>
      </c>
    </row>
    <row r="39" spans="1:8">
      <c r="A39" t="s">
        <v>192</v>
      </c>
      <c r="C39" t="s">
        <v>217</v>
      </c>
      <c r="H39">
        <v>0</v>
      </c>
    </row>
    <row r="40" spans="1:8">
      <c r="A40" t="s">
        <v>192</v>
      </c>
      <c r="C40" t="s">
        <v>218</v>
      </c>
      <c r="H40">
        <v>0</v>
      </c>
    </row>
    <row r="41" spans="1:8">
      <c r="A41" t="s">
        <v>192</v>
      </c>
      <c r="C41" t="s">
        <v>219</v>
      </c>
      <c r="H41">
        <v>0</v>
      </c>
    </row>
    <row r="42" spans="1:8">
      <c r="E42" s="44">
        <f>SUM(E24:E41)</f>
        <v>12261</v>
      </c>
      <c r="H42" s="44">
        <f>SUM(H24:H41)</f>
        <v>11850</v>
      </c>
    </row>
    <row r="43" spans="1:8">
      <c r="H43" s="45"/>
    </row>
    <row r="44" spans="1:8">
      <c r="A44">
        <f>SUM(H35:H41)</f>
        <v>450</v>
      </c>
      <c r="B44" t="s">
        <v>220</v>
      </c>
      <c r="F44" t="s">
        <v>221</v>
      </c>
      <c r="H44" s="46">
        <f>H42/12</f>
        <v>987.5</v>
      </c>
    </row>
    <row r="45" spans="1:8">
      <c r="B45" t="s">
        <v>222</v>
      </c>
      <c r="H45" s="46">
        <f>H42/52</f>
        <v>227.88461538461539</v>
      </c>
    </row>
    <row r="47" spans="1:8">
      <c r="A47" s="47" t="s">
        <v>223</v>
      </c>
    </row>
    <row r="48" spans="1:8">
      <c r="B48" s="5" t="s">
        <v>91</v>
      </c>
      <c r="D48" t="s">
        <v>224</v>
      </c>
      <c r="E48" t="s">
        <v>225</v>
      </c>
      <c r="F48" t="s">
        <v>226</v>
      </c>
      <c r="G48" t="s">
        <v>227</v>
      </c>
    </row>
    <row r="49" spans="1:10">
      <c r="A49" s="2" t="s">
        <v>12</v>
      </c>
      <c r="B49" s="48">
        <f>SUM(F49:F61)</f>
        <v>945</v>
      </c>
      <c r="C49" t="s">
        <v>192</v>
      </c>
      <c r="D49">
        <v>1670</v>
      </c>
      <c r="E49" s="49">
        <v>40937</v>
      </c>
      <c r="F49">
        <v>300</v>
      </c>
    </row>
    <row r="50" spans="1:10">
      <c r="A50" s="2"/>
      <c r="B50" s="48"/>
      <c r="C50" t="s">
        <v>194</v>
      </c>
      <c r="D50">
        <v>1661</v>
      </c>
      <c r="E50" s="49">
        <v>40913</v>
      </c>
      <c r="F50">
        <v>40</v>
      </c>
      <c r="G50" t="s">
        <v>195</v>
      </c>
    </row>
    <row r="51" spans="1:10">
      <c r="A51" s="2"/>
      <c r="B51" s="48"/>
      <c r="C51" t="s">
        <v>194</v>
      </c>
      <c r="D51">
        <v>1661</v>
      </c>
      <c r="E51" s="49">
        <v>40913</v>
      </c>
      <c r="F51">
        <v>100</v>
      </c>
      <c r="G51" t="s">
        <v>196</v>
      </c>
      <c r="I51" t="s">
        <v>228</v>
      </c>
    </row>
    <row r="52" spans="1:10">
      <c r="A52" s="2"/>
      <c r="B52" s="48"/>
      <c r="C52" t="s">
        <v>197</v>
      </c>
      <c r="D52">
        <v>1662</v>
      </c>
      <c r="E52" s="49">
        <v>40913</v>
      </c>
      <c r="F52">
        <v>100</v>
      </c>
      <c r="G52" t="s">
        <v>197</v>
      </c>
      <c r="I52" t="s">
        <v>228</v>
      </c>
    </row>
    <row r="53" spans="1:10">
      <c r="C53" t="s">
        <v>198</v>
      </c>
      <c r="D53" s="50" t="s">
        <v>229</v>
      </c>
      <c r="E53" s="43">
        <v>40913</v>
      </c>
      <c r="F53">
        <v>50</v>
      </c>
      <c r="G53" t="s">
        <v>199</v>
      </c>
      <c r="I53" t="s">
        <v>230</v>
      </c>
    </row>
    <row r="54" spans="1:10">
      <c r="C54" t="s">
        <v>200</v>
      </c>
      <c r="D54">
        <v>1667</v>
      </c>
      <c r="E54" s="49">
        <v>40928</v>
      </c>
      <c r="F54">
        <v>50</v>
      </c>
      <c r="G54" t="s">
        <v>201</v>
      </c>
      <c r="I54" t="s">
        <v>231</v>
      </c>
    </row>
    <row r="55" spans="1:10">
      <c r="C55" t="s">
        <v>202</v>
      </c>
      <c r="D55">
        <v>1668</v>
      </c>
      <c r="E55" s="49">
        <v>40928</v>
      </c>
      <c r="F55">
        <v>250</v>
      </c>
      <c r="G55" t="s">
        <v>203</v>
      </c>
      <c r="I55" t="s">
        <v>232</v>
      </c>
      <c r="J55" t="s">
        <v>233</v>
      </c>
    </row>
    <row r="56" spans="1:10">
      <c r="C56" t="s">
        <v>202</v>
      </c>
      <c r="D56">
        <v>1668</v>
      </c>
      <c r="E56" s="49">
        <v>40928</v>
      </c>
      <c r="F56">
        <v>30</v>
      </c>
      <c r="G56" t="s">
        <v>204</v>
      </c>
    </row>
    <row r="57" spans="1:10">
      <c r="C57" t="s">
        <v>205</v>
      </c>
      <c r="E57" s="43"/>
      <c r="F57">
        <v>0</v>
      </c>
      <c r="G57" t="s">
        <v>206</v>
      </c>
      <c r="I57" t="s">
        <v>234</v>
      </c>
    </row>
    <row r="58" spans="1:10">
      <c r="C58" t="s">
        <v>207</v>
      </c>
      <c r="E58" s="43"/>
      <c r="F58">
        <v>0</v>
      </c>
    </row>
    <row r="59" spans="1:10">
      <c r="C59" t="s">
        <v>208</v>
      </c>
      <c r="E59" s="43"/>
      <c r="F59">
        <v>0</v>
      </c>
      <c r="G59" t="s">
        <v>235</v>
      </c>
      <c r="I59" t="s">
        <v>236</v>
      </c>
    </row>
    <row r="60" spans="1:10">
      <c r="C60" t="s">
        <v>209</v>
      </c>
      <c r="D60">
        <v>1669</v>
      </c>
      <c r="E60" s="49">
        <v>40928</v>
      </c>
      <c r="F60">
        <v>25</v>
      </c>
      <c r="G60" t="s">
        <v>237</v>
      </c>
    </row>
    <row r="61" spans="1:10">
      <c r="E61" s="43"/>
    </row>
    <row r="62" spans="1:10">
      <c r="E62" s="43"/>
    </row>
    <row r="63" spans="1:10">
      <c r="A63" s="2" t="s">
        <v>14</v>
      </c>
      <c r="B63" s="2">
        <f>SUM(F63:F75)</f>
        <v>910</v>
      </c>
      <c r="C63" t="s">
        <v>192</v>
      </c>
      <c r="D63">
        <v>1678</v>
      </c>
      <c r="E63" s="49">
        <v>40944</v>
      </c>
      <c r="F63">
        <v>400</v>
      </c>
    </row>
    <row r="64" spans="1:10">
      <c r="A64" s="2"/>
      <c r="B64" s="2"/>
      <c r="C64" t="s">
        <v>194</v>
      </c>
      <c r="D64">
        <v>1672</v>
      </c>
      <c r="E64" s="49">
        <v>40944</v>
      </c>
      <c r="F64">
        <v>40</v>
      </c>
      <c r="G64" t="s">
        <v>195</v>
      </c>
    </row>
    <row r="65" spans="1:10">
      <c r="A65" s="2"/>
      <c r="B65" s="2"/>
      <c r="C65" t="s">
        <v>194</v>
      </c>
      <c r="D65">
        <v>1672</v>
      </c>
      <c r="E65" s="49">
        <v>40944</v>
      </c>
      <c r="F65">
        <v>100</v>
      </c>
      <c r="G65" t="s">
        <v>196</v>
      </c>
      <c r="I65" t="s">
        <v>228</v>
      </c>
    </row>
    <row r="66" spans="1:10">
      <c r="A66" s="2"/>
      <c r="B66" s="2"/>
      <c r="C66" t="s">
        <v>197</v>
      </c>
      <c r="D66">
        <v>1673</v>
      </c>
      <c r="E66" s="49">
        <v>40944</v>
      </c>
      <c r="F66">
        <v>100</v>
      </c>
      <c r="G66" t="s">
        <v>197</v>
      </c>
      <c r="I66" t="s">
        <v>228</v>
      </c>
    </row>
    <row r="67" spans="1:10">
      <c r="A67" s="2"/>
      <c r="B67" s="2"/>
      <c r="C67" t="s">
        <v>198</v>
      </c>
      <c r="D67" s="50" t="s">
        <v>229</v>
      </c>
      <c r="E67" s="49">
        <v>40944</v>
      </c>
      <c r="F67">
        <v>50</v>
      </c>
      <c r="G67" t="s">
        <v>199</v>
      </c>
      <c r="I67" t="s">
        <v>230</v>
      </c>
    </row>
    <row r="68" spans="1:10">
      <c r="A68" s="2"/>
      <c r="B68" s="2"/>
      <c r="C68" t="s">
        <v>200</v>
      </c>
      <c r="D68">
        <v>1674</v>
      </c>
      <c r="E68" s="49">
        <v>40944</v>
      </c>
      <c r="F68">
        <v>50</v>
      </c>
      <c r="G68" t="s">
        <v>201</v>
      </c>
      <c r="I68" t="s">
        <v>231</v>
      </c>
    </row>
    <row r="69" spans="1:10">
      <c r="A69" s="2"/>
      <c r="B69" s="2"/>
      <c r="C69" t="s">
        <v>202</v>
      </c>
      <c r="E69" s="43"/>
      <c r="F69">
        <v>0</v>
      </c>
      <c r="G69" t="s">
        <v>203</v>
      </c>
      <c r="I69" t="s">
        <v>232</v>
      </c>
      <c r="J69" t="s">
        <v>233</v>
      </c>
    </row>
    <row r="70" spans="1:10">
      <c r="A70" s="2"/>
      <c r="B70" s="2"/>
      <c r="C70" t="s">
        <v>202</v>
      </c>
      <c r="E70" s="43"/>
      <c r="F70">
        <v>0</v>
      </c>
      <c r="G70" t="s">
        <v>204</v>
      </c>
    </row>
    <row r="71" spans="1:10">
      <c r="A71" s="2"/>
      <c r="B71" s="2"/>
      <c r="C71" t="s">
        <v>205</v>
      </c>
      <c r="E71" s="43"/>
      <c r="F71">
        <v>0</v>
      </c>
      <c r="G71" t="s">
        <v>206</v>
      </c>
      <c r="I71" t="s">
        <v>234</v>
      </c>
    </row>
    <row r="72" spans="1:10">
      <c r="A72" s="2"/>
      <c r="B72" s="2"/>
      <c r="C72" t="s">
        <v>207</v>
      </c>
      <c r="D72">
        <v>1676</v>
      </c>
      <c r="E72" s="43">
        <v>40944</v>
      </c>
      <c r="F72">
        <v>50</v>
      </c>
    </row>
    <row r="73" spans="1:10">
      <c r="A73" s="2"/>
      <c r="B73" s="2"/>
      <c r="C73" t="s">
        <v>208</v>
      </c>
      <c r="D73">
        <v>1677</v>
      </c>
      <c r="E73" s="43">
        <v>40944</v>
      </c>
      <c r="F73">
        <v>100</v>
      </c>
      <c r="G73" t="s">
        <v>235</v>
      </c>
      <c r="I73" t="s">
        <v>236</v>
      </c>
    </row>
    <row r="74" spans="1:10">
      <c r="A74" s="2"/>
      <c r="B74" s="2"/>
      <c r="C74" t="s">
        <v>209</v>
      </c>
      <c r="F74">
        <v>0</v>
      </c>
    </row>
    <row r="75" spans="1:10">
      <c r="A75" s="2"/>
      <c r="B75" s="2"/>
      <c r="C75" t="s">
        <v>192</v>
      </c>
      <c r="D75">
        <v>1678</v>
      </c>
      <c r="E75" s="43">
        <v>40944</v>
      </c>
      <c r="F75">
        <v>20</v>
      </c>
      <c r="G75" t="s">
        <v>216</v>
      </c>
      <c r="H75" t="s">
        <v>238</v>
      </c>
    </row>
    <row r="76" spans="1:10">
      <c r="E76" s="43"/>
    </row>
    <row r="77" spans="1:10">
      <c r="A77" s="2" t="s">
        <v>15</v>
      </c>
      <c r="B77" s="2">
        <f>SUM(F77:F90)</f>
        <v>1011</v>
      </c>
      <c r="C77" t="s">
        <v>192</v>
      </c>
      <c r="D77">
        <v>1688</v>
      </c>
      <c r="E77" s="49">
        <v>40972</v>
      </c>
      <c r="F77">
        <v>400</v>
      </c>
    </row>
    <row r="78" spans="1:10">
      <c r="A78" s="2"/>
      <c r="B78" s="2"/>
      <c r="C78" t="s">
        <v>194</v>
      </c>
      <c r="D78">
        <v>1696</v>
      </c>
      <c r="E78" s="49">
        <v>40970</v>
      </c>
      <c r="F78">
        <v>40</v>
      </c>
      <c r="G78" t="s">
        <v>195</v>
      </c>
    </row>
    <row r="79" spans="1:10">
      <c r="A79" s="2"/>
      <c r="B79" s="2"/>
      <c r="C79" t="s">
        <v>194</v>
      </c>
      <c r="D79">
        <v>1696</v>
      </c>
      <c r="E79" s="49">
        <v>40978</v>
      </c>
      <c r="F79">
        <v>100</v>
      </c>
      <c r="G79" t="s">
        <v>196</v>
      </c>
      <c r="I79" t="s">
        <v>228</v>
      </c>
    </row>
    <row r="80" spans="1:10">
      <c r="A80" s="2"/>
      <c r="B80" s="2"/>
      <c r="C80" t="s">
        <v>197</v>
      </c>
      <c r="D80">
        <v>1687</v>
      </c>
      <c r="E80" s="49">
        <v>40969</v>
      </c>
      <c r="F80">
        <v>100</v>
      </c>
      <c r="G80" t="s">
        <v>197</v>
      </c>
      <c r="I80" t="s">
        <v>228</v>
      </c>
    </row>
    <row r="81" spans="1:10">
      <c r="A81" s="2"/>
      <c r="B81" s="2"/>
      <c r="C81" t="s">
        <v>198</v>
      </c>
      <c r="D81" t="s">
        <v>229</v>
      </c>
      <c r="E81" s="49">
        <v>40973</v>
      </c>
      <c r="F81">
        <v>50</v>
      </c>
      <c r="G81" t="s">
        <v>199</v>
      </c>
      <c r="I81" t="s">
        <v>230</v>
      </c>
    </row>
    <row r="82" spans="1:10">
      <c r="C82" t="s">
        <v>200</v>
      </c>
      <c r="D82" t="s">
        <v>229</v>
      </c>
      <c r="E82" s="43">
        <v>40975</v>
      </c>
      <c r="F82">
        <v>50</v>
      </c>
      <c r="G82" t="s">
        <v>201</v>
      </c>
      <c r="I82" t="s">
        <v>231</v>
      </c>
    </row>
    <row r="83" spans="1:10">
      <c r="C83" t="s">
        <v>202</v>
      </c>
      <c r="E83" s="43"/>
      <c r="F83">
        <v>0</v>
      </c>
      <c r="G83" t="s">
        <v>203</v>
      </c>
      <c r="I83" t="s">
        <v>232</v>
      </c>
      <c r="J83" t="s">
        <v>233</v>
      </c>
    </row>
    <row r="84" spans="1:10">
      <c r="C84" t="s">
        <v>202</v>
      </c>
      <c r="E84" s="43"/>
      <c r="F84">
        <v>0</v>
      </c>
      <c r="G84" t="s">
        <v>204</v>
      </c>
    </row>
    <row r="85" spans="1:10">
      <c r="C85" t="s">
        <v>205</v>
      </c>
      <c r="D85">
        <v>1689</v>
      </c>
      <c r="E85" s="43">
        <v>40978</v>
      </c>
      <c r="F85">
        <v>200</v>
      </c>
      <c r="G85" t="s">
        <v>206</v>
      </c>
      <c r="I85" t="s">
        <v>234</v>
      </c>
    </row>
    <row r="86" spans="1:10">
      <c r="C86" t="s">
        <v>207</v>
      </c>
      <c r="E86" s="43"/>
      <c r="F86">
        <v>0</v>
      </c>
    </row>
    <row r="87" spans="1:10">
      <c r="C87" t="s">
        <v>208</v>
      </c>
      <c r="E87" s="43"/>
      <c r="F87">
        <v>0</v>
      </c>
      <c r="G87" t="s">
        <v>235</v>
      </c>
      <c r="I87" t="s">
        <v>236</v>
      </c>
    </row>
    <row r="88" spans="1:10">
      <c r="C88" t="s">
        <v>209</v>
      </c>
      <c r="D88">
        <v>1693</v>
      </c>
      <c r="E88" s="49">
        <v>40979</v>
      </c>
      <c r="F88">
        <v>41</v>
      </c>
      <c r="G88" t="s">
        <v>239</v>
      </c>
    </row>
    <row r="89" spans="1:10">
      <c r="A89" s="2"/>
      <c r="B89" s="2"/>
      <c r="C89" t="s">
        <v>210</v>
      </c>
      <c r="D89">
        <v>1694</v>
      </c>
      <c r="E89" s="43">
        <v>41216</v>
      </c>
      <c r="F89">
        <v>30</v>
      </c>
      <c r="G89" t="s">
        <v>211</v>
      </c>
      <c r="I89" t="s">
        <v>240</v>
      </c>
    </row>
    <row r="90" spans="1:10">
      <c r="A90" s="2"/>
      <c r="B90" s="2"/>
      <c r="E90" s="43"/>
    </row>
    <row r="91" spans="1:10">
      <c r="A91" s="2" t="s">
        <v>17</v>
      </c>
      <c r="B91" s="2">
        <f>SUM(F91:F103)</f>
        <v>1070</v>
      </c>
      <c r="C91" t="s">
        <v>192</v>
      </c>
      <c r="D91">
        <v>1702</v>
      </c>
      <c r="E91" s="49">
        <v>41007</v>
      </c>
      <c r="F91">
        <v>400</v>
      </c>
    </row>
    <row r="92" spans="1:10">
      <c r="C92" t="s">
        <v>194</v>
      </c>
      <c r="D92">
        <v>1704</v>
      </c>
      <c r="E92" s="49">
        <v>41007</v>
      </c>
      <c r="F92">
        <v>40</v>
      </c>
      <c r="G92" t="s">
        <v>195</v>
      </c>
    </row>
    <row r="93" spans="1:10">
      <c r="C93" t="s">
        <v>194</v>
      </c>
      <c r="D93">
        <v>1704</v>
      </c>
      <c r="E93" s="49">
        <v>41007</v>
      </c>
      <c r="F93">
        <v>100</v>
      </c>
      <c r="G93" t="s">
        <v>196</v>
      </c>
      <c r="I93" t="s">
        <v>228</v>
      </c>
    </row>
    <row r="94" spans="1:10">
      <c r="C94" t="s">
        <v>197</v>
      </c>
      <c r="D94" t="s">
        <v>229</v>
      </c>
      <c r="E94" s="49">
        <v>41000</v>
      </c>
      <c r="F94">
        <v>100</v>
      </c>
      <c r="G94" t="s">
        <v>197</v>
      </c>
      <c r="I94" t="s">
        <v>228</v>
      </c>
    </row>
    <row r="95" spans="1:10">
      <c r="C95" t="s">
        <v>198</v>
      </c>
      <c r="D95" t="s">
        <v>229</v>
      </c>
      <c r="E95" s="49">
        <v>41004</v>
      </c>
      <c r="F95">
        <v>50</v>
      </c>
      <c r="G95" t="s">
        <v>199</v>
      </c>
      <c r="I95" t="s">
        <v>230</v>
      </c>
      <c r="J95" t="s">
        <v>233</v>
      </c>
    </row>
    <row r="96" spans="1:10">
      <c r="C96" t="s">
        <v>200</v>
      </c>
      <c r="D96" t="s">
        <v>229</v>
      </c>
      <c r="E96" s="49">
        <v>41006</v>
      </c>
      <c r="F96">
        <v>50</v>
      </c>
      <c r="G96" t="s">
        <v>201</v>
      </c>
      <c r="I96" t="s">
        <v>231</v>
      </c>
    </row>
    <row r="97" spans="1:9">
      <c r="C97" t="s">
        <v>202</v>
      </c>
      <c r="D97">
        <v>1705</v>
      </c>
      <c r="E97" s="49">
        <v>41007</v>
      </c>
      <c r="F97">
        <v>250</v>
      </c>
      <c r="G97" t="s">
        <v>203</v>
      </c>
      <c r="I97" t="s">
        <v>232</v>
      </c>
    </row>
    <row r="98" spans="1:9">
      <c r="C98" t="s">
        <v>202</v>
      </c>
      <c r="D98">
        <v>1705</v>
      </c>
      <c r="E98" s="49">
        <v>41007</v>
      </c>
      <c r="F98">
        <v>30</v>
      </c>
      <c r="G98" t="s">
        <v>204</v>
      </c>
    </row>
    <row r="99" spans="1:9">
      <c r="C99" t="s">
        <v>205</v>
      </c>
      <c r="E99" s="43"/>
      <c r="F99">
        <v>0</v>
      </c>
      <c r="G99" t="s">
        <v>206</v>
      </c>
      <c r="I99" t="s">
        <v>234</v>
      </c>
    </row>
    <row r="100" spans="1:9">
      <c r="C100" t="s">
        <v>207</v>
      </c>
      <c r="E100" s="43"/>
      <c r="F100">
        <v>0</v>
      </c>
    </row>
    <row r="101" spans="1:9">
      <c r="C101" t="s">
        <v>208</v>
      </c>
      <c r="E101" s="43"/>
      <c r="F101">
        <v>0</v>
      </c>
    </row>
    <row r="102" spans="1:9">
      <c r="C102" t="s">
        <v>209</v>
      </c>
      <c r="F102">
        <v>0</v>
      </c>
    </row>
    <row r="103" spans="1:9">
      <c r="C103" t="s">
        <v>241</v>
      </c>
      <c r="D103">
        <v>1707</v>
      </c>
      <c r="E103" s="43" t="s">
        <v>242</v>
      </c>
      <c r="F103">
        <v>50</v>
      </c>
    </row>
    <row r="104" spans="1:9">
      <c r="E104" s="43"/>
    </row>
    <row r="105" spans="1:9">
      <c r="A105" s="2" t="s">
        <v>18</v>
      </c>
      <c r="B105" s="2">
        <f>SUM(F105:F118)</f>
        <v>890</v>
      </c>
      <c r="C105" t="s">
        <v>192</v>
      </c>
      <c r="D105">
        <v>1711</v>
      </c>
      <c r="E105" s="43">
        <v>41065</v>
      </c>
      <c r="F105">
        <v>400</v>
      </c>
    </row>
    <row r="106" spans="1:9">
      <c r="A106" s="2"/>
      <c r="B106" s="2"/>
      <c r="C106" t="s">
        <v>194</v>
      </c>
      <c r="D106">
        <v>1709</v>
      </c>
      <c r="E106" s="43">
        <v>41065</v>
      </c>
      <c r="F106">
        <v>40</v>
      </c>
      <c r="G106" t="s">
        <v>195</v>
      </c>
    </row>
    <row r="107" spans="1:9">
      <c r="A107" s="2"/>
      <c r="B107" s="2"/>
      <c r="C107" t="s">
        <v>194</v>
      </c>
      <c r="D107">
        <v>1709</v>
      </c>
      <c r="E107" s="43">
        <v>41065</v>
      </c>
      <c r="F107">
        <v>100</v>
      </c>
      <c r="G107" t="s">
        <v>196</v>
      </c>
      <c r="I107" t="s">
        <v>228</v>
      </c>
    </row>
    <row r="108" spans="1:9">
      <c r="A108" s="2"/>
      <c r="B108" s="2"/>
      <c r="C108" t="s">
        <v>197</v>
      </c>
      <c r="D108" t="s">
        <v>229</v>
      </c>
      <c r="E108" s="43">
        <v>40913</v>
      </c>
      <c r="F108">
        <v>100</v>
      </c>
      <c r="G108" t="s">
        <v>197</v>
      </c>
      <c r="I108" t="s">
        <v>228</v>
      </c>
    </row>
    <row r="109" spans="1:9">
      <c r="A109" s="2"/>
      <c r="B109" s="2"/>
      <c r="C109" t="s">
        <v>198</v>
      </c>
      <c r="D109" t="s">
        <v>229</v>
      </c>
      <c r="E109" s="43">
        <v>41034</v>
      </c>
      <c r="F109">
        <v>50</v>
      </c>
      <c r="G109" t="s">
        <v>199</v>
      </c>
      <c r="I109" t="s">
        <v>230</v>
      </c>
    </row>
    <row r="110" spans="1:9">
      <c r="A110" s="2"/>
      <c r="B110" s="2"/>
      <c r="C110" t="s">
        <v>200</v>
      </c>
      <c r="D110" t="s">
        <v>229</v>
      </c>
      <c r="E110" s="43">
        <v>41095</v>
      </c>
      <c r="F110">
        <v>50</v>
      </c>
      <c r="G110" t="s">
        <v>201</v>
      </c>
      <c r="I110" t="s">
        <v>231</v>
      </c>
    </row>
    <row r="111" spans="1:9">
      <c r="A111" s="2"/>
      <c r="B111" s="2"/>
      <c r="C111" t="s">
        <v>202</v>
      </c>
      <c r="E111" s="43"/>
      <c r="F111">
        <v>0</v>
      </c>
      <c r="G111" t="s">
        <v>203</v>
      </c>
      <c r="I111" t="s">
        <v>232</v>
      </c>
    </row>
    <row r="112" spans="1:9">
      <c r="A112" s="2"/>
      <c r="B112" s="2"/>
      <c r="C112" t="s">
        <v>202</v>
      </c>
      <c r="E112" s="43"/>
      <c r="F112">
        <v>0</v>
      </c>
      <c r="G112" t="s">
        <v>204</v>
      </c>
    </row>
    <row r="113" spans="1:10">
      <c r="A113" s="2"/>
      <c r="B113" s="2"/>
      <c r="C113" t="s">
        <v>205</v>
      </c>
      <c r="E113" s="43"/>
      <c r="F113">
        <v>0</v>
      </c>
      <c r="G113" t="s">
        <v>206</v>
      </c>
      <c r="I113" t="s">
        <v>234</v>
      </c>
    </row>
    <row r="114" spans="1:10">
      <c r="A114" s="2"/>
      <c r="B114" s="2"/>
      <c r="C114" t="s">
        <v>207</v>
      </c>
      <c r="D114">
        <v>1710</v>
      </c>
      <c r="E114" s="43">
        <v>41065</v>
      </c>
      <c r="F114">
        <v>50</v>
      </c>
    </row>
    <row r="115" spans="1:10">
      <c r="A115" s="2"/>
      <c r="B115" s="2"/>
      <c r="C115" t="s">
        <v>208</v>
      </c>
      <c r="D115">
        <v>1712</v>
      </c>
      <c r="E115" s="43">
        <v>41065</v>
      </c>
      <c r="F115">
        <v>100</v>
      </c>
    </row>
    <row r="116" spans="1:10">
      <c r="A116" s="2"/>
      <c r="B116" s="2"/>
      <c r="C116" t="s">
        <v>209</v>
      </c>
      <c r="F116">
        <v>0</v>
      </c>
    </row>
    <row r="117" spans="1:10">
      <c r="A117" s="2"/>
      <c r="B117" s="2"/>
      <c r="E117" s="43"/>
    </row>
    <row r="118" spans="1:10">
      <c r="A118" s="2"/>
      <c r="B118" s="2"/>
    </row>
    <row r="119" spans="1:10">
      <c r="A119" s="2" t="s">
        <v>19</v>
      </c>
      <c r="B119" s="2">
        <f>SUM(F119:F130)</f>
        <v>940</v>
      </c>
      <c r="C119" t="s">
        <v>192</v>
      </c>
      <c r="D119">
        <v>1719</v>
      </c>
      <c r="E119" s="49">
        <v>41064</v>
      </c>
      <c r="F119">
        <v>400</v>
      </c>
    </row>
    <row r="120" spans="1:10">
      <c r="A120" s="2"/>
      <c r="B120" s="2"/>
      <c r="C120" t="s">
        <v>194</v>
      </c>
      <c r="D120">
        <v>1717</v>
      </c>
      <c r="E120" s="49">
        <v>41064</v>
      </c>
      <c r="F120">
        <v>40</v>
      </c>
      <c r="G120" t="s">
        <v>195</v>
      </c>
    </row>
    <row r="121" spans="1:10">
      <c r="A121" s="2"/>
      <c r="B121" s="2"/>
      <c r="C121" t="s">
        <v>194</v>
      </c>
      <c r="D121">
        <v>1717</v>
      </c>
      <c r="E121" s="49">
        <v>41064</v>
      </c>
      <c r="F121">
        <v>100</v>
      </c>
      <c r="G121" t="s">
        <v>196</v>
      </c>
      <c r="I121" t="s">
        <v>228</v>
      </c>
    </row>
    <row r="122" spans="1:10">
      <c r="A122" s="2"/>
      <c r="B122" s="2"/>
      <c r="C122" t="s">
        <v>197</v>
      </c>
      <c r="D122" t="s">
        <v>229</v>
      </c>
      <c r="E122" s="49">
        <v>41061</v>
      </c>
      <c r="F122">
        <v>100</v>
      </c>
      <c r="G122" t="s">
        <v>197</v>
      </c>
      <c r="I122" t="s">
        <v>228</v>
      </c>
    </row>
    <row r="123" spans="1:10">
      <c r="A123" s="2"/>
      <c r="B123" s="2"/>
      <c r="C123" t="s">
        <v>198</v>
      </c>
      <c r="D123" t="s">
        <v>229</v>
      </c>
      <c r="E123" s="49">
        <v>41065</v>
      </c>
      <c r="F123">
        <v>50</v>
      </c>
      <c r="G123" t="s">
        <v>199</v>
      </c>
      <c r="I123" t="s">
        <v>230</v>
      </c>
      <c r="J123" t="s">
        <v>243</v>
      </c>
    </row>
    <row r="124" spans="1:10">
      <c r="A124" s="2"/>
      <c r="B124" s="2"/>
      <c r="C124" t="s">
        <v>200</v>
      </c>
      <c r="D124" t="s">
        <v>229</v>
      </c>
      <c r="E124" s="43">
        <v>41067</v>
      </c>
      <c r="F124">
        <v>50</v>
      </c>
      <c r="G124" t="s">
        <v>201</v>
      </c>
      <c r="I124" t="s">
        <v>231</v>
      </c>
    </row>
    <row r="125" spans="1:10">
      <c r="A125" s="2"/>
      <c r="B125" s="2"/>
      <c r="C125" t="s">
        <v>202</v>
      </c>
      <c r="E125" s="43"/>
      <c r="F125">
        <v>0</v>
      </c>
      <c r="G125" t="s">
        <v>203</v>
      </c>
      <c r="I125" t="s">
        <v>232</v>
      </c>
    </row>
    <row r="126" spans="1:10">
      <c r="A126" s="2"/>
      <c r="B126" s="2"/>
      <c r="C126" t="s">
        <v>202</v>
      </c>
      <c r="E126" s="43"/>
      <c r="F126">
        <v>0</v>
      </c>
      <c r="G126" t="s">
        <v>204</v>
      </c>
    </row>
    <row r="127" spans="1:10">
      <c r="A127" s="2"/>
      <c r="B127" s="2"/>
      <c r="C127" t="s">
        <v>205</v>
      </c>
      <c r="D127">
        <v>1718</v>
      </c>
      <c r="E127" s="43">
        <v>41064</v>
      </c>
      <c r="F127">
        <v>200</v>
      </c>
      <c r="G127" t="s">
        <v>206</v>
      </c>
      <c r="I127" t="s">
        <v>234</v>
      </c>
    </row>
    <row r="128" spans="1:10">
      <c r="A128" s="2"/>
      <c r="B128" s="2"/>
      <c r="C128" t="s">
        <v>207</v>
      </c>
      <c r="E128" s="43"/>
      <c r="F128">
        <v>0</v>
      </c>
      <c r="J128" t="s">
        <v>244</v>
      </c>
    </row>
    <row r="129" spans="1:9">
      <c r="A129" s="2"/>
      <c r="B129" s="2"/>
      <c r="C129" t="s">
        <v>208</v>
      </c>
      <c r="E129" s="43"/>
      <c r="F129">
        <v>0</v>
      </c>
    </row>
    <row r="130" spans="1:9">
      <c r="A130" s="2"/>
      <c r="B130" s="2"/>
      <c r="C130" t="s">
        <v>209</v>
      </c>
      <c r="F130">
        <v>0</v>
      </c>
      <c r="G130" t="s">
        <v>237</v>
      </c>
    </row>
    <row r="131" spans="1:9">
      <c r="A131" s="2"/>
      <c r="B131" s="2"/>
    </row>
    <row r="132" spans="1:9">
      <c r="A132" s="2"/>
      <c r="B132" s="2"/>
    </row>
    <row r="133" spans="1:9">
      <c r="A133" s="2" t="s">
        <v>21</v>
      </c>
      <c r="B133" s="2">
        <f>SUM(F133:F148)</f>
        <v>1220</v>
      </c>
      <c r="C133" t="s">
        <v>192</v>
      </c>
      <c r="D133">
        <v>1730</v>
      </c>
      <c r="E133" s="49">
        <v>41098</v>
      </c>
      <c r="F133">
        <v>400</v>
      </c>
    </row>
    <row r="134" spans="1:9">
      <c r="A134" s="2"/>
      <c r="B134" s="2"/>
      <c r="C134" t="s">
        <v>192</v>
      </c>
      <c r="D134">
        <v>1731</v>
      </c>
      <c r="E134" s="49">
        <v>41099</v>
      </c>
      <c r="F134">
        <v>25</v>
      </c>
      <c r="G134" t="s">
        <v>245</v>
      </c>
    </row>
    <row r="135" spans="1:9">
      <c r="A135" s="2"/>
      <c r="B135" s="2"/>
      <c r="C135" t="s">
        <v>192</v>
      </c>
      <c r="D135">
        <v>1732</v>
      </c>
      <c r="E135" s="49">
        <v>41101</v>
      </c>
      <c r="F135">
        <v>25</v>
      </c>
      <c r="G135" t="s">
        <v>245</v>
      </c>
    </row>
    <row r="136" spans="1:9">
      <c r="A136" s="2"/>
      <c r="B136" s="2"/>
      <c r="C136" t="s">
        <v>194</v>
      </c>
      <c r="D136">
        <v>1727</v>
      </c>
      <c r="E136" s="49">
        <v>41091</v>
      </c>
      <c r="F136">
        <v>40</v>
      </c>
      <c r="G136" t="s">
        <v>195</v>
      </c>
    </row>
    <row r="137" spans="1:9">
      <c r="A137" s="2"/>
      <c r="B137" s="2"/>
      <c r="C137" t="s">
        <v>194</v>
      </c>
      <c r="D137">
        <v>1727</v>
      </c>
      <c r="E137" s="49">
        <v>41091</v>
      </c>
      <c r="F137">
        <v>100</v>
      </c>
      <c r="G137" t="s">
        <v>196</v>
      </c>
      <c r="I137" t="s">
        <v>228</v>
      </c>
    </row>
    <row r="138" spans="1:9">
      <c r="A138" s="2"/>
      <c r="B138" s="2"/>
      <c r="C138" t="s">
        <v>197</v>
      </c>
      <c r="D138">
        <v>1726</v>
      </c>
      <c r="E138" s="49">
        <v>41091</v>
      </c>
      <c r="F138">
        <v>150</v>
      </c>
      <c r="G138" t="s">
        <v>197</v>
      </c>
      <c r="I138" t="s">
        <v>228</v>
      </c>
    </row>
    <row r="139" spans="1:9">
      <c r="A139" s="2"/>
      <c r="B139" s="2"/>
      <c r="C139" t="s">
        <v>198</v>
      </c>
      <c r="D139" t="s">
        <v>229</v>
      </c>
      <c r="E139" s="49">
        <v>41095</v>
      </c>
      <c r="F139">
        <v>50</v>
      </c>
      <c r="G139" t="s">
        <v>199</v>
      </c>
      <c r="I139" t="s">
        <v>230</v>
      </c>
    </row>
    <row r="140" spans="1:9">
      <c r="A140" s="2"/>
      <c r="B140" s="2"/>
      <c r="C140" t="s">
        <v>200</v>
      </c>
      <c r="D140" t="s">
        <v>229</v>
      </c>
      <c r="E140" s="43">
        <v>41097</v>
      </c>
      <c r="F140">
        <v>50</v>
      </c>
      <c r="G140" t="s">
        <v>201</v>
      </c>
      <c r="I140" t="s">
        <v>231</v>
      </c>
    </row>
    <row r="141" spans="1:9">
      <c r="A141" s="2"/>
      <c r="B141" s="2"/>
      <c r="C141" t="s">
        <v>202</v>
      </c>
      <c r="D141">
        <v>1728</v>
      </c>
      <c r="E141" s="43">
        <v>41091</v>
      </c>
      <c r="F141">
        <v>250</v>
      </c>
      <c r="G141" t="s">
        <v>203</v>
      </c>
      <c r="I141" t="s">
        <v>232</v>
      </c>
    </row>
    <row r="142" spans="1:9">
      <c r="A142" s="2"/>
      <c r="B142" s="2"/>
      <c r="C142" t="s">
        <v>202</v>
      </c>
      <c r="D142">
        <v>1728</v>
      </c>
      <c r="E142" s="43">
        <v>41091</v>
      </c>
      <c r="F142">
        <v>30</v>
      </c>
      <c r="G142" t="s">
        <v>204</v>
      </c>
    </row>
    <row r="143" spans="1:9">
      <c r="A143" s="2"/>
      <c r="B143" s="2"/>
      <c r="C143" t="s">
        <v>205</v>
      </c>
      <c r="E143" s="43"/>
      <c r="F143">
        <v>0</v>
      </c>
      <c r="G143" t="s">
        <v>206</v>
      </c>
      <c r="I143" t="s">
        <v>234</v>
      </c>
    </row>
    <row r="144" spans="1:9">
      <c r="A144" s="2"/>
      <c r="B144" s="2"/>
      <c r="C144" t="s">
        <v>207</v>
      </c>
      <c r="E144" s="43"/>
      <c r="F144">
        <v>0</v>
      </c>
    </row>
    <row r="145" spans="1:10">
      <c r="A145" s="2"/>
      <c r="B145" s="2"/>
      <c r="C145" t="s">
        <v>208</v>
      </c>
      <c r="E145" s="43"/>
      <c r="F145">
        <v>0</v>
      </c>
      <c r="J145" t="s">
        <v>233</v>
      </c>
    </row>
    <row r="146" spans="1:10">
      <c r="A146" s="2"/>
      <c r="B146" s="2"/>
      <c r="C146" t="s">
        <v>209</v>
      </c>
      <c r="F146">
        <v>0</v>
      </c>
      <c r="G146" t="s">
        <v>237</v>
      </c>
    </row>
    <row r="147" spans="1:10">
      <c r="A147" s="2"/>
      <c r="B147" s="2"/>
      <c r="C147" t="s">
        <v>213</v>
      </c>
      <c r="D147">
        <v>1729</v>
      </c>
      <c r="E147" s="49">
        <v>41091</v>
      </c>
      <c r="F147">
        <v>100</v>
      </c>
      <c r="G147" t="s">
        <v>214</v>
      </c>
      <c r="I147" t="s">
        <v>246</v>
      </c>
    </row>
    <row r="148" spans="1:10">
      <c r="A148" s="2"/>
      <c r="B148" s="2"/>
      <c r="E148" s="43"/>
    </row>
    <row r="149" spans="1:10">
      <c r="A149" s="2" t="s">
        <v>23</v>
      </c>
      <c r="B149" s="2">
        <f>SUM(F149:F160)</f>
        <v>1040</v>
      </c>
      <c r="C149" t="s">
        <v>192</v>
      </c>
      <c r="D149">
        <v>1736</v>
      </c>
      <c r="E149" s="193" t="s">
        <v>627</v>
      </c>
      <c r="F149">
        <v>400</v>
      </c>
    </row>
    <row r="150" spans="1:10">
      <c r="A150" s="2"/>
      <c r="B150" s="2"/>
      <c r="C150" t="s">
        <v>194</v>
      </c>
      <c r="D150">
        <v>1737</v>
      </c>
      <c r="E150" s="193" t="s">
        <v>627</v>
      </c>
      <c r="F150">
        <v>40</v>
      </c>
      <c r="G150" t="s">
        <v>195</v>
      </c>
    </row>
    <row r="151" spans="1:10">
      <c r="A151" s="2"/>
      <c r="B151" s="2"/>
      <c r="C151" t="s">
        <v>194</v>
      </c>
      <c r="D151">
        <v>1737</v>
      </c>
      <c r="E151" s="193" t="s">
        <v>627</v>
      </c>
      <c r="F151">
        <v>100</v>
      </c>
      <c r="G151" t="s">
        <v>196</v>
      </c>
      <c r="I151" t="s">
        <v>228</v>
      </c>
    </row>
    <row r="152" spans="1:10">
      <c r="A152" s="2"/>
      <c r="B152" s="2"/>
      <c r="C152" t="s">
        <v>197</v>
      </c>
      <c r="D152">
        <v>1738</v>
      </c>
      <c r="E152" s="194" t="s">
        <v>628</v>
      </c>
      <c r="F152">
        <v>150</v>
      </c>
      <c r="G152" t="s">
        <v>197</v>
      </c>
      <c r="I152" t="s">
        <v>228</v>
      </c>
    </row>
    <row r="153" spans="1:10">
      <c r="A153" s="2"/>
      <c r="B153" s="2"/>
      <c r="C153" t="s">
        <v>198</v>
      </c>
      <c r="D153" t="s">
        <v>229</v>
      </c>
      <c r="E153" s="193" t="s">
        <v>627</v>
      </c>
      <c r="F153">
        <v>50</v>
      </c>
      <c r="G153" t="s">
        <v>199</v>
      </c>
      <c r="I153" t="s">
        <v>230</v>
      </c>
    </row>
    <row r="154" spans="1:10">
      <c r="A154" s="2"/>
      <c r="B154" s="2"/>
      <c r="C154" t="s">
        <v>200</v>
      </c>
      <c r="D154" t="s">
        <v>229</v>
      </c>
      <c r="E154" s="195" t="s">
        <v>629</v>
      </c>
      <c r="F154">
        <v>50</v>
      </c>
      <c r="G154" t="s">
        <v>201</v>
      </c>
      <c r="I154" t="s">
        <v>231</v>
      </c>
    </row>
    <row r="155" spans="1:10">
      <c r="A155" s="2"/>
      <c r="B155" s="2"/>
      <c r="C155" t="s">
        <v>202</v>
      </c>
      <c r="E155" s="43"/>
      <c r="F155">
        <v>0</v>
      </c>
      <c r="G155" t="s">
        <v>203</v>
      </c>
      <c r="I155" t="s">
        <v>232</v>
      </c>
    </row>
    <row r="156" spans="1:10">
      <c r="A156" s="2"/>
      <c r="B156" s="2"/>
      <c r="C156" t="s">
        <v>202</v>
      </c>
      <c r="E156" s="43"/>
      <c r="F156">
        <v>0</v>
      </c>
      <c r="G156" t="s">
        <v>204</v>
      </c>
    </row>
    <row r="157" spans="1:10">
      <c r="A157" s="2"/>
      <c r="B157" s="2"/>
      <c r="C157" t="s">
        <v>205</v>
      </c>
      <c r="E157" s="43"/>
      <c r="F157">
        <v>0</v>
      </c>
      <c r="G157" t="s">
        <v>206</v>
      </c>
      <c r="I157" t="s">
        <v>234</v>
      </c>
    </row>
    <row r="158" spans="1:10">
      <c r="C158" t="s">
        <v>630</v>
      </c>
      <c r="D158">
        <v>1739</v>
      </c>
      <c r="E158" s="193" t="s">
        <v>627</v>
      </c>
      <c r="F158">
        <v>50</v>
      </c>
    </row>
    <row r="159" spans="1:10">
      <c r="C159" t="s">
        <v>208</v>
      </c>
      <c r="D159">
        <v>1740</v>
      </c>
      <c r="E159" s="193" t="s">
        <v>627</v>
      </c>
      <c r="F159">
        <v>100</v>
      </c>
    </row>
    <row r="160" spans="1:10">
      <c r="C160" t="s">
        <v>209</v>
      </c>
      <c r="D160">
        <v>1741</v>
      </c>
      <c r="E160" s="193" t="s">
        <v>627</v>
      </c>
      <c r="F160">
        <v>100</v>
      </c>
      <c r="G160" t="s">
        <v>237</v>
      </c>
    </row>
    <row r="162" spans="1:10">
      <c r="E162" s="43"/>
    </row>
    <row r="163" spans="1:10">
      <c r="A163" s="2" t="s">
        <v>24</v>
      </c>
      <c r="B163" s="2">
        <f>SUM(F163:F174)</f>
        <v>990</v>
      </c>
      <c r="C163" t="s">
        <v>192</v>
      </c>
      <c r="D163">
        <v>1746</v>
      </c>
      <c r="E163" s="193" t="s">
        <v>667</v>
      </c>
      <c r="F163">
        <v>400</v>
      </c>
    </row>
    <row r="164" spans="1:10">
      <c r="A164" s="2"/>
      <c r="B164" s="2"/>
      <c r="C164" t="s">
        <v>194</v>
      </c>
      <c r="D164" t="s">
        <v>668</v>
      </c>
      <c r="E164" s="215">
        <v>41153</v>
      </c>
      <c r="F164">
        <v>40</v>
      </c>
      <c r="G164" t="s">
        <v>195</v>
      </c>
    </row>
    <row r="165" spans="1:10">
      <c r="A165" s="2"/>
      <c r="B165" s="2"/>
      <c r="C165" t="s">
        <v>194</v>
      </c>
      <c r="D165" t="s">
        <v>668</v>
      </c>
      <c r="E165" s="215">
        <v>41153</v>
      </c>
      <c r="F165">
        <v>100</v>
      </c>
      <c r="G165" t="s">
        <v>196</v>
      </c>
      <c r="I165" t="s">
        <v>228</v>
      </c>
    </row>
    <row r="166" spans="1:10">
      <c r="A166" s="2"/>
      <c r="B166" s="2"/>
      <c r="C166" t="s">
        <v>197</v>
      </c>
      <c r="D166" t="s">
        <v>229</v>
      </c>
      <c r="E166" s="215">
        <v>41153</v>
      </c>
      <c r="F166">
        <v>150</v>
      </c>
      <c r="G166" t="s">
        <v>197</v>
      </c>
      <c r="I166" t="s">
        <v>228</v>
      </c>
    </row>
    <row r="167" spans="1:10">
      <c r="A167" s="2"/>
      <c r="B167" s="2"/>
      <c r="C167" t="s">
        <v>198</v>
      </c>
      <c r="D167" t="s">
        <v>229</v>
      </c>
      <c r="E167" s="215">
        <v>41157</v>
      </c>
      <c r="F167">
        <v>50</v>
      </c>
      <c r="G167" t="s">
        <v>199</v>
      </c>
      <c r="I167" t="s">
        <v>230</v>
      </c>
    </row>
    <row r="168" spans="1:10">
      <c r="A168" s="2"/>
      <c r="B168" s="2"/>
      <c r="C168" t="s">
        <v>200</v>
      </c>
      <c r="D168" t="s">
        <v>229</v>
      </c>
      <c r="E168" s="43">
        <v>41159</v>
      </c>
      <c r="F168">
        <v>50</v>
      </c>
      <c r="G168" t="s">
        <v>201</v>
      </c>
      <c r="I168" t="s">
        <v>231</v>
      </c>
    </row>
    <row r="169" spans="1:10">
      <c r="A169" s="2"/>
      <c r="B169" s="2"/>
      <c r="C169" t="s">
        <v>202</v>
      </c>
      <c r="E169" s="43"/>
      <c r="F169">
        <v>0</v>
      </c>
      <c r="G169" t="s">
        <v>203</v>
      </c>
      <c r="I169" t="s">
        <v>232</v>
      </c>
    </row>
    <row r="170" spans="1:10">
      <c r="A170" s="2"/>
      <c r="B170" s="2"/>
      <c r="C170" t="s">
        <v>202</v>
      </c>
      <c r="E170" s="43"/>
      <c r="F170">
        <v>0</v>
      </c>
      <c r="G170" t="s">
        <v>204</v>
      </c>
    </row>
    <row r="171" spans="1:10">
      <c r="A171" s="2"/>
      <c r="B171" s="2"/>
      <c r="C171" t="s">
        <v>205</v>
      </c>
      <c r="E171" s="43">
        <v>41153</v>
      </c>
      <c r="F171">
        <v>200</v>
      </c>
      <c r="G171" t="s">
        <v>206</v>
      </c>
      <c r="I171" t="s">
        <v>234</v>
      </c>
    </row>
    <row r="172" spans="1:10">
      <c r="A172" s="2"/>
      <c r="B172" s="2"/>
      <c r="C172" t="s">
        <v>207</v>
      </c>
      <c r="E172" s="43"/>
      <c r="F172">
        <v>0</v>
      </c>
    </row>
    <row r="173" spans="1:10">
      <c r="A173" s="2"/>
      <c r="B173" s="2"/>
      <c r="C173" t="s">
        <v>208</v>
      </c>
      <c r="E173" s="43"/>
      <c r="F173">
        <v>0</v>
      </c>
      <c r="J173" t="s">
        <v>243</v>
      </c>
    </row>
    <row r="174" spans="1:10">
      <c r="A174" s="2"/>
      <c r="B174" s="2"/>
      <c r="C174" t="s">
        <v>209</v>
      </c>
      <c r="F174">
        <v>0</v>
      </c>
      <c r="G174" t="s">
        <v>237</v>
      </c>
    </row>
    <row r="175" spans="1:10">
      <c r="D175" s="43"/>
      <c r="E175" s="43"/>
    </row>
    <row r="176" spans="1:10">
      <c r="A176" s="2"/>
      <c r="B176" s="2"/>
    </row>
    <row r="177" spans="1:10">
      <c r="A177" s="2" t="s">
        <v>25</v>
      </c>
      <c r="B177" s="2">
        <f>SUM(F177:F188)</f>
        <v>970</v>
      </c>
      <c r="C177" t="s">
        <v>192</v>
      </c>
      <c r="D177">
        <v>1758</v>
      </c>
      <c r="E177" s="193" t="s">
        <v>682</v>
      </c>
      <c r="F177">
        <v>200</v>
      </c>
    </row>
    <row r="178" spans="1:10">
      <c r="A178" s="2"/>
      <c r="B178" s="2"/>
      <c r="C178" t="s">
        <v>194</v>
      </c>
      <c r="D178" t="s">
        <v>668</v>
      </c>
      <c r="E178" s="215">
        <v>41183</v>
      </c>
      <c r="F178">
        <v>40</v>
      </c>
      <c r="G178" t="s">
        <v>195</v>
      </c>
    </row>
    <row r="179" spans="1:10">
      <c r="A179" s="2"/>
      <c r="B179" s="2"/>
      <c r="C179" t="s">
        <v>194</v>
      </c>
      <c r="D179" t="s">
        <v>668</v>
      </c>
      <c r="E179" s="215">
        <v>41183</v>
      </c>
      <c r="F179">
        <v>100</v>
      </c>
      <c r="G179" t="s">
        <v>196</v>
      </c>
      <c r="I179" t="s">
        <v>228</v>
      </c>
    </row>
    <row r="180" spans="1:10">
      <c r="A180" s="2"/>
      <c r="B180" s="2"/>
      <c r="C180" t="s">
        <v>197</v>
      </c>
      <c r="D180" t="s">
        <v>229</v>
      </c>
      <c r="E180" s="215">
        <v>41183</v>
      </c>
      <c r="F180">
        <v>150</v>
      </c>
      <c r="G180" t="s">
        <v>197</v>
      </c>
      <c r="I180" t="s">
        <v>228</v>
      </c>
    </row>
    <row r="181" spans="1:10">
      <c r="A181" s="2"/>
      <c r="B181" s="2"/>
      <c r="C181" t="s">
        <v>198</v>
      </c>
      <c r="D181" t="s">
        <v>229</v>
      </c>
      <c r="E181" s="215">
        <v>41187</v>
      </c>
      <c r="F181">
        <v>50</v>
      </c>
      <c r="G181" t="s">
        <v>199</v>
      </c>
      <c r="I181" t="s">
        <v>230</v>
      </c>
    </row>
    <row r="182" spans="1:10">
      <c r="A182" s="2"/>
      <c r="B182" s="2"/>
      <c r="C182" t="s">
        <v>200</v>
      </c>
      <c r="D182" t="s">
        <v>229</v>
      </c>
      <c r="E182" s="43">
        <v>41189</v>
      </c>
      <c r="F182">
        <v>50</v>
      </c>
      <c r="G182" t="s">
        <v>201</v>
      </c>
      <c r="I182" t="s">
        <v>231</v>
      </c>
    </row>
    <row r="183" spans="1:10">
      <c r="A183" s="2"/>
      <c r="B183" s="2"/>
      <c r="C183" t="s">
        <v>202</v>
      </c>
      <c r="D183">
        <v>1759</v>
      </c>
      <c r="E183" s="43">
        <v>41189</v>
      </c>
      <c r="F183">
        <v>250</v>
      </c>
      <c r="G183" t="s">
        <v>203</v>
      </c>
      <c r="I183" t="s">
        <v>232</v>
      </c>
    </row>
    <row r="184" spans="1:10">
      <c r="A184" s="2"/>
      <c r="B184" s="2"/>
      <c r="C184" t="s">
        <v>202</v>
      </c>
      <c r="D184">
        <v>1759</v>
      </c>
      <c r="E184" s="43">
        <v>41189</v>
      </c>
      <c r="F184">
        <v>30</v>
      </c>
      <c r="G184" t="s">
        <v>204</v>
      </c>
    </row>
    <row r="185" spans="1:10">
      <c r="A185" s="2"/>
      <c r="B185" s="2"/>
      <c r="C185" t="s">
        <v>205</v>
      </c>
      <c r="E185" s="43"/>
      <c r="F185">
        <v>0</v>
      </c>
      <c r="G185" t="s">
        <v>206</v>
      </c>
      <c r="I185" t="s">
        <v>234</v>
      </c>
    </row>
    <row r="186" spans="1:10">
      <c r="A186" s="2"/>
      <c r="B186" s="2"/>
      <c r="C186" t="s">
        <v>207</v>
      </c>
      <c r="E186" s="43"/>
      <c r="F186">
        <v>0</v>
      </c>
    </row>
    <row r="187" spans="1:10">
      <c r="A187" s="2"/>
      <c r="B187" s="2"/>
      <c r="C187" t="s">
        <v>208</v>
      </c>
      <c r="E187" s="43"/>
      <c r="F187">
        <v>0</v>
      </c>
    </row>
    <row r="188" spans="1:10">
      <c r="C188" t="s">
        <v>209</v>
      </c>
      <c r="D188">
        <v>1760</v>
      </c>
      <c r="E188" s="215">
        <v>41204</v>
      </c>
      <c r="F188">
        <v>100</v>
      </c>
      <c r="G188" t="s">
        <v>247</v>
      </c>
    </row>
    <row r="189" spans="1:10">
      <c r="A189" s="2"/>
      <c r="B189" s="2"/>
    </row>
    <row r="190" spans="1:10">
      <c r="A190" s="2"/>
      <c r="B190" s="2"/>
      <c r="E190" s="43"/>
      <c r="J190" t="s">
        <v>233</v>
      </c>
    </row>
    <row r="191" spans="1:10">
      <c r="A191" s="2" t="s">
        <v>26</v>
      </c>
      <c r="B191" s="2">
        <f>SUM(F191:F202)</f>
        <v>590</v>
      </c>
      <c r="C191" t="s">
        <v>192</v>
      </c>
      <c r="D191">
        <v>1762</v>
      </c>
      <c r="E191" s="195">
        <v>41217</v>
      </c>
      <c r="F191">
        <v>200</v>
      </c>
    </row>
    <row r="192" spans="1:10">
      <c r="A192" s="2"/>
      <c r="B192" s="2"/>
      <c r="C192" t="s">
        <v>194</v>
      </c>
      <c r="D192" t="s">
        <v>668</v>
      </c>
      <c r="E192" s="195">
        <v>41214</v>
      </c>
      <c r="F192">
        <v>40</v>
      </c>
      <c r="G192" t="s">
        <v>195</v>
      </c>
    </row>
    <row r="193" spans="1:9">
      <c r="A193" s="2"/>
      <c r="B193" s="2"/>
      <c r="C193" t="s">
        <v>194</v>
      </c>
      <c r="D193" t="s">
        <v>668</v>
      </c>
      <c r="E193" s="215">
        <v>41214</v>
      </c>
      <c r="F193">
        <v>100</v>
      </c>
      <c r="G193" t="s">
        <v>196</v>
      </c>
      <c r="I193" t="s">
        <v>228</v>
      </c>
    </row>
    <row r="194" spans="1:9">
      <c r="A194" s="2"/>
      <c r="B194" s="2"/>
      <c r="C194" t="s">
        <v>197</v>
      </c>
      <c r="D194" t="s">
        <v>229</v>
      </c>
      <c r="E194" s="215">
        <v>41214</v>
      </c>
      <c r="F194">
        <v>150</v>
      </c>
      <c r="G194" t="s">
        <v>197</v>
      </c>
      <c r="I194" t="s">
        <v>228</v>
      </c>
    </row>
    <row r="195" spans="1:9">
      <c r="A195" s="2"/>
      <c r="B195" s="2"/>
      <c r="C195" t="s">
        <v>198</v>
      </c>
      <c r="D195" t="s">
        <v>229</v>
      </c>
      <c r="E195" s="215">
        <v>41218</v>
      </c>
      <c r="F195">
        <v>50</v>
      </c>
      <c r="G195" t="s">
        <v>199</v>
      </c>
      <c r="I195" t="s">
        <v>230</v>
      </c>
    </row>
    <row r="196" spans="1:9">
      <c r="A196" s="2"/>
      <c r="B196" s="2"/>
      <c r="C196" t="s">
        <v>200</v>
      </c>
      <c r="D196" t="s">
        <v>229</v>
      </c>
      <c r="E196" s="43">
        <v>41220</v>
      </c>
      <c r="F196">
        <v>50</v>
      </c>
      <c r="G196" t="s">
        <v>201</v>
      </c>
      <c r="I196" t="s">
        <v>231</v>
      </c>
    </row>
    <row r="197" spans="1:9">
      <c r="A197" s="2"/>
      <c r="B197" s="2"/>
      <c r="C197" t="s">
        <v>202</v>
      </c>
      <c r="E197" s="43"/>
      <c r="F197">
        <v>0</v>
      </c>
      <c r="G197" t="s">
        <v>203</v>
      </c>
      <c r="I197" t="s">
        <v>232</v>
      </c>
    </row>
    <row r="198" spans="1:9">
      <c r="A198" s="2"/>
      <c r="B198" s="2"/>
      <c r="C198" t="s">
        <v>202</v>
      </c>
      <c r="E198" s="43"/>
      <c r="F198">
        <v>0</v>
      </c>
      <c r="G198" t="s">
        <v>204</v>
      </c>
    </row>
    <row r="199" spans="1:9">
      <c r="C199" t="s">
        <v>205</v>
      </c>
      <c r="E199" s="43"/>
      <c r="F199">
        <v>0</v>
      </c>
      <c r="G199" t="s">
        <v>206</v>
      </c>
      <c r="I199" t="s">
        <v>234</v>
      </c>
    </row>
    <row r="200" spans="1:9">
      <c r="C200" t="s">
        <v>207</v>
      </c>
      <c r="E200" s="43"/>
      <c r="F200">
        <v>0</v>
      </c>
    </row>
    <row r="201" spans="1:9">
      <c r="C201" t="s">
        <v>208</v>
      </c>
      <c r="E201" s="43"/>
      <c r="F201">
        <v>0</v>
      </c>
    </row>
    <row r="202" spans="1:9">
      <c r="C202" t="s">
        <v>209</v>
      </c>
      <c r="F202">
        <v>0</v>
      </c>
      <c r="G202" t="s">
        <v>247</v>
      </c>
    </row>
    <row r="204" spans="1:9">
      <c r="E204" s="43"/>
    </row>
    <row r="205" spans="1:9">
      <c r="A205" s="2" t="s">
        <v>27</v>
      </c>
      <c r="B205" s="2">
        <f>SUM(F205:F216)</f>
        <v>1590</v>
      </c>
      <c r="C205" t="s">
        <v>192</v>
      </c>
      <c r="D205">
        <v>1775</v>
      </c>
      <c r="E205" s="215">
        <v>41273</v>
      </c>
      <c r="F205">
        <v>1000</v>
      </c>
    </row>
    <row r="206" spans="1:9">
      <c r="C206" t="s">
        <v>194</v>
      </c>
      <c r="D206" t="s">
        <v>668</v>
      </c>
      <c r="E206" s="215">
        <v>41244</v>
      </c>
      <c r="F206">
        <v>40</v>
      </c>
      <c r="G206" t="s">
        <v>195</v>
      </c>
    </row>
    <row r="207" spans="1:9">
      <c r="C207" t="s">
        <v>194</v>
      </c>
      <c r="D207" t="s">
        <v>668</v>
      </c>
      <c r="E207" s="215">
        <v>41244</v>
      </c>
      <c r="F207">
        <v>100</v>
      </c>
      <c r="G207" t="s">
        <v>196</v>
      </c>
      <c r="I207" t="s">
        <v>228</v>
      </c>
    </row>
    <row r="208" spans="1:9">
      <c r="C208" t="s">
        <v>197</v>
      </c>
      <c r="D208" t="s">
        <v>229</v>
      </c>
      <c r="E208" s="215">
        <v>41244</v>
      </c>
      <c r="F208">
        <v>150</v>
      </c>
      <c r="G208" t="s">
        <v>197</v>
      </c>
      <c r="I208" t="s">
        <v>228</v>
      </c>
    </row>
    <row r="209" spans="3:10">
      <c r="C209" t="s">
        <v>198</v>
      </c>
      <c r="D209" t="s">
        <v>229</v>
      </c>
      <c r="E209" s="215">
        <v>41248</v>
      </c>
      <c r="F209">
        <v>50</v>
      </c>
      <c r="G209" t="s">
        <v>199</v>
      </c>
      <c r="I209" t="s">
        <v>230</v>
      </c>
    </row>
    <row r="210" spans="3:10">
      <c r="C210" t="s">
        <v>200</v>
      </c>
      <c r="E210" s="43">
        <v>41250</v>
      </c>
      <c r="F210">
        <v>50</v>
      </c>
      <c r="G210" t="s">
        <v>201</v>
      </c>
      <c r="I210" t="s">
        <v>231</v>
      </c>
    </row>
    <row r="211" spans="3:10">
      <c r="C211" t="s">
        <v>202</v>
      </c>
      <c r="E211" s="43"/>
      <c r="F211">
        <v>0</v>
      </c>
      <c r="G211" t="s">
        <v>203</v>
      </c>
      <c r="I211" t="s">
        <v>232</v>
      </c>
    </row>
    <row r="212" spans="3:10">
      <c r="C212" t="s">
        <v>202</v>
      </c>
      <c r="E212" s="43"/>
      <c r="F212">
        <v>0</v>
      </c>
      <c r="G212" t="s">
        <v>204</v>
      </c>
    </row>
    <row r="213" spans="3:10">
      <c r="C213" t="s">
        <v>205</v>
      </c>
      <c r="E213" s="43">
        <v>41245</v>
      </c>
      <c r="F213">
        <v>200</v>
      </c>
      <c r="G213" t="s">
        <v>206</v>
      </c>
      <c r="I213" t="s">
        <v>234</v>
      </c>
    </row>
    <row r="214" spans="3:10">
      <c r="C214" t="s">
        <v>207</v>
      </c>
      <c r="E214" s="43"/>
      <c r="F214">
        <v>0</v>
      </c>
      <c r="J214" t="s">
        <v>243</v>
      </c>
    </row>
    <row r="215" spans="3:10">
      <c r="C215" t="s">
        <v>208</v>
      </c>
      <c r="E215" s="43"/>
      <c r="F215">
        <v>0</v>
      </c>
    </row>
    <row r="216" spans="3:10">
      <c r="C216" t="s">
        <v>209</v>
      </c>
      <c r="F216">
        <v>0</v>
      </c>
      <c r="G216" t="s">
        <v>237</v>
      </c>
      <c r="I216" t="s">
        <v>684</v>
      </c>
    </row>
    <row r="218" spans="3:10">
      <c r="E218" s="43"/>
      <c r="F218" s="51">
        <f>SUM(F49:F216)</f>
        <v>12166</v>
      </c>
    </row>
  </sheetData>
  <sheetProtection selectLockedCells="1" selectUnlockedCells="1"/>
  <pageMargins left="0.74803149606299213" right="0.74803149606299213" top="0.98425196850393704" bottom="0.98425196850393704" header="0.51181102362204722" footer="0.51181102362204722"/>
  <pageSetup firstPageNumber="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dimension ref="A1:CG65530"/>
  <sheetViews>
    <sheetView topLeftCell="A40" zoomScale="84" zoomScaleNormal="84" workbookViewId="0">
      <selection activeCell="AL47" sqref="AL47"/>
    </sheetView>
  </sheetViews>
  <sheetFormatPr defaultRowHeight="12.75"/>
  <cols>
    <col min="3" max="3" width="3.5703125" customWidth="1"/>
    <col min="5" max="5" width="3.5703125" customWidth="1"/>
    <col min="7" max="7" width="3.42578125" customWidth="1"/>
    <col min="9" max="9" width="2.42578125" customWidth="1"/>
    <col min="10" max="10" width="10.5703125" customWidth="1"/>
    <col min="11" max="11" width="2.7109375" customWidth="1"/>
    <col min="12" max="12" width="10.5703125" customWidth="1"/>
    <col min="13" max="13" width="3.28515625" customWidth="1"/>
    <col min="14" max="14" width="10" customWidth="1"/>
    <col min="15" max="15" width="2.140625" customWidth="1"/>
    <col min="16" max="16" width="10" customWidth="1"/>
    <col min="17" max="17" width="3.140625" customWidth="1"/>
    <col min="18" max="19" width="12.140625" customWidth="1"/>
    <col min="20" max="20" width="13" customWidth="1"/>
    <col min="21" max="21" width="12.7109375" customWidth="1"/>
    <col min="27" max="28" width="9" style="52" customWidth="1"/>
    <col min="29" max="29" width="1.7109375" style="52" customWidth="1"/>
    <col min="30" max="30" width="9" style="52" customWidth="1"/>
    <col min="31" max="31" width="1.7109375" style="52" customWidth="1"/>
    <col min="32" max="32" width="9.140625" style="52"/>
    <col min="33" max="33" width="3" style="52" customWidth="1"/>
    <col min="34" max="34" width="9" style="52" customWidth="1"/>
    <col min="35" max="35" width="3" style="52" customWidth="1"/>
    <col min="36" max="36" width="10.28515625" style="52" customWidth="1"/>
    <col min="37" max="37" width="2.85546875" style="52" customWidth="1"/>
    <col min="38" max="38" width="10.28515625" style="52" customWidth="1"/>
    <col min="39" max="39" width="3" style="52" customWidth="1"/>
    <col min="40" max="40" width="9.28515625" style="52" customWidth="1"/>
    <col min="41" max="41" width="5.28515625" style="52" customWidth="1"/>
    <col min="42" max="42" width="9" style="52" customWidth="1"/>
    <col min="43" max="43" width="2.85546875" style="52" customWidth="1"/>
    <col min="44" max="44" width="11.5703125" style="52" customWidth="1"/>
    <col min="45" max="45" width="2.7109375" style="52" customWidth="1"/>
    <col min="46" max="46" width="10.85546875" style="52" customWidth="1"/>
    <col min="47" max="47" width="4" style="52" customWidth="1"/>
    <col min="48" max="48" width="9" style="52" customWidth="1"/>
    <col min="49" max="49" width="3.28515625" style="52" customWidth="1"/>
    <col min="50" max="50" width="11.5703125" style="52" customWidth="1"/>
    <col min="51" max="51" width="1.85546875" style="52" customWidth="1"/>
    <col min="52" max="52" width="9.28515625" style="52" customWidth="1"/>
    <col min="53" max="53" width="4.140625" style="52" customWidth="1"/>
    <col min="54" max="54" width="10.5703125" style="52" customWidth="1"/>
    <col min="55" max="55" width="3.7109375" style="52" customWidth="1"/>
    <col min="56" max="56" width="10" style="52" customWidth="1"/>
    <col min="57" max="57" width="1.85546875" style="52" customWidth="1"/>
    <col min="58" max="58" width="3.42578125" style="52" customWidth="1"/>
    <col min="59" max="67" width="9" style="52" customWidth="1"/>
  </cols>
  <sheetData>
    <row r="1" spans="1:85" ht="15.75">
      <c r="A1" s="53" t="s">
        <v>248</v>
      </c>
      <c r="AA1" s="54" t="s">
        <v>249</v>
      </c>
      <c r="AF1" s="55" t="s">
        <v>690</v>
      </c>
    </row>
    <row r="2" spans="1:85">
      <c r="A2" s="4"/>
      <c r="B2" s="56" t="s">
        <v>250</v>
      </c>
      <c r="AA2" s="52" t="s">
        <v>251</v>
      </c>
      <c r="AT2" s="52" t="s">
        <v>252</v>
      </c>
      <c r="AV2" s="57"/>
      <c r="AW2" s="57"/>
    </row>
    <row r="3" spans="1:85">
      <c r="AA3" s="52" t="s">
        <v>253</v>
      </c>
      <c r="BG3" s="58"/>
    </row>
    <row r="4" spans="1:85">
      <c r="AA4" s="52" t="s">
        <v>254</v>
      </c>
    </row>
    <row r="5" spans="1:85">
      <c r="A5" t="s">
        <v>255</v>
      </c>
      <c r="AA5" s="52" t="s">
        <v>256</v>
      </c>
    </row>
    <row r="6" spans="1:85">
      <c r="A6" t="s">
        <v>257</v>
      </c>
      <c r="H6" s="56" t="s">
        <v>258</v>
      </c>
      <c r="AA6" s="52" t="s">
        <v>263</v>
      </c>
    </row>
    <row r="7" spans="1:85">
      <c r="A7" t="s">
        <v>259</v>
      </c>
      <c r="H7" t="s">
        <v>260</v>
      </c>
      <c r="AA7" s="52" t="s">
        <v>261</v>
      </c>
    </row>
    <row r="8" spans="1:85">
      <c r="A8" t="s">
        <v>262</v>
      </c>
      <c r="H8" s="194" t="s">
        <v>662</v>
      </c>
      <c r="AA8" s="52" t="s">
        <v>737</v>
      </c>
    </row>
    <row r="9" spans="1:85">
      <c r="A9" t="s">
        <v>263</v>
      </c>
      <c r="AA9" s="59" t="s">
        <v>264</v>
      </c>
    </row>
    <row r="10" spans="1:85" s="5" customFormat="1">
      <c r="A10" t="s">
        <v>265</v>
      </c>
      <c r="B10"/>
      <c r="C10"/>
      <c r="D10"/>
      <c r="E10"/>
      <c r="F10"/>
      <c r="G10"/>
      <c r="H10"/>
      <c r="I10"/>
      <c r="J10" s="60"/>
      <c r="K10"/>
      <c r="L10"/>
      <c r="M10"/>
      <c r="N10"/>
      <c r="O10"/>
      <c r="P10"/>
      <c r="Q10"/>
      <c r="R10"/>
      <c r="S10"/>
      <c r="T10"/>
      <c r="U10"/>
      <c r="V10"/>
      <c r="W10"/>
      <c r="X10"/>
      <c r="AA10" s="59"/>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8" t="s">
        <v>266</v>
      </c>
      <c r="BH10" s="52"/>
      <c r="BI10" s="57"/>
      <c r="BJ10" s="52"/>
      <c r="BK10" s="52"/>
      <c r="BL10" s="52"/>
      <c r="BM10" s="52"/>
      <c r="BN10" s="52"/>
      <c r="BO10" s="52"/>
      <c r="BP10"/>
      <c r="BQ10"/>
      <c r="BR10"/>
      <c r="BS10"/>
      <c r="BT10"/>
      <c r="BU10"/>
      <c r="BV10"/>
      <c r="BW10"/>
      <c r="BX10"/>
      <c r="BY10"/>
      <c r="BZ10"/>
      <c r="CA10"/>
      <c r="CB10"/>
      <c r="CC10"/>
      <c r="CD10"/>
      <c r="CE10"/>
      <c r="CF10"/>
      <c r="CG10"/>
    </row>
    <row r="11" spans="1:85">
      <c r="R11" t="s">
        <v>267</v>
      </c>
      <c r="BG11" s="58" t="s">
        <v>268</v>
      </c>
      <c r="BI11" s="57" t="s">
        <v>269</v>
      </c>
    </row>
    <row r="12" spans="1:85">
      <c r="A12" s="61" t="s">
        <v>270</v>
      </c>
      <c r="B12" s="61">
        <v>2005</v>
      </c>
      <c r="C12" s="61"/>
      <c r="D12" s="61">
        <v>2006</v>
      </c>
      <c r="E12" s="61"/>
      <c r="F12" s="61">
        <v>2007</v>
      </c>
      <c r="G12" s="61"/>
      <c r="H12" s="61">
        <v>2008</v>
      </c>
      <c r="I12" s="61"/>
      <c r="J12" s="61">
        <v>2009</v>
      </c>
      <c r="K12" s="61" t="s">
        <v>271</v>
      </c>
      <c r="L12" s="61">
        <v>2010</v>
      </c>
      <c r="M12" s="61"/>
      <c r="N12" s="61">
        <v>2011</v>
      </c>
      <c r="O12" s="62"/>
      <c r="P12" s="61">
        <v>2012</v>
      </c>
      <c r="Q12" s="61"/>
      <c r="R12" s="61" t="s">
        <v>272</v>
      </c>
      <c r="S12" s="61" t="s">
        <v>273</v>
      </c>
      <c r="T12" s="61" t="s">
        <v>274</v>
      </c>
      <c r="AA12" s="63"/>
      <c r="AB12" s="64">
        <v>2005</v>
      </c>
      <c r="AC12" s="65"/>
      <c r="AD12" s="65">
        <v>2006</v>
      </c>
      <c r="AE12" s="65"/>
      <c r="AF12" s="65">
        <v>2007</v>
      </c>
      <c r="AG12" s="65"/>
      <c r="AH12" s="65">
        <v>2008</v>
      </c>
      <c r="AI12" s="65"/>
      <c r="AJ12" s="65">
        <v>2009</v>
      </c>
      <c r="AK12" s="65"/>
      <c r="AL12" s="65">
        <v>2010</v>
      </c>
      <c r="AM12" s="66"/>
      <c r="AN12" s="64"/>
      <c r="AO12" s="65"/>
      <c r="AP12" s="67">
        <v>2011</v>
      </c>
      <c r="AQ12" s="65"/>
      <c r="AR12" s="65"/>
      <c r="AS12" s="66"/>
      <c r="AT12" s="64"/>
      <c r="AU12" s="65"/>
      <c r="AV12" s="67">
        <v>2012</v>
      </c>
      <c r="AW12" s="65"/>
      <c r="AX12" s="68"/>
      <c r="AY12" s="66"/>
      <c r="AZ12" s="64"/>
      <c r="BA12" s="65"/>
      <c r="BB12" s="67">
        <v>2013</v>
      </c>
      <c r="BC12" s="65"/>
      <c r="BD12" s="68"/>
      <c r="BE12" s="66"/>
      <c r="BF12" s="69"/>
      <c r="BG12" s="58"/>
      <c r="BI12" s="57"/>
    </row>
    <row r="13" spans="1:85">
      <c r="A13" t="s">
        <v>275</v>
      </c>
      <c r="B13">
        <v>167.72</v>
      </c>
      <c r="D13">
        <v>102.62</v>
      </c>
      <c r="F13">
        <v>97.68</v>
      </c>
      <c r="H13">
        <v>91.56</v>
      </c>
      <c r="I13" t="s">
        <v>276</v>
      </c>
      <c r="J13">
        <v>104.87</v>
      </c>
      <c r="K13" t="s">
        <v>277</v>
      </c>
      <c r="L13">
        <v>48.23</v>
      </c>
      <c r="M13" t="s">
        <v>276</v>
      </c>
      <c r="N13">
        <v>99.75</v>
      </c>
      <c r="P13">
        <v>84.51</v>
      </c>
      <c r="R13">
        <f>(674+616+657+253+556+471)/6</f>
        <v>537.83333333333337</v>
      </c>
      <c r="S13">
        <v>674</v>
      </c>
      <c r="T13">
        <v>471</v>
      </c>
      <c r="AA13" s="63"/>
      <c r="AB13" s="70"/>
      <c r="AC13" s="71"/>
      <c r="AD13" s="71"/>
      <c r="AE13" s="71"/>
      <c r="AF13" s="71"/>
      <c r="AG13" s="71"/>
      <c r="AH13" s="72" t="s">
        <v>278</v>
      </c>
      <c r="AI13" s="71"/>
      <c r="AJ13" s="71"/>
      <c r="AK13" s="71"/>
      <c r="AL13" s="71"/>
      <c r="AM13" s="73"/>
      <c r="AN13" s="74" t="s">
        <v>279</v>
      </c>
      <c r="AO13" s="75"/>
      <c r="AP13" s="74" t="s">
        <v>280</v>
      </c>
      <c r="AQ13" s="75"/>
      <c r="AR13" s="74" t="s">
        <v>281</v>
      </c>
      <c r="AS13" s="76"/>
      <c r="AT13" s="74" t="s">
        <v>279</v>
      </c>
      <c r="AU13" s="73"/>
      <c r="AV13" s="74" t="s">
        <v>280</v>
      </c>
      <c r="AW13" s="75"/>
      <c r="AX13" s="74" t="s">
        <v>281</v>
      </c>
      <c r="AY13" s="73"/>
      <c r="AZ13" s="74" t="s">
        <v>279</v>
      </c>
      <c r="BA13" s="73"/>
      <c r="BB13" s="74" t="s">
        <v>280</v>
      </c>
      <c r="BC13" s="75"/>
      <c r="BD13" s="74" t="s">
        <v>281</v>
      </c>
      <c r="BE13" s="73"/>
      <c r="BF13" s="69"/>
      <c r="BG13" s="58"/>
      <c r="BI13" s="57"/>
    </row>
    <row r="14" spans="1:85">
      <c r="A14" t="s">
        <v>282</v>
      </c>
      <c r="B14">
        <v>143.57</v>
      </c>
      <c r="D14">
        <v>88.5</v>
      </c>
      <c r="F14">
        <v>93.15</v>
      </c>
      <c r="H14">
        <v>124.37</v>
      </c>
      <c r="J14">
        <v>205.96</v>
      </c>
      <c r="K14" t="s">
        <v>277</v>
      </c>
      <c r="L14">
        <v>121.21</v>
      </c>
      <c r="N14">
        <v>136.62</v>
      </c>
      <c r="O14" t="s">
        <v>283</v>
      </c>
      <c r="P14">
        <v>146.86000000000001</v>
      </c>
      <c r="R14">
        <f>(633+843+(584+730)+(392+343)+(421+371)+(501+383))/6</f>
        <v>866.83333333333337</v>
      </c>
      <c r="S14">
        <v>1314</v>
      </c>
      <c r="T14">
        <v>633</v>
      </c>
      <c r="AA14" s="77"/>
      <c r="AB14" s="78"/>
      <c r="AC14" s="79"/>
      <c r="AD14" s="79"/>
      <c r="AE14" s="79"/>
      <c r="AF14" s="79"/>
      <c r="AG14" s="79"/>
      <c r="AH14" s="79"/>
      <c r="AI14" s="79"/>
      <c r="AJ14" s="79"/>
      <c r="AK14" s="79"/>
      <c r="AL14" s="79"/>
      <c r="AM14" s="80"/>
      <c r="AN14" s="78"/>
      <c r="AO14" s="81"/>
      <c r="AP14" s="82" t="s">
        <v>284</v>
      </c>
      <c r="AQ14" s="83"/>
      <c r="AR14" s="89"/>
      <c r="AS14" s="90"/>
      <c r="AT14" s="84" t="s">
        <v>285</v>
      </c>
      <c r="AU14" s="85" t="s">
        <v>286</v>
      </c>
      <c r="AV14" s="82" t="s">
        <v>284</v>
      </c>
      <c r="AW14" s="83"/>
      <c r="AX14" s="78"/>
      <c r="AY14" s="80"/>
      <c r="AZ14" s="84" t="s">
        <v>285</v>
      </c>
      <c r="BA14" s="85" t="s">
        <v>286</v>
      </c>
      <c r="BB14" s="82" t="s">
        <v>284</v>
      </c>
      <c r="BC14" s="83"/>
      <c r="BD14" s="78"/>
      <c r="BE14" s="80"/>
      <c r="BF14" s="69"/>
      <c r="BG14" s="52" t="s">
        <v>665</v>
      </c>
      <c r="BI14" s="52" t="s">
        <v>288</v>
      </c>
      <c r="BJ14" s="52" t="s">
        <v>289</v>
      </c>
      <c r="BK14" s="52" t="s">
        <v>287</v>
      </c>
    </row>
    <row r="15" spans="1:85">
      <c r="A15" t="s">
        <v>290</v>
      </c>
      <c r="B15">
        <v>0</v>
      </c>
      <c r="D15">
        <v>79.930000000000007</v>
      </c>
      <c r="F15">
        <v>73.63</v>
      </c>
      <c r="H15">
        <v>101.93</v>
      </c>
      <c r="J15">
        <v>133.68</v>
      </c>
      <c r="K15" t="s">
        <v>277</v>
      </c>
      <c r="L15">
        <v>107.63</v>
      </c>
      <c r="N15">
        <v>116.84</v>
      </c>
      <c r="O15" t="s">
        <v>283</v>
      </c>
      <c r="P15">
        <v>125.86</v>
      </c>
      <c r="R15">
        <f>(488+679+815+646+670+759)/6</f>
        <v>676.16666666666663</v>
      </c>
      <c r="S15">
        <v>815</v>
      </c>
      <c r="T15">
        <v>488</v>
      </c>
      <c r="AA15" s="86" t="s">
        <v>275</v>
      </c>
      <c r="AB15" s="70"/>
      <c r="AC15" s="71"/>
      <c r="AD15" s="71">
        <v>229.43</v>
      </c>
      <c r="AE15" s="71"/>
      <c r="AF15" s="71">
        <v>291.18</v>
      </c>
      <c r="AG15" s="71"/>
      <c r="AH15" s="71">
        <v>313.17</v>
      </c>
      <c r="AI15" s="71" t="s">
        <v>291</v>
      </c>
      <c r="AJ15" s="71">
        <v>449.99</v>
      </c>
      <c r="AK15" s="71"/>
      <c r="AL15" s="71">
        <v>325.88</v>
      </c>
      <c r="AM15" s="73"/>
      <c r="AN15" s="69">
        <v>359.66</v>
      </c>
      <c r="AO15" s="87">
        <v>141.1</v>
      </c>
      <c r="AP15" s="70">
        <v>0</v>
      </c>
      <c r="AQ15" s="207"/>
      <c r="AR15" s="209">
        <f t="shared" ref="AR15:AR26" si="0">AN15+AP15</f>
        <v>359.66</v>
      </c>
      <c r="AS15" s="210"/>
      <c r="AT15" s="71"/>
      <c r="AU15" s="75"/>
      <c r="AV15" s="70">
        <f>5.4*AW15</f>
        <v>226.8</v>
      </c>
      <c r="AW15" s="75">
        <v>42</v>
      </c>
      <c r="AX15" s="70">
        <f t="shared" ref="AX15:AX26" si="1">AT15+AV15</f>
        <v>226.8</v>
      </c>
      <c r="AY15" s="73"/>
      <c r="AZ15" s="71"/>
      <c r="BA15" s="75">
        <v>30</v>
      </c>
      <c r="BB15" s="70">
        <f>5.4*BC15</f>
        <v>226.8</v>
      </c>
      <c r="BC15" s="75">
        <v>42</v>
      </c>
      <c r="BD15" s="70">
        <f t="shared" ref="BD15:BD26" si="2">AZ15+BB15</f>
        <v>226.8</v>
      </c>
      <c r="BE15" s="73"/>
      <c r="BF15" s="69"/>
      <c r="BI15" s="52">
        <v>165.5</v>
      </c>
      <c r="BJ15" s="52">
        <v>122.1</v>
      </c>
      <c r="BK15" s="52">
        <f>(122.1+149.4+149.2+165.5+144.9+141.1)/6</f>
        <v>145.36666666666667</v>
      </c>
    </row>
    <row r="16" spans="1:85">
      <c r="A16" t="s">
        <v>292</v>
      </c>
      <c r="B16">
        <v>210.42</v>
      </c>
      <c r="D16">
        <v>93.91</v>
      </c>
      <c r="F16">
        <v>75.92</v>
      </c>
      <c r="H16">
        <v>85.76</v>
      </c>
      <c r="J16">
        <v>144.54</v>
      </c>
      <c r="K16" t="s">
        <v>277</v>
      </c>
      <c r="L16">
        <v>104.92</v>
      </c>
      <c r="N16">
        <v>106.94</v>
      </c>
      <c r="P16">
        <v>94.68</v>
      </c>
      <c r="Q16" t="s">
        <v>334</v>
      </c>
      <c r="R16">
        <f>(505+561+886+628+607+552)/6</f>
        <v>623.16666666666663</v>
      </c>
      <c r="S16">
        <v>886</v>
      </c>
      <c r="T16">
        <v>505</v>
      </c>
      <c r="AA16" s="88" t="s">
        <v>282</v>
      </c>
      <c r="AB16" s="89"/>
      <c r="AC16" s="69"/>
      <c r="AD16" s="69">
        <v>268.13</v>
      </c>
      <c r="AE16" s="69"/>
      <c r="AF16" s="69">
        <v>391.36</v>
      </c>
      <c r="AG16" s="69"/>
      <c r="AH16" s="69">
        <v>309.60000000000002</v>
      </c>
      <c r="AI16" s="69" t="s">
        <v>291</v>
      </c>
      <c r="AJ16" s="69">
        <v>360.54</v>
      </c>
      <c r="AK16" s="69"/>
      <c r="AL16" s="69">
        <v>262.45999999999998</v>
      </c>
      <c r="AM16" s="90"/>
      <c r="AN16" s="69">
        <v>331.88</v>
      </c>
      <c r="AO16" s="87">
        <v>130.19999999999999</v>
      </c>
      <c r="AP16" s="89">
        <v>0</v>
      </c>
      <c r="AQ16" s="87"/>
      <c r="AR16" s="211">
        <f t="shared" si="0"/>
        <v>331.88</v>
      </c>
      <c r="AS16" s="212"/>
      <c r="AT16" s="208">
        <v>338.81</v>
      </c>
      <c r="AU16" s="91">
        <v>102.7</v>
      </c>
      <c r="AV16" s="89">
        <f>5.4*AW16</f>
        <v>156.60000000000002</v>
      </c>
      <c r="AW16" s="91">
        <v>29</v>
      </c>
      <c r="AX16" s="89">
        <f t="shared" si="1"/>
        <v>495.41</v>
      </c>
      <c r="AY16" s="90" t="s">
        <v>293</v>
      </c>
      <c r="AZ16" s="208"/>
      <c r="BA16" s="91">
        <v>30</v>
      </c>
      <c r="BB16" s="89">
        <f>5.4*BC16</f>
        <v>156.60000000000002</v>
      </c>
      <c r="BC16" s="91">
        <v>29</v>
      </c>
      <c r="BD16" s="89">
        <f t="shared" si="2"/>
        <v>156.60000000000002</v>
      </c>
      <c r="BE16" s="90" t="s">
        <v>293</v>
      </c>
      <c r="BF16" s="69"/>
      <c r="BG16" s="52">
        <f>AU16</f>
        <v>102.7</v>
      </c>
      <c r="BI16" s="52">
        <v>200.8</v>
      </c>
      <c r="BJ16" s="52">
        <v>116.7</v>
      </c>
      <c r="BK16" s="52">
        <f>(142.7+200.8+147.5+132.6+116.7+130.2)/6</f>
        <v>145.08333333333334</v>
      </c>
    </row>
    <row r="17" spans="1:64">
      <c r="A17" t="s">
        <v>18</v>
      </c>
      <c r="B17">
        <v>111.63</v>
      </c>
      <c r="D17">
        <v>88.03</v>
      </c>
      <c r="F17">
        <v>72.42</v>
      </c>
      <c r="H17">
        <v>84.95</v>
      </c>
      <c r="J17">
        <v>120.2</v>
      </c>
      <c r="K17" t="s">
        <v>277</v>
      </c>
      <c r="L17">
        <v>94.63</v>
      </c>
      <c r="N17">
        <v>89.2</v>
      </c>
      <c r="P17">
        <v>64.27</v>
      </c>
      <c r="R17">
        <f>(479+555+727+560+494+350)/6</f>
        <v>527.5</v>
      </c>
      <c r="S17">
        <v>727</v>
      </c>
      <c r="T17">
        <v>350</v>
      </c>
      <c r="AA17" s="88" t="s">
        <v>290</v>
      </c>
      <c r="AB17" s="89"/>
      <c r="AC17" s="69"/>
      <c r="AD17" s="69">
        <v>222.29</v>
      </c>
      <c r="AE17" s="69"/>
      <c r="AF17" s="69">
        <v>205.23</v>
      </c>
      <c r="AG17" s="69"/>
      <c r="AH17" s="69">
        <v>258.81</v>
      </c>
      <c r="AI17" s="69"/>
      <c r="AJ17" s="69">
        <v>246.89</v>
      </c>
      <c r="AK17" s="69"/>
      <c r="AL17" s="69">
        <v>188.92</v>
      </c>
      <c r="AM17" s="90"/>
      <c r="AN17" s="69">
        <v>217.17</v>
      </c>
      <c r="AO17" s="87">
        <v>85.2</v>
      </c>
      <c r="AP17" s="89">
        <v>0</v>
      </c>
      <c r="AQ17" s="87"/>
      <c r="AR17" s="211">
        <f t="shared" si="0"/>
        <v>217.17</v>
      </c>
      <c r="AS17" s="212"/>
      <c r="AT17" s="69"/>
      <c r="AU17" s="91"/>
      <c r="AV17" s="89">
        <f>5.4*AW17</f>
        <v>97.2</v>
      </c>
      <c r="AW17" s="91">
        <v>18</v>
      </c>
      <c r="AX17" s="89">
        <f t="shared" si="1"/>
        <v>97.2</v>
      </c>
      <c r="AY17" s="90"/>
      <c r="AZ17" s="69"/>
      <c r="BA17" s="91">
        <v>20</v>
      </c>
      <c r="BB17" s="89">
        <f>5.4*BC17</f>
        <v>97.2</v>
      </c>
      <c r="BC17" s="91">
        <v>18</v>
      </c>
      <c r="BD17" s="89">
        <f t="shared" si="2"/>
        <v>97.2</v>
      </c>
      <c r="BE17" s="90"/>
      <c r="BF17" s="69"/>
      <c r="BI17" s="52">
        <v>123.3</v>
      </c>
      <c r="BJ17" s="52">
        <v>84</v>
      </c>
      <c r="BK17" s="52">
        <f>(118.3+105.3+123.3+90.8+84+85.2)/6</f>
        <v>101.15000000000002</v>
      </c>
    </row>
    <row r="18" spans="1:64">
      <c r="A18" t="s">
        <v>294</v>
      </c>
      <c r="B18">
        <v>63.07</v>
      </c>
      <c r="D18">
        <v>75.489999999999995</v>
      </c>
      <c r="F18">
        <v>77.400000000000006</v>
      </c>
      <c r="H18">
        <v>79.87</v>
      </c>
      <c r="J18">
        <v>87.61</v>
      </c>
      <c r="L18">
        <v>103.09</v>
      </c>
      <c r="M18" t="s">
        <v>664</v>
      </c>
      <c r="N18">
        <v>99.4</v>
      </c>
      <c r="P18">
        <v>57.5</v>
      </c>
      <c r="R18">
        <f>(516+518+514+616+559+297)/6</f>
        <v>503.33333333333331</v>
      </c>
      <c r="S18">
        <v>616</v>
      </c>
      <c r="T18">
        <v>297</v>
      </c>
      <c r="AA18" s="88" t="s">
        <v>292</v>
      </c>
      <c r="AB18" s="89"/>
      <c r="AC18" s="69"/>
      <c r="AD18" s="69">
        <v>98.46</v>
      </c>
      <c r="AE18" s="69"/>
      <c r="AF18" s="69">
        <v>184.38</v>
      </c>
      <c r="AG18" s="69"/>
      <c r="AH18" s="69">
        <v>183.4</v>
      </c>
      <c r="AI18" s="69"/>
      <c r="AJ18" s="69">
        <v>106.86</v>
      </c>
      <c r="AK18" s="69"/>
      <c r="AL18" s="69">
        <v>79.16</v>
      </c>
      <c r="AM18" s="90"/>
      <c r="AN18" s="69">
        <v>104.51</v>
      </c>
      <c r="AO18" s="87">
        <v>41</v>
      </c>
      <c r="AP18" s="89">
        <v>0</v>
      </c>
      <c r="AQ18" s="87"/>
      <c r="AR18" s="211">
        <f t="shared" si="0"/>
        <v>104.51</v>
      </c>
      <c r="AS18" s="212"/>
      <c r="AT18" s="66">
        <v>124.21</v>
      </c>
      <c r="AU18" s="91">
        <v>35.5</v>
      </c>
      <c r="AV18" s="89">
        <f>5.4*AW18</f>
        <v>37.800000000000004</v>
      </c>
      <c r="AW18" s="91">
        <v>7</v>
      </c>
      <c r="AX18" s="89">
        <f t="shared" si="1"/>
        <v>162.01</v>
      </c>
      <c r="AY18" s="90"/>
      <c r="AZ18" s="66"/>
      <c r="BA18" s="91">
        <v>20</v>
      </c>
      <c r="BB18" s="89">
        <f>5.4*BC18+5.3</f>
        <v>43.1</v>
      </c>
      <c r="BC18" s="91">
        <v>7</v>
      </c>
      <c r="BD18" s="89">
        <f t="shared" si="2"/>
        <v>43.1</v>
      </c>
      <c r="BE18" s="90"/>
      <c r="BF18" s="69"/>
      <c r="BG18" s="52">
        <f>AU18</f>
        <v>35.5</v>
      </c>
      <c r="BI18" s="52">
        <v>94.6</v>
      </c>
      <c r="BJ18" s="52">
        <v>35.200000000000003</v>
      </c>
      <c r="BK18" s="52">
        <f>(52.4+94.6+74.2+39.3+35.2+41)/6</f>
        <v>56.116666666666667</v>
      </c>
    </row>
    <row r="19" spans="1:64">
      <c r="A19" t="s">
        <v>295</v>
      </c>
      <c r="B19">
        <v>61.91</v>
      </c>
      <c r="D19">
        <v>61.04</v>
      </c>
      <c r="F19">
        <v>79.28</v>
      </c>
      <c r="H19">
        <v>95.91</v>
      </c>
      <c r="J19">
        <v>107.35</v>
      </c>
      <c r="L19">
        <v>87.36</v>
      </c>
      <c r="N19">
        <v>113.08</v>
      </c>
      <c r="O19" t="s">
        <v>334</v>
      </c>
      <c r="P19">
        <v>84.71</v>
      </c>
      <c r="R19">
        <f>(530+635+643+512+646+472)/6</f>
        <v>573</v>
      </c>
      <c r="S19">
        <v>646</v>
      </c>
      <c r="T19">
        <v>472</v>
      </c>
      <c r="AA19" s="88" t="s">
        <v>18</v>
      </c>
      <c r="AB19" s="89"/>
      <c r="AC19" s="69"/>
      <c r="AD19" s="69"/>
      <c r="AE19" s="69"/>
      <c r="AF19" s="69"/>
      <c r="AG19" s="69"/>
      <c r="AH19" s="69"/>
      <c r="AI19" s="69"/>
      <c r="AJ19" s="69"/>
      <c r="AK19" s="69"/>
      <c r="AL19" s="69"/>
      <c r="AM19" s="90"/>
      <c r="AN19" s="69"/>
      <c r="AO19" s="87"/>
      <c r="AP19" s="89">
        <v>0</v>
      </c>
      <c r="AQ19" s="87"/>
      <c r="AR19" s="211">
        <f t="shared" si="0"/>
        <v>0</v>
      </c>
      <c r="AS19" s="212"/>
      <c r="AT19" s="69"/>
      <c r="AU19" s="91"/>
      <c r="AV19" s="89">
        <v>0</v>
      </c>
      <c r="AW19" s="91">
        <v>0</v>
      </c>
      <c r="AX19" s="89">
        <f t="shared" si="1"/>
        <v>0</v>
      </c>
      <c r="AY19" s="90"/>
      <c r="AZ19" s="69"/>
      <c r="BA19" s="91"/>
      <c r="BB19" s="89">
        <v>0</v>
      </c>
      <c r="BC19" s="91">
        <v>0</v>
      </c>
      <c r="BD19" s="89">
        <f t="shared" si="2"/>
        <v>0</v>
      </c>
      <c r="BE19" s="90"/>
      <c r="BF19" s="69"/>
    </row>
    <row r="20" spans="1:64">
      <c r="A20" t="s">
        <v>297</v>
      </c>
      <c r="B20">
        <v>56.34</v>
      </c>
      <c r="C20" t="s">
        <v>291</v>
      </c>
      <c r="D20">
        <v>62.68</v>
      </c>
      <c r="F20">
        <v>93.98</v>
      </c>
      <c r="G20" t="s">
        <v>304</v>
      </c>
      <c r="H20">
        <v>76.989999999999995</v>
      </c>
      <c r="J20">
        <v>90.51</v>
      </c>
      <c r="K20" t="s">
        <v>293</v>
      </c>
      <c r="L20">
        <v>98.91</v>
      </c>
      <c r="N20">
        <v>126.63</v>
      </c>
      <c r="O20" t="s">
        <v>334</v>
      </c>
      <c r="P20">
        <v>117.91</v>
      </c>
      <c r="Q20" t="s">
        <v>293</v>
      </c>
      <c r="R20">
        <f>(634+467+533+568+737+697)/6</f>
        <v>606</v>
      </c>
      <c r="S20">
        <v>737</v>
      </c>
      <c r="T20">
        <v>467</v>
      </c>
      <c r="AA20" s="88" t="s">
        <v>294</v>
      </c>
      <c r="AB20" s="89">
        <v>559.53</v>
      </c>
      <c r="AC20" s="69"/>
      <c r="AD20" s="69"/>
      <c r="AE20" s="69"/>
      <c r="AF20" s="69"/>
      <c r="AG20" s="69"/>
      <c r="AH20" s="69"/>
      <c r="AI20" s="69"/>
      <c r="AJ20" s="69"/>
      <c r="AK20" s="69"/>
      <c r="AL20" s="69"/>
      <c r="AM20" s="90"/>
      <c r="AN20" s="69"/>
      <c r="AO20" s="87"/>
      <c r="AP20" s="89">
        <v>0</v>
      </c>
      <c r="AQ20" s="87"/>
      <c r="AR20" s="211">
        <f t="shared" si="0"/>
        <v>0</v>
      </c>
      <c r="AS20" s="212" t="s">
        <v>298</v>
      </c>
      <c r="AT20" s="69"/>
      <c r="AU20" s="91"/>
      <c r="AV20" s="89">
        <v>0</v>
      </c>
      <c r="AW20" s="91">
        <v>0</v>
      </c>
      <c r="AX20" s="89">
        <f t="shared" si="1"/>
        <v>0</v>
      </c>
      <c r="AY20" s="90"/>
      <c r="AZ20" s="69"/>
      <c r="BA20" s="91"/>
      <c r="BB20" s="89">
        <v>0</v>
      </c>
      <c r="BC20" s="91">
        <v>0</v>
      </c>
      <c r="BD20" s="89">
        <f t="shared" si="2"/>
        <v>0</v>
      </c>
      <c r="BE20" s="90"/>
      <c r="BF20" s="69"/>
    </row>
    <row r="21" spans="1:64">
      <c r="A21" t="s">
        <v>299</v>
      </c>
      <c r="B21">
        <v>66.83</v>
      </c>
      <c r="D21">
        <v>95.69</v>
      </c>
      <c r="F21">
        <v>92.9</v>
      </c>
      <c r="G21" t="s">
        <v>293</v>
      </c>
      <c r="H21">
        <v>75.099999999999994</v>
      </c>
      <c r="J21">
        <v>98.06</v>
      </c>
      <c r="K21" t="s">
        <v>293</v>
      </c>
      <c r="L21">
        <v>130.33000000000001</v>
      </c>
      <c r="M21" t="s">
        <v>663</v>
      </c>
      <c r="N21">
        <v>166.33</v>
      </c>
      <c r="O21" t="s">
        <v>683</v>
      </c>
      <c r="P21">
        <v>140.66</v>
      </c>
      <c r="Q21" t="s">
        <v>293</v>
      </c>
      <c r="R21">
        <f>(659+626+454+582+749+999+865)/7</f>
        <v>704.85714285714289</v>
      </c>
      <c r="S21">
        <v>999</v>
      </c>
      <c r="T21">
        <v>454</v>
      </c>
      <c r="AA21" s="88" t="s">
        <v>295</v>
      </c>
      <c r="AB21" s="89">
        <v>31.95</v>
      </c>
      <c r="AC21" s="69"/>
      <c r="AD21" s="69"/>
      <c r="AE21" s="69"/>
      <c r="AF21" s="69"/>
      <c r="AG21" s="69" t="s">
        <v>293</v>
      </c>
      <c r="AH21" s="69"/>
      <c r="AI21" s="69"/>
      <c r="AJ21" s="69"/>
      <c r="AK21" s="69"/>
      <c r="AL21" s="69"/>
      <c r="AM21" s="90"/>
      <c r="AN21" s="69"/>
      <c r="AO21" s="87"/>
      <c r="AP21" s="89">
        <v>0</v>
      </c>
      <c r="AQ21" s="87"/>
      <c r="AR21" s="211">
        <f t="shared" si="0"/>
        <v>0</v>
      </c>
      <c r="AS21" s="212"/>
      <c r="AT21" s="69"/>
      <c r="AU21" s="91"/>
      <c r="AV21" s="89">
        <v>0</v>
      </c>
      <c r="AW21" s="91">
        <v>0</v>
      </c>
      <c r="AX21" s="89">
        <f t="shared" si="1"/>
        <v>0</v>
      </c>
      <c r="AY21" s="90"/>
      <c r="AZ21" s="69"/>
      <c r="BA21" s="91"/>
      <c r="BB21" s="89">
        <v>0</v>
      </c>
      <c r="BC21" s="91">
        <v>0</v>
      </c>
      <c r="BD21" s="89">
        <f t="shared" si="2"/>
        <v>0</v>
      </c>
      <c r="BE21" s="90"/>
      <c r="BF21" s="69"/>
    </row>
    <row r="22" spans="1:64">
      <c r="A22" t="s">
        <v>300</v>
      </c>
      <c r="B22">
        <v>68.069999999999993</v>
      </c>
      <c r="D22">
        <v>75.33</v>
      </c>
      <c r="F22">
        <v>95.85</v>
      </c>
      <c r="G22" t="s">
        <v>291</v>
      </c>
      <c r="H22">
        <v>104.25</v>
      </c>
      <c r="J22">
        <v>88.4</v>
      </c>
      <c r="K22" t="s">
        <v>301</v>
      </c>
      <c r="L22">
        <v>110.36</v>
      </c>
      <c r="N22">
        <v>124.33</v>
      </c>
      <c r="O22" t="s">
        <v>291</v>
      </c>
      <c r="P22">
        <v>108.82</v>
      </c>
      <c r="Q22" t="s">
        <v>334</v>
      </c>
      <c r="R22">
        <f>(506+648+654+518+623+728+651)/7</f>
        <v>618.28571428571433</v>
      </c>
      <c r="S22">
        <v>728</v>
      </c>
      <c r="T22">
        <v>506</v>
      </c>
      <c r="AA22" s="88" t="s">
        <v>297</v>
      </c>
      <c r="AB22" s="89"/>
      <c r="AC22" s="69"/>
      <c r="AD22" s="69"/>
      <c r="AE22" s="69"/>
      <c r="AF22" s="69"/>
      <c r="AG22" s="69" t="s">
        <v>293</v>
      </c>
      <c r="AH22" s="69"/>
      <c r="AI22" s="69"/>
      <c r="AJ22" s="69"/>
      <c r="AK22" s="69"/>
      <c r="AL22" s="69"/>
      <c r="AM22" s="90"/>
      <c r="AN22" s="69"/>
      <c r="AO22" s="87"/>
      <c r="AP22" s="89">
        <v>0</v>
      </c>
      <c r="AQ22" s="87"/>
      <c r="AR22" s="211">
        <f t="shared" si="0"/>
        <v>0</v>
      </c>
      <c r="AS22" s="212" t="s">
        <v>293</v>
      </c>
      <c r="AT22" s="69"/>
      <c r="AU22" s="91"/>
      <c r="AV22" s="89">
        <v>0</v>
      </c>
      <c r="AW22" s="91">
        <v>0</v>
      </c>
      <c r="AX22" s="89">
        <f t="shared" si="1"/>
        <v>0</v>
      </c>
      <c r="AY22" s="90"/>
      <c r="AZ22" s="69"/>
      <c r="BA22" s="91"/>
      <c r="BB22" s="89">
        <v>0</v>
      </c>
      <c r="BC22" s="91">
        <v>0</v>
      </c>
      <c r="BD22" s="89">
        <f t="shared" si="2"/>
        <v>0</v>
      </c>
      <c r="BE22" s="90"/>
      <c r="BF22" s="69"/>
    </row>
    <row r="23" spans="1:64">
      <c r="A23" t="s">
        <v>302</v>
      </c>
      <c r="B23">
        <v>77.17</v>
      </c>
      <c r="D23">
        <v>71.59</v>
      </c>
      <c r="F23">
        <v>87.66</v>
      </c>
      <c r="G23" s="92"/>
      <c r="H23">
        <v>99.19</v>
      </c>
      <c r="I23" t="s">
        <v>277</v>
      </c>
      <c r="J23">
        <v>92.35</v>
      </c>
      <c r="L23">
        <v>115.11</v>
      </c>
      <c r="N23">
        <v>108.07</v>
      </c>
      <c r="O23" t="s">
        <v>291</v>
      </c>
      <c r="P23">
        <v>98.85</v>
      </c>
      <c r="R23">
        <f>(478+587+618+544+653+623+584)/7</f>
        <v>583.85714285714289</v>
      </c>
      <c r="S23">
        <v>653</v>
      </c>
      <c r="T23">
        <v>478</v>
      </c>
      <c r="AA23" s="88" t="s">
        <v>299</v>
      </c>
      <c r="AB23" s="89">
        <v>133.6</v>
      </c>
      <c r="AC23" s="69"/>
      <c r="AD23" s="69">
        <v>166.05</v>
      </c>
      <c r="AE23" s="69"/>
      <c r="AF23" s="69">
        <v>277.91000000000003</v>
      </c>
      <c r="AG23" s="69" t="s">
        <v>291</v>
      </c>
      <c r="AH23" s="69">
        <v>280.06</v>
      </c>
      <c r="AI23" s="69"/>
      <c r="AJ23" s="69">
        <v>245.82</v>
      </c>
      <c r="AK23" s="69"/>
      <c r="AL23" s="69">
        <v>254.65</v>
      </c>
      <c r="AM23" s="90"/>
      <c r="AN23" s="69">
        <v>214.53</v>
      </c>
      <c r="AO23" s="93">
        <v>74</v>
      </c>
      <c r="AP23" s="89">
        <v>0</v>
      </c>
      <c r="AQ23" s="87"/>
      <c r="AR23" s="211">
        <f t="shared" si="0"/>
        <v>214.53</v>
      </c>
      <c r="AS23" s="212" t="s">
        <v>291</v>
      </c>
      <c r="AT23" s="69"/>
      <c r="AU23" s="91"/>
      <c r="AV23" s="89">
        <v>0</v>
      </c>
      <c r="AW23" s="91">
        <v>0</v>
      </c>
      <c r="AX23" s="89">
        <f t="shared" si="1"/>
        <v>0</v>
      </c>
      <c r="AY23" s="90"/>
      <c r="AZ23" s="69"/>
      <c r="BA23" s="91">
        <v>100</v>
      </c>
      <c r="BB23" s="89">
        <v>0</v>
      </c>
      <c r="BC23" s="91">
        <v>0</v>
      </c>
      <c r="BD23" s="89">
        <f t="shared" si="2"/>
        <v>0</v>
      </c>
      <c r="BE23" s="90"/>
      <c r="BF23" s="69"/>
      <c r="BI23" s="52">
        <v>132.4</v>
      </c>
      <c r="BJ23" s="52">
        <v>71.099999999999994</v>
      </c>
      <c r="BK23" s="52">
        <f>(71.1+85.2+132.4+103+109.3+99.9+74)/7</f>
        <v>96.414285714285725</v>
      </c>
    </row>
    <row r="24" spans="1:64">
      <c r="A24" t="s">
        <v>303</v>
      </c>
      <c r="B24">
        <v>89.35</v>
      </c>
      <c r="C24" t="s">
        <v>293</v>
      </c>
      <c r="D24">
        <v>73.33</v>
      </c>
      <c r="F24">
        <v>88.47</v>
      </c>
      <c r="G24" s="94"/>
      <c r="H24">
        <v>101.38</v>
      </c>
      <c r="I24" t="s">
        <v>277</v>
      </c>
      <c r="J24">
        <v>100.99</v>
      </c>
      <c r="L24">
        <v>107.81</v>
      </c>
      <c r="N24">
        <v>81.88</v>
      </c>
      <c r="O24" t="s">
        <v>334</v>
      </c>
      <c r="P24" s="95">
        <v>82.04</v>
      </c>
      <c r="R24">
        <f>(491+593+633+601+607+454+471)/7</f>
        <v>550</v>
      </c>
      <c r="S24">
        <v>633</v>
      </c>
      <c r="T24">
        <v>454</v>
      </c>
      <c r="AA24" s="88" t="s">
        <v>300</v>
      </c>
      <c r="AB24" s="89">
        <v>0</v>
      </c>
      <c r="AC24" s="69"/>
      <c r="AD24" s="69"/>
      <c r="AE24" s="69"/>
      <c r="AF24" s="69"/>
      <c r="AG24" s="69" t="s">
        <v>291</v>
      </c>
      <c r="AH24" s="69"/>
      <c r="AI24" s="69"/>
      <c r="AJ24" s="69"/>
      <c r="AK24" s="69"/>
      <c r="AL24" s="69"/>
      <c r="AM24" s="90"/>
      <c r="AN24" s="69"/>
      <c r="AO24" s="87"/>
      <c r="AP24" s="89">
        <f>5.4*AQ24</f>
        <v>43.2</v>
      </c>
      <c r="AQ24" s="87">
        <v>8</v>
      </c>
      <c r="AR24" s="211">
        <f t="shared" si="0"/>
        <v>43.2</v>
      </c>
      <c r="AS24" s="212" t="s">
        <v>291</v>
      </c>
      <c r="AT24" s="69"/>
      <c r="AU24" s="91"/>
      <c r="AV24" s="89">
        <f>5.4*AW24</f>
        <v>43.2</v>
      </c>
      <c r="AW24" s="91">
        <v>8</v>
      </c>
      <c r="AX24" s="89">
        <f t="shared" si="1"/>
        <v>43.2</v>
      </c>
      <c r="AY24" s="90"/>
      <c r="AZ24" s="69"/>
      <c r="BA24" s="91">
        <v>30</v>
      </c>
      <c r="BB24" s="89">
        <f>5.3*BC24</f>
        <v>0</v>
      </c>
      <c r="BC24" s="91">
        <v>0</v>
      </c>
      <c r="BD24" s="89">
        <f t="shared" si="2"/>
        <v>0</v>
      </c>
      <c r="BE24" s="90"/>
      <c r="BF24" s="69"/>
      <c r="BG24" s="52">
        <f>AU24</f>
        <v>0</v>
      </c>
    </row>
    <row r="25" spans="1:64">
      <c r="A25" s="96" t="s">
        <v>185</v>
      </c>
      <c r="B25" s="96">
        <f>SUM(B13:B24)</f>
        <v>1116.08</v>
      </c>
      <c r="C25" s="96"/>
      <c r="D25" s="96">
        <f>SUM(D13:D24)</f>
        <v>968.14</v>
      </c>
      <c r="E25" s="96"/>
      <c r="F25" s="96">
        <f>SUM(F13:F24)</f>
        <v>1028.3399999999999</v>
      </c>
      <c r="G25" s="96"/>
      <c r="H25" s="96">
        <f>SUM(H13:H24)</f>
        <v>1121.2600000000002</v>
      </c>
      <c r="I25" s="96"/>
      <c r="J25" s="96">
        <f>SUM(J13:J24)</f>
        <v>1374.5200000000002</v>
      </c>
      <c r="K25" s="96"/>
      <c r="L25" s="96">
        <f>SUM(L13:L24)</f>
        <v>1229.5899999999999</v>
      </c>
      <c r="M25" s="96"/>
      <c r="N25" s="96">
        <f>SUM(N13:N24)</f>
        <v>1369.0699999999997</v>
      </c>
      <c r="O25" s="96"/>
      <c r="P25" s="96">
        <f>SUM(P13:P24)</f>
        <v>1206.6699999999998</v>
      </c>
      <c r="Q25" s="96"/>
      <c r="R25" s="96">
        <f>SUM(R13:R24)</f>
        <v>7370.8333333333348</v>
      </c>
      <c r="S25" s="96">
        <f>SUM(S13:S24)</f>
        <v>9428</v>
      </c>
      <c r="T25" s="96">
        <f>SUM(T13:T24)</f>
        <v>5575</v>
      </c>
      <c r="AA25" s="88" t="s">
        <v>302</v>
      </c>
      <c r="AB25" s="89">
        <v>394.59</v>
      </c>
      <c r="AC25" s="69"/>
      <c r="AD25" s="69">
        <v>251.03</v>
      </c>
      <c r="AE25" s="69"/>
      <c r="AF25" s="69">
        <v>354.1</v>
      </c>
      <c r="AG25" s="69" t="s">
        <v>304</v>
      </c>
      <c r="AH25" s="69">
        <v>397.25</v>
      </c>
      <c r="AI25" s="69"/>
      <c r="AJ25" s="69">
        <v>285.62</v>
      </c>
      <c r="AK25" s="69"/>
      <c r="AL25" s="69">
        <v>321.43</v>
      </c>
      <c r="AM25" s="90"/>
      <c r="AN25" s="69">
        <v>276.81</v>
      </c>
      <c r="AO25" s="93">
        <v>92.3</v>
      </c>
      <c r="AP25" s="89">
        <f>5.4*AQ25</f>
        <v>91.800000000000011</v>
      </c>
      <c r="AQ25" s="87">
        <f>17</f>
        <v>17</v>
      </c>
      <c r="AR25" s="211">
        <f t="shared" si="0"/>
        <v>368.61</v>
      </c>
      <c r="AS25" s="212" t="s">
        <v>291</v>
      </c>
      <c r="AT25" s="69"/>
      <c r="AU25" s="91"/>
      <c r="AV25" s="89">
        <f>5.4*AW25</f>
        <v>183.60000000000002</v>
      </c>
      <c r="AW25" s="91">
        <v>34</v>
      </c>
      <c r="AX25" s="89">
        <f t="shared" si="1"/>
        <v>183.60000000000002</v>
      </c>
      <c r="AY25" s="90" t="s">
        <v>736</v>
      </c>
      <c r="AZ25" s="69"/>
      <c r="BA25" s="91">
        <v>30</v>
      </c>
      <c r="BB25" s="89">
        <f>5.3*BC25</f>
        <v>106</v>
      </c>
      <c r="BC25" s="91">
        <v>20</v>
      </c>
      <c r="BD25" s="89">
        <f t="shared" si="2"/>
        <v>106</v>
      </c>
      <c r="BE25" s="90"/>
      <c r="BF25" s="69"/>
      <c r="BI25" s="52">
        <v>210</v>
      </c>
      <c r="BJ25" s="52">
        <v>126.1</v>
      </c>
      <c r="BK25" s="52">
        <f>(210+128.8+168.7+146.1+127+126.1+92.3)/7</f>
        <v>142.71428571428572</v>
      </c>
    </row>
    <row r="26" spans="1:64">
      <c r="A26" t="s">
        <v>186</v>
      </c>
      <c r="B26">
        <f>B25/12</f>
        <v>93.006666666666661</v>
      </c>
      <c r="D26">
        <f>D25/12</f>
        <v>80.678333333333327</v>
      </c>
      <c r="F26">
        <f>F25/12</f>
        <v>85.694999999999993</v>
      </c>
      <c r="H26">
        <f>H25/12</f>
        <v>93.438333333333347</v>
      </c>
      <c r="J26">
        <f>J25/12</f>
        <v>114.54333333333335</v>
      </c>
      <c r="L26">
        <f>L25/12</f>
        <v>102.46583333333332</v>
      </c>
      <c r="N26">
        <f>N25/12</f>
        <v>114.08916666666664</v>
      </c>
      <c r="P26">
        <f>P25/12</f>
        <v>100.55583333333333</v>
      </c>
      <c r="AA26" s="88" t="s">
        <v>303</v>
      </c>
      <c r="AB26" s="89">
        <v>312.10000000000002</v>
      </c>
      <c r="AC26" s="69"/>
      <c r="AD26" s="69">
        <v>210.88</v>
      </c>
      <c r="AE26" s="69"/>
      <c r="AF26" s="69">
        <v>264.89</v>
      </c>
      <c r="AG26" s="69" t="s">
        <v>291</v>
      </c>
      <c r="AH26" s="69">
        <v>336.07</v>
      </c>
      <c r="AI26" s="69"/>
      <c r="AJ26" s="69">
        <v>226.02</v>
      </c>
      <c r="AK26" s="69"/>
      <c r="AL26" s="69">
        <v>351.51</v>
      </c>
      <c r="AM26" s="90"/>
      <c r="AN26" s="69">
        <v>205.43</v>
      </c>
      <c r="AO26" s="93">
        <v>68.5</v>
      </c>
      <c r="AP26" s="89">
        <f>5.4*AQ26</f>
        <v>199.8</v>
      </c>
      <c r="AQ26" s="87">
        <f>32+2+3</f>
        <v>37</v>
      </c>
      <c r="AR26" s="213">
        <f t="shared" si="0"/>
        <v>405.23</v>
      </c>
      <c r="AS26" s="214"/>
      <c r="AT26" s="225">
        <f>AU26*AT30</f>
        <v>611.78251999999998</v>
      </c>
      <c r="AU26" s="91">
        <v>174.8</v>
      </c>
      <c r="AV26" s="89">
        <f>5.3*AW26</f>
        <v>212</v>
      </c>
      <c r="AW26" s="91">
        <v>40</v>
      </c>
      <c r="AX26" s="97">
        <f t="shared" si="1"/>
        <v>823.78251999999998</v>
      </c>
      <c r="AY26" s="98"/>
      <c r="AZ26" s="69"/>
      <c r="BA26" s="91">
        <v>30</v>
      </c>
      <c r="BB26" s="89">
        <f>5.3*BC26</f>
        <v>164.29999999999998</v>
      </c>
      <c r="BC26" s="99">
        <v>31</v>
      </c>
      <c r="BD26" s="97">
        <f t="shared" si="2"/>
        <v>164.29999999999998</v>
      </c>
      <c r="BE26" s="98"/>
      <c r="BF26" s="69"/>
      <c r="BG26" s="52">
        <f>AU26</f>
        <v>174.8</v>
      </c>
      <c r="BI26" s="52">
        <v>166.1</v>
      </c>
      <c r="BJ26" s="52">
        <v>100.5</v>
      </c>
      <c r="BK26" s="52">
        <f>(166.1+108.2+126.2+123.6+100.5+137.9+68.5)/7</f>
        <v>118.71428571428571</v>
      </c>
    </row>
    <row r="27" spans="1:64">
      <c r="A27" t="s">
        <v>305</v>
      </c>
      <c r="D27">
        <f>659+506+478+491</f>
        <v>2134</v>
      </c>
      <c r="F27">
        <f>674+633+488+505+479+516+530+634+626+648+587+593</f>
        <v>6913</v>
      </c>
      <c r="H27">
        <f>616+843+679+561+555+518+635+476+454+654+618+633</f>
        <v>7242</v>
      </c>
      <c r="J27">
        <f>657+1314+815+886+727+514+643+533+582+518+544+601</f>
        <v>8334</v>
      </c>
      <c r="L27">
        <f>253+735+646+628+560+616+512+568+749+623+653+607</f>
        <v>7150</v>
      </c>
      <c r="N27">
        <f>556+792+670+607+494+559+646+737+999+728+623+454</f>
        <v>7865</v>
      </c>
      <c r="P27">
        <f>471+884+759+552+350+297+472+697+865+651+584+471</f>
        <v>7053</v>
      </c>
      <c r="R27">
        <f>SUM(R13:R24)</f>
        <v>7370.8333333333348</v>
      </c>
      <c r="S27">
        <f>SUM(S13:S24)</f>
        <v>9428</v>
      </c>
      <c r="T27">
        <f>SUM(T13:T24)</f>
        <v>5575</v>
      </c>
      <c r="AA27" s="100"/>
      <c r="AB27" s="101">
        <f>SUM(AB15:AB26)</f>
        <v>1431.77</v>
      </c>
      <c r="AC27" s="102"/>
      <c r="AD27" s="102">
        <f>SUM(AD15:AD26)</f>
        <v>1446.27</v>
      </c>
      <c r="AE27" s="102"/>
      <c r="AF27" s="102">
        <f>SUM(AF15:AF26)</f>
        <v>1969.0500000000002</v>
      </c>
      <c r="AG27" s="102"/>
      <c r="AH27" s="102">
        <f>SUM(AH15:AH26)</f>
        <v>2078.36</v>
      </c>
      <c r="AI27" s="102"/>
      <c r="AJ27" s="102">
        <f>SUM(AJ15:AJ26)</f>
        <v>1921.7399999999998</v>
      </c>
      <c r="AK27" s="102"/>
      <c r="AL27" s="102">
        <f>SUM(AL15:AL26)</f>
        <v>1784.01</v>
      </c>
      <c r="AM27" s="102"/>
      <c r="AN27" s="225">
        <f>SUM(AN15:AN26)</f>
        <v>1709.99</v>
      </c>
      <c r="AO27" s="225">
        <f>SUM(AO15:AO26)</f>
        <v>632.29999999999995</v>
      </c>
      <c r="AP27" s="102">
        <f>SUM(AP15:AP26)</f>
        <v>334.8</v>
      </c>
      <c r="AQ27" s="105">
        <f>SUM(AQ15:AQ26)</f>
        <v>62</v>
      </c>
      <c r="AR27" s="78">
        <f>SUM(AR15:AR26)</f>
        <v>2044.79</v>
      </c>
      <c r="AS27" s="79"/>
      <c r="AT27" s="206">
        <f>SUM(AT15:AT26)+150</f>
        <v>1224.80252</v>
      </c>
      <c r="AU27" s="225">
        <f>SUM(AU15:AU26)</f>
        <v>313</v>
      </c>
      <c r="AV27" s="102">
        <f>SUM(AV15:AV26)</f>
        <v>957.2</v>
      </c>
      <c r="AW27" s="226">
        <f>SUM(AW15:AW26)</f>
        <v>178</v>
      </c>
      <c r="AX27" s="102">
        <f>SUM(AX15:AX26)</f>
        <v>2032.0025200000002</v>
      </c>
      <c r="AY27" s="103"/>
      <c r="AZ27" s="206">
        <f>SUM(AZ15:AZ26)</f>
        <v>0</v>
      </c>
      <c r="BA27" s="225">
        <f>SUM(BA15:BA26)</f>
        <v>290</v>
      </c>
      <c r="BB27" s="102">
        <f>SUM(BB15:BB26)</f>
        <v>794</v>
      </c>
      <c r="BC27" s="105">
        <f>SUM(BC15:BC26)</f>
        <v>147</v>
      </c>
      <c r="BD27" s="101">
        <f>SUM(BD15:BD26)</f>
        <v>794</v>
      </c>
      <c r="BE27" s="103"/>
      <c r="BF27" s="69"/>
      <c r="BG27" s="104">
        <f>SUM(BG15:BG26)</f>
        <v>313</v>
      </c>
      <c r="BI27" s="104">
        <f>SUM(BI15:BI26)</f>
        <v>1092.7</v>
      </c>
      <c r="BJ27" s="104">
        <f>SUM(BJ15:BJ26)</f>
        <v>655.7</v>
      </c>
      <c r="BK27" s="104">
        <f>SUM(BK15:BK26)</f>
        <v>805.55952380952397</v>
      </c>
      <c r="BL27" s="52" t="s">
        <v>306</v>
      </c>
    </row>
    <row r="28" spans="1:64">
      <c r="A28" t="s">
        <v>307</v>
      </c>
      <c r="D28">
        <f>D27/4</f>
        <v>533.5</v>
      </c>
      <c r="F28">
        <f>F27/12</f>
        <v>576.08333333333337</v>
      </c>
      <c r="H28">
        <f>H27/12</f>
        <v>603.5</v>
      </c>
      <c r="J28">
        <f>J27/12</f>
        <v>694.5</v>
      </c>
      <c r="L28">
        <f>L27/12</f>
        <v>595.83333333333337</v>
      </c>
      <c r="N28">
        <f>N27/12</f>
        <v>655.41666666666663</v>
      </c>
      <c r="P28">
        <f>P27/12</f>
        <v>587.75</v>
      </c>
      <c r="AA28" s="52" t="s">
        <v>308</v>
      </c>
      <c r="AB28" s="52">
        <f>AB27/7</f>
        <v>204.53857142857143</v>
      </c>
      <c r="AD28" s="52">
        <f>AD27/12</f>
        <v>120.52249999999999</v>
      </c>
      <c r="AF28" s="52">
        <f>AF27/12</f>
        <v>164.08750000000001</v>
      </c>
      <c r="AH28" s="52">
        <f>AH27/12</f>
        <v>173.19666666666669</v>
      </c>
      <c r="AJ28" s="52">
        <f>AJ27/12</f>
        <v>160.14499999999998</v>
      </c>
      <c r="AL28" s="52">
        <f>AL27/12</f>
        <v>148.66749999999999</v>
      </c>
      <c r="AN28" s="52">
        <f>AN27/12</f>
        <v>142.49916666666667</v>
      </c>
      <c r="AT28" s="52">
        <f>AT27/12</f>
        <v>102.06687666666666</v>
      </c>
      <c r="AZ28" s="52">
        <f>AZ27/12</f>
        <v>0</v>
      </c>
      <c r="BH28" s="52" t="s">
        <v>309</v>
      </c>
      <c r="BI28" s="52">
        <f>BI27/12</f>
        <v>91.058333333333337</v>
      </c>
      <c r="BJ28" s="52">
        <f>BJ27/12</f>
        <v>54.641666666666673</v>
      </c>
      <c r="BK28" s="52">
        <f>BK27/12</f>
        <v>67.129960317460331</v>
      </c>
    </row>
    <row r="29" spans="1:64">
      <c r="AA29" s="52" t="s">
        <v>310</v>
      </c>
      <c r="AB29" s="52">
        <f>316.3+71.1+210+166.1</f>
        <v>763.5</v>
      </c>
      <c r="AD29" s="52">
        <f>122.1+142.7+118.3+52.4+85.2+128.8+108.2</f>
        <v>757.7</v>
      </c>
      <c r="AF29" s="52">
        <f>149.4+200.8+105.3+94.6+132.4+168.7+126.2</f>
        <v>977.40000000000009</v>
      </c>
      <c r="AH29" s="52">
        <f>149.2+147.5+123.3+74.2+103+146.1+123.6</f>
        <v>866.90000000000009</v>
      </c>
      <c r="AJ29" s="52">
        <f>165.5+132.6+90.8+39.3+109.3+127+100.5</f>
        <v>765</v>
      </c>
      <c r="AL29" s="52">
        <f>144.9+116.7+84+35.2+99.9+126.1+137.9</f>
        <v>744.7</v>
      </c>
      <c r="AN29" s="52">
        <f>141.1+130.2+85.2+41+74+92.3+68.5</f>
        <v>632.29999999999995</v>
      </c>
      <c r="AT29" s="52">
        <f>102.7+35.5+174.8</f>
        <v>313</v>
      </c>
      <c r="BH29" s="52" t="s">
        <v>311</v>
      </c>
      <c r="BI29" s="52">
        <f>BI28*BI30</f>
        <v>213.89602500000004</v>
      </c>
      <c r="BJ29" s="52">
        <f>BJ28*BJ30</f>
        <v>128.35327500000002</v>
      </c>
      <c r="BK29" s="52">
        <f>BK28*BK30</f>
        <v>157.68827678571432</v>
      </c>
    </row>
    <row r="30" spans="1:64">
      <c r="AA30" s="52" t="s">
        <v>312</v>
      </c>
      <c r="AB30" s="52">
        <v>1.879</v>
      </c>
      <c r="AD30" s="52">
        <v>1.9490000000000001</v>
      </c>
      <c r="AF30" s="52">
        <v>2.0990000000000002</v>
      </c>
      <c r="AH30" s="52">
        <v>2.7189999999999999</v>
      </c>
      <c r="AJ30" s="52">
        <v>2.2490000000000001</v>
      </c>
      <c r="AL30" s="52">
        <v>2.5489999999999999</v>
      </c>
      <c r="AN30" s="52">
        <v>2.9990000000000001</v>
      </c>
      <c r="AT30" s="52">
        <v>3.4998999999999998</v>
      </c>
      <c r="AZ30" s="52">
        <v>3.4998999999999998</v>
      </c>
      <c r="BH30" s="52" t="s">
        <v>313</v>
      </c>
      <c r="BI30" s="52">
        <f>SUM(AB30:AN30)/7</f>
        <v>2.3490000000000002</v>
      </c>
      <c r="BJ30" s="52">
        <f>BI30</f>
        <v>2.3490000000000002</v>
      </c>
      <c r="BK30" s="52">
        <f>BI30</f>
        <v>2.3490000000000002</v>
      </c>
    </row>
    <row r="31" spans="1:64" ht="15.75">
      <c r="A31" s="53" t="s">
        <v>314</v>
      </c>
      <c r="AA31" s="52" t="s">
        <v>315</v>
      </c>
      <c r="AB31" s="52">
        <f>AB27/AB29</f>
        <v>1.8752717747216765</v>
      </c>
      <c r="AD31" s="52">
        <f>AD27/AD29</f>
        <v>1.9087633628084992</v>
      </c>
      <c r="AF31" s="52">
        <f>AF27/AF29</f>
        <v>2.0145794966236954</v>
      </c>
      <c r="AH31" s="52">
        <f>AH27/AH29</f>
        <v>2.3974622217095396</v>
      </c>
      <c r="AJ31" s="52">
        <f>AJ27/AJ29</f>
        <v>2.5120784313725486</v>
      </c>
      <c r="AL31" s="52">
        <f>AL27/AL29</f>
        <v>2.3956089700550556</v>
      </c>
      <c r="AN31" s="52">
        <f>AN27/AN29</f>
        <v>2.704396647161158</v>
      </c>
      <c r="AT31" s="52">
        <f>AT27/AT29</f>
        <v>3.913107092651757</v>
      </c>
      <c r="AZ31" s="52" t="e">
        <f>AZ27/AZ29</f>
        <v>#DIV/0!</v>
      </c>
    </row>
    <row r="32" spans="1:64">
      <c r="A32" s="106"/>
      <c r="AT32" s="52" t="s">
        <v>748</v>
      </c>
    </row>
    <row r="33" spans="1:62">
      <c r="A33" s="106"/>
      <c r="B33" t="s">
        <v>316</v>
      </c>
      <c r="AH33" s="52">
        <v>910.6</v>
      </c>
      <c r="AJ33" s="52">
        <v>717.1</v>
      </c>
    </row>
    <row r="34" spans="1:62" ht="15.75">
      <c r="A34" s="106"/>
      <c r="B34" t="s">
        <v>317</v>
      </c>
      <c r="AA34" s="107" t="s">
        <v>318</v>
      </c>
      <c r="AZ34" s="52">
        <v>1224.6500000000001</v>
      </c>
      <c r="BB34" s="52" t="s">
        <v>740</v>
      </c>
      <c r="BJ34" s="59"/>
    </row>
    <row r="35" spans="1:62">
      <c r="A35" s="106"/>
      <c r="B35" t="s">
        <v>319</v>
      </c>
      <c r="AF35" s="108" t="s">
        <v>320</v>
      </c>
      <c r="AN35" s="52" t="s">
        <v>321</v>
      </c>
    </row>
    <row r="36" spans="1:62">
      <c r="A36" s="106"/>
      <c r="B36" t="s">
        <v>322</v>
      </c>
      <c r="AF36" s="109" t="s">
        <v>323</v>
      </c>
      <c r="AJ36" s="109" t="s">
        <v>324</v>
      </c>
      <c r="AN36" s="109" t="s">
        <v>325</v>
      </c>
    </row>
    <row r="37" spans="1:62">
      <c r="A37" s="106"/>
      <c r="B37" t="s">
        <v>326</v>
      </c>
      <c r="AA37" s="52" t="s">
        <v>327</v>
      </c>
      <c r="AF37" s="52">
        <v>98</v>
      </c>
      <c r="AJ37" s="52">
        <v>0</v>
      </c>
      <c r="AN37" s="52">
        <v>100</v>
      </c>
    </row>
    <row r="38" spans="1:62">
      <c r="A38" s="106"/>
      <c r="B38" t="s">
        <v>730</v>
      </c>
      <c r="AA38" s="52" t="s">
        <v>328</v>
      </c>
      <c r="AF38" s="52">
        <v>142</v>
      </c>
      <c r="AJ38" s="52">
        <v>38</v>
      </c>
      <c r="AN38" s="52">
        <v>40</v>
      </c>
    </row>
    <row r="39" spans="1:62">
      <c r="A39" s="106"/>
      <c r="S39" t="s">
        <v>329</v>
      </c>
      <c r="AA39" s="52" t="s">
        <v>330</v>
      </c>
      <c r="AF39" s="52">
        <v>157</v>
      </c>
      <c r="AJ39" s="52">
        <v>22</v>
      </c>
      <c r="AN39" s="52">
        <v>40</v>
      </c>
    </row>
    <row r="40" spans="1:62">
      <c r="A40" s="110" t="s">
        <v>331</v>
      </c>
      <c r="B40" s="61">
        <v>2005</v>
      </c>
      <c r="C40" s="61"/>
      <c r="D40" s="61">
        <v>2006</v>
      </c>
      <c r="E40" s="61"/>
      <c r="F40" s="61">
        <v>2007</v>
      </c>
      <c r="G40" s="61"/>
      <c r="H40" s="61">
        <v>2008</v>
      </c>
      <c r="I40" s="61"/>
      <c r="J40" s="61">
        <v>2009</v>
      </c>
      <c r="K40" s="61"/>
      <c r="L40" s="61">
        <v>2010</v>
      </c>
      <c r="M40" s="61"/>
      <c r="N40" s="61">
        <v>2011</v>
      </c>
      <c r="O40" s="61"/>
      <c r="P40" s="61">
        <v>2012</v>
      </c>
      <c r="Q40" s="199" t="s">
        <v>648</v>
      </c>
      <c r="S40" t="s">
        <v>307</v>
      </c>
      <c r="AA40" s="52" t="s">
        <v>303</v>
      </c>
      <c r="AF40" s="52">
        <v>119</v>
      </c>
      <c r="AJ40" s="52">
        <v>31</v>
      </c>
      <c r="AN40" s="52">
        <v>50</v>
      </c>
    </row>
    <row r="41" spans="1:62">
      <c r="AA41" s="52" t="s">
        <v>275</v>
      </c>
      <c r="AF41" s="52">
        <v>145</v>
      </c>
      <c r="AJ41" s="52">
        <v>31</v>
      </c>
      <c r="AN41" s="52">
        <v>50</v>
      </c>
    </row>
    <row r="42" spans="1:62">
      <c r="A42" t="s">
        <v>275</v>
      </c>
      <c r="AA42" s="52" t="s">
        <v>282</v>
      </c>
      <c r="AF42" s="52">
        <v>145</v>
      </c>
      <c r="AJ42" s="52">
        <v>28</v>
      </c>
      <c r="AN42" s="52">
        <v>50</v>
      </c>
      <c r="AO42" s="59"/>
    </row>
    <row r="43" spans="1:62">
      <c r="A43" t="s">
        <v>282</v>
      </c>
      <c r="AA43" s="57"/>
      <c r="AD43" s="52" t="s">
        <v>91</v>
      </c>
      <c r="AF43" s="111">
        <f>SUM(AF37:AF42)</f>
        <v>806</v>
      </c>
      <c r="AG43" s="52" t="s">
        <v>306</v>
      </c>
      <c r="AJ43" s="111">
        <f>SUM(AJ37:AJ42)</f>
        <v>150</v>
      </c>
      <c r="AK43" s="52" t="s">
        <v>332</v>
      </c>
      <c r="AN43" s="112">
        <f>SUM(AN37:AN42)</f>
        <v>330</v>
      </c>
      <c r="AO43" s="52" t="s">
        <v>333</v>
      </c>
    </row>
    <row r="44" spans="1:62">
      <c r="A44" t="s">
        <v>290</v>
      </c>
      <c r="D44">
        <v>53.26</v>
      </c>
      <c r="E44" t="s">
        <v>334</v>
      </c>
      <c r="F44">
        <v>53.21</v>
      </c>
      <c r="G44" t="s">
        <v>334</v>
      </c>
      <c r="H44">
        <v>94.8</v>
      </c>
      <c r="I44" t="s">
        <v>335</v>
      </c>
      <c r="J44">
        <v>70.05</v>
      </c>
      <c r="L44">
        <v>43.65</v>
      </c>
      <c r="N44">
        <v>52.7</v>
      </c>
      <c r="P44">
        <v>59</v>
      </c>
      <c r="S44">
        <f>(1360+1340+4200+2700+1100+1400+1500)/7</f>
        <v>1942.8571428571429</v>
      </c>
      <c r="AA44" s="57"/>
      <c r="AJ44" s="52" t="s">
        <v>336</v>
      </c>
      <c r="AN44" s="52" t="s">
        <v>337</v>
      </c>
      <c r="AO44" s="59"/>
    </row>
    <row r="45" spans="1:62">
      <c r="A45" t="s">
        <v>292</v>
      </c>
      <c r="AA45" s="57"/>
      <c r="AJ45" s="113">
        <v>810</v>
      </c>
      <c r="AN45" s="113" t="s">
        <v>338</v>
      </c>
      <c r="AO45" s="59"/>
    </row>
    <row r="46" spans="1:62">
      <c r="A46" t="s">
        <v>18</v>
      </c>
    </row>
    <row r="47" spans="1:62">
      <c r="A47" t="s">
        <v>294</v>
      </c>
      <c r="D47">
        <v>98.16</v>
      </c>
      <c r="E47" t="s">
        <v>334</v>
      </c>
      <c r="F47">
        <v>48.56</v>
      </c>
      <c r="H47">
        <v>81.599999999999994</v>
      </c>
      <c r="I47" t="s">
        <v>334</v>
      </c>
      <c r="J47">
        <v>81.599999999999994</v>
      </c>
      <c r="L47" s="60">
        <v>126.15</v>
      </c>
      <c r="M47" t="s">
        <v>339</v>
      </c>
      <c r="N47">
        <v>58.1</v>
      </c>
      <c r="P47">
        <v>98</v>
      </c>
      <c r="S47">
        <f>(5500+1700+3400+3400+6100+1700+3500)/7</f>
        <v>3614.2857142857142</v>
      </c>
    </row>
    <row r="48" spans="1:62" ht="15.75">
      <c r="A48" t="s">
        <v>295</v>
      </c>
      <c r="AA48" s="107" t="s">
        <v>340</v>
      </c>
    </row>
    <row r="49" spans="1:42">
      <c r="A49" t="s">
        <v>297</v>
      </c>
      <c r="AA49" s="114" t="s">
        <v>341</v>
      </c>
      <c r="AH49" s="52" t="s">
        <v>342</v>
      </c>
    </row>
    <row r="50" spans="1:42">
      <c r="A50" t="s">
        <v>299</v>
      </c>
      <c r="B50">
        <v>192.06</v>
      </c>
      <c r="C50" t="s">
        <v>334</v>
      </c>
      <c r="D50" s="60">
        <v>312.06</v>
      </c>
      <c r="E50" t="s">
        <v>334</v>
      </c>
      <c r="F50">
        <v>157.06</v>
      </c>
      <c r="H50">
        <v>103.05</v>
      </c>
      <c r="J50">
        <v>147.6</v>
      </c>
      <c r="L50">
        <v>187.2</v>
      </c>
      <c r="M50" t="s">
        <v>339</v>
      </c>
      <c r="N50">
        <v>157.1</v>
      </c>
      <c r="P50">
        <v>314.45</v>
      </c>
      <c r="Q50" t="s">
        <v>648</v>
      </c>
      <c r="S50">
        <f>(11700+17500+8700+4700+7400+9800+7200+14600)/8</f>
        <v>10200</v>
      </c>
      <c r="AA50" s="115" t="s">
        <v>343</v>
      </c>
    </row>
    <row r="51" spans="1:42">
      <c r="A51" t="s">
        <v>300</v>
      </c>
      <c r="E51" t="s">
        <v>296</v>
      </c>
      <c r="AA51" s="52" t="s">
        <v>344</v>
      </c>
      <c r="AB51" s="52">
        <v>2005</v>
      </c>
      <c r="AD51" s="52">
        <v>2006</v>
      </c>
      <c r="AF51" s="52">
        <v>2007</v>
      </c>
      <c r="AH51" s="52">
        <v>2008</v>
      </c>
      <c r="AJ51" s="52">
        <v>2009</v>
      </c>
      <c r="AL51" s="116">
        <v>2010</v>
      </c>
      <c r="AN51" s="52">
        <v>2011</v>
      </c>
      <c r="AO51" s="52" t="s">
        <v>296</v>
      </c>
      <c r="AP51" s="52">
        <v>2012</v>
      </c>
    </row>
    <row r="52" spans="1:42">
      <c r="A52" t="s">
        <v>302</v>
      </c>
      <c r="AA52" s="52" t="s">
        <v>112</v>
      </c>
      <c r="AB52" s="52">
        <f>350*AB31+150</f>
        <v>806.34512115258678</v>
      </c>
      <c r="AC52" s="52">
        <f>350*AC31+150</f>
        <v>150</v>
      </c>
      <c r="AD52" s="52">
        <f>350*AD31+150</f>
        <v>818.06717698297473</v>
      </c>
      <c r="AE52" s="52">
        <f>350*AE31+150</f>
        <v>150</v>
      </c>
      <c r="AF52" s="52">
        <f>350*AF31+150</f>
        <v>855.10282381829336</v>
      </c>
      <c r="AH52" s="52">
        <f>350*AH31+150</f>
        <v>989.1117775983389</v>
      </c>
      <c r="AJ52" s="52">
        <f>350*AJ31+150</f>
        <v>1029.2274509803919</v>
      </c>
      <c r="AL52" s="116">
        <f>350*AL31+150</f>
        <v>988.46313951926948</v>
      </c>
      <c r="AN52" s="52">
        <f>350*AN31+150</f>
        <v>1096.5388265064053</v>
      </c>
      <c r="AP52" s="52">
        <f>350*AT31+150</f>
        <v>1519.587482428115</v>
      </c>
    </row>
    <row r="53" spans="1:42">
      <c r="A53" t="s">
        <v>303</v>
      </c>
      <c r="B53">
        <v>181.11</v>
      </c>
      <c r="C53" t="s">
        <v>334</v>
      </c>
      <c r="D53">
        <v>191.16</v>
      </c>
      <c r="E53" t="s">
        <v>334</v>
      </c>
      <c r="F53">
        <v>190.25</v>
      </c>
      <c r="H53">
        <v>114.6</v>
      </c>
      <c r="J53" s="60">
        <v>312.60000000000002</v>
      </c>
      <c r="K53" t="s">
        <v>339</v>
      </c>
      <c r="L53">
        <v>94.8</v>
      </c>
      <c r="N53">
        <v>131.15</v>
      </c>
      <c r="P53">
        <v>264.85000000000002</v>
      </c>
      <c r="Q53" t="s">
        <v>648</v>
      </c>
      <c r="S53">
        <f>(10900+11500+11500+5400+17400+4200+5200+11800)/8</f>
        <v>9737.5</v>
      </c>
      <c r="AA53" s="52" t="s">
        <v>109</v>
      </c>
      <c r="AB53" s="52">
        <v>810</v>
      </c>
      <c r="AC53" s="52">
        <v>810</v>
      </c>
      <c r="AD53" s="52">
        <v>810</v>
      </c>
      <c r="AE53" s="52">
        <v>810</v>
      </c>
      <c r="AF53" s="52">
        <v>810</v>
      </c>
      <c r="AH53" s="52">
        <v>810</v>
      </c>
      <c r="AJ53" s="52">
        <v>810</v>
      </c>
      <c r="AL53" s="116">
        <v>810</v>
      </c>
      <c r="AN53" s="52">
        <v>810</v>
      </c>
      <c r="AP53" s="52">
        <v>810</v>
      </c>
    </row>
    <row r="54" spans="1:42">
      <c r="A54" s="51" t="s">
        <v>185</v>
      </c>
      <c r="B54" s="51">
        <f>SUM(B50:B53)</f>
        <v>373.17</v>
      </c>
      <c r="C54" s="51"/>
      <c r="D54" s="51">
        <f>SUM(D42:D53)</f>
        <v>654.64</v>
      </c>
      <c r="E54" s="51"/>
      <c r="F54" s="51">
        <f>SUM(F42:F53)</f>
        <v>449.08000000000004</v>
      </c>
      <c r="G54" s="51"/>
      <c r="H54" s="51">
        <f>SUM(H42:H53)</f>
        <v>394.04999999999995</v>
      </c>
      <c r="I54" s="51"/>
      <c r="J54" s="51">
        <f>SUM(J42:J53)</f>
        <v>611.85</v>
      </c>
      <c r="K54" s="51"/>
      <c r="L54" s="51">
        <f>SUM(L42:L53)</f>
        <v>451.8</v>
      </c>
      <c r="M54" s="51"/>
      <c r="N54" s="51">
        <f>SUM(N42:N53)</f>
        <v>399.04999999999995</v>
      </c>
      <c r="O54" s="51"/>
      <c r="P54" s="198">
        <f>SUM(P42:P53)</f>
        <v>736.3</v>
      </c>
      <c r="Q54" s="51"/>
      <c r="R54" s="51"/>
      <c r="S54" s="198">
        <f>SUM(S42:S53)</f>
        <v>25494.642857142855</v>
      </c>
      <c r="AA54" s="52" t="s">
        <v>185</v>
      </c>
      <c r="AB54" s="52">
        <f>SUM(AB52:AB53)</f>
        <v>1616.3451211525867</v>
      </c>
      <c r="AC54" s="52">
        <f>SUM(AC52:AC53)</f>
        <v>960</v>
      </c>
      <c r="AD54" s="52">
        <f>SUM(AD52:AD53)</f>
        <v>1628.0671769829746</v>
      </c>
      <c r="AE54" s="52">
        <f>SUM(AE52:AE53)</f>
        <v>960</v>
      </c>
      <c r="AF54" s="52">
        <f>SUM(AF52:AF53)</f>
        <v>1665.1028238182935</v>
      </c>
      <c r="AH54" s="52">
        <f>SUM(AH52:AH53)</f>
        <v>1799.1117775983389</v>
      </c>
      <c r="AJ54" s="52">
        <f>SUM(AJ52:AJ53)</f>
        <v>1839.2274509803919</v>
      </c>
      <c r="AL54" s="116">
        <f>SUM(AL52:AL53)</f>
        <v>1798.4631395192696</v>
      </c>
      <c r="AN54" s="52">
        <f>SUM(AN52:AN53)</f>
        <v>1906.5388265064053</v>
      </c>
      <c r="AP54" s="52">
        <f>SUM(AP52:AP53)</f>
        <v>2329.587482428115</v>
      </c>
    </row>
    <row r="55" spans="1:42">
      <c r="A55" t="s">
        <v>345</v>
      </c>
      <c r="B55">
        <f>B54/10</f>
        <v>37.317</v>
      </c>
      <c r="D55">
        <f>D54/12</f>
        <v>54.553333333333335</v>
      </c>
      <c r="F55">
        <f>F54/12</f>
        <v>37.423333333333339</v>
      </c>
      <c r="H55">
        <f>H54/12</f>
        <v>32.837499999999999</v>
      </c>
      <c r="J55">
        <f>J54/12</f>
        <v>50.987500000000004</v>
      </c>
      <c r="L55">
        <f>L54/12</f>
        <v>37.65</v>
      </c>
      <c r="N55">
        <f>N54/12</f>
        <v>33.254166666666663</v>
      </c>
      <c r="P55">
        <f>P54/12</f>
        <v>61.358333333333327</v>
      </c>
      <c r="AA55" s="52" t="s">
        <v>346</v>
      </c>
      <c r="AB55" s="52">
        <f>AB27-AB54</f>
        <v>-184.57512115258669</v>
      </c>
      <c r="AC55" s="52">
        <f>AC27-AC54</f>
        <v>-960</v>
      </c>
      <c r="AD55" s="52">
        <f>AD27-AD54</f>
        <v>-181.79717698297463</v>
      </c>
      <c r="AE55" s="52">
        <f>AE27-AE54</f>
        <v>-960</v>
      </c>
      <c r="AF55" s="52">
        <f>AF27-AF54</f>
        <v>303.94717618170671</v>
      </c>
      <c r="AH55" s="52">
        <f>AH27-AH54</f>
        <v>279.24822240166122</v>
      </c>
      <c r="AJ55" s="52">
        <f>AJ27-AJ54</f>
        <v>82.512549019607832</v>
      </c>
      <c r="AL55" s="116">
        <f>AL27-AL54</f>
        <v>-14.453139519269598</v>
      </c>
      <c r="AN55" s="52">
        <f>AR27-AN54</f>
        <v>138.25117349359471</v>
      </c>
    </row>
    <row r="56" spans="1:42">
      <c r="A56" t="s">
        <v>310</v>
      </c>
      <c r="B56">
        <f>11700+10900</f>
        <v>22600</v>
      </c>
      <c r="C56" t="s">
        <v>334</v>
      </c>
      <c r="D56">
        <f>1360+5500+17500+11500</f>
        <v>35860</v>
      </c>
      <c r="E56" t="s">
        <v>334</v>
      </c>
      <c r="F56">
        <f>1340+1700+8700+11500</f>
        <v>23240</v>
      </c>
      <c r="H56">
        <f>4200+3400+4700+5400</f>
        <v>17700</v>
      </c>
      <c r="J56">
        <f>2700+3400+7400+17400</f>
        <v>30900</v>
      </c>
      <c r="L56">
        <f>1100+6100+9800+4200</f>
        <v>21200</v>
      </c>
      <c r="N56">
        <f>1400+1700+7200+5200</f>
        <v>15500</v>
      </c>
      <c r="P56">
        <f>1500+3500+14600+11800</f>
        <v>31400</v>
      </c>
      <c r="AA56" s="52" t="s">
        <v>347</v>
      </c>
      <c r="AB56" s="108" t="s">
        <v>348</v>
      </c>
      <c r="AC56" s="108"/>
      <c r="AD56" s="108" t="s">
        <v>348</v>
      </c>
      <c r="AE56" s="108"/>
      <c r="AF56" s="108" t="s">
        <v>349</v>
      </c>
      <c r="AG56" s="108"/>
      <c r="AH56" s="108" t="s">
        <v>349</v>
      </c>
      <c r="AI56" s="108"/>
      <c r="AJ56" s="108" t="s">
        <v>349</v>
      </c>
      <c r="AL56" s="117" t="s">
        <v>350</v>
      </c>
      <c r="AN56" s="108" t="s">
        <v>349</v>
      </c>
    </row>
    <row r="58" spans="1:42">
      <c r="AA58" s="52" t="s">
        <v>351</v>
      </c>
      <c r="AB58" s="52">
        <v>1431.77</v>
      </c>
      <c r="AD58" s="52">
        <v>1446.27</v>
      </c>
      <c r="AF58" s="52">
        <v>1969.0500000000002</v>
      </c>
      <c r="AH58" s="52">
        <v>2078.36</v>
      </c>
      <c r="AJ58" s="52">
        <v>1921.7399999999998</v>
      </c>
      <c r="AL58" s="116">
        <v>1784.01</v>
      </c>
      <c r="AN58" s="52">
        <v>2017.79</v>
      </c>
    </row>
    <row r="59" spans="1:42">
      <c r="AA59" s="52" t="s">
        <v>352</v>
      </c>
      <c r="AB59" s="52">
        <f>316.3+71.1+210+166.1</f>
        <v>763.5</v>
      </c>
      <c r="AD59" s="52">
        <f>122.1+142.7+118.3+52.4+85.2+128.8+108.2</f>
        <v>757.7</v>
      </c>
      <c r="AF59" s="52">
        <f>149.4+200.8+105.3+94.6+132.4+168.7+126.2</f>
        <v>977.40000000000009</v>
      </c>
      <c r="AH59" s="52">
        <f>149.2+147.5+123.3+74.2+103+146.1+123.6</f>
        <v>866.90000000000009</v>
      </c>
      <c r="AJ59" s="52">
        <f>165.5+132.6+90.8+39.3+109.3+127+100.5</f>
        <v>765</v>
      </c>
      <c r="AL59" s="116">
        <f>144.9+116.7+84+35.2+99.9+126.1+137.9</f>
        <v>744.7</v>
      </c>
      <c r="AN59" s="52">
        <f>141.1+130.2+85.2+41+74+92.3+68.5</f>
        <v>632.29999999999995</v>
      </c>
    </row>
    <row r="60" spans="1:42">
      <c r="AA60" s="52" t="s">
        <v>353</v>
      </c>
      <c r="AB60" s="52">
        <v>1.8752717747216765</v>
      </c>
      <c r="AD60" s="52">
        <v>1.9087633628084992</v>
      </c>
      <c r="AF60" s="52">
        <v>2.0145794966236954</v>
      </c>
      <c r="AH60" s="52">
        <v>2.3974622217095396</v>
      </c>
      <c r="AJ60" s="52">
        <v>2.5120784313725486</v>
      </c>
      <c r="AL60" s="116">
        <v>2.3956089700550556</v>
      </c>
      <c r="AN60" s="52">
        <v>2.704396647161158</v>
      </c>
      <c r="AP60" s="52">
        <f>AT31</f>
        <v>3.913107092651757</v>
      </c>
    </row>
    <row r="62" spans="1:42">
      <c r="AA62" s="115" t="s">
        <v>354</v>
      </c>
    </row>
    <row r="63" spans="1:42">
      <c r="AA63" s="52" t="s">
        <v>344</v>
      </c>
      <c r="AB63" s="52">
        <v>2005</v>
      </c>
      <c r="AD63" s="52">
        <v>2006</v>
      </c>
      <c r="AF63" s="52">
        <v>2007</v>
      </c>
      <c r="AH63" s="52">
        <v>2008</v>
      </c>
      <c r="AJ63" s="52">
        <v>2009</v>
      </c>
      <c r="AL63" s="52">
        <v>2010</v>
      </c>
      <c r="AN63" s="52">
        <v>2011</v>
      </c>
      <c r="AP63" s="52">
        <v>2012</v>
      </c>
    </row>
    <row r="64" spans="1:42">
      <c r="AA64" s="52" t="s">
        <v>355</v>
      </c>
      <c r="AB64" s="52">
        <f>806*AB60</f>
        <v>1511.4690504256712</v>
      </c>
      <c r="AC64" s="52">
        <f>806*AC60</f>
        <v>0</v>
      </c>
      <c r="AD64" s="52">
        <f>806*AD60</f>
        <v>1538.4632704236503</v>
      </c>
      <c r="AE64" s="52">
        <f>806*AE60</f>
        <v>0</v>
      </c>
      <c r="AF64" s="52">
        <f>806*AF60</f>
        <v>1623.7510742786985</v>
      </c>
      <c r="AH64" s="52">
        <f>806*AH60</f>
        <v>1932.354550697889</v>
      </c>
      <c r="AJ64" s="52">
        <f>806*AJ60</f>
        <v>2024.7352156862742</v>
      </c>
      <c r="AL64" s="52">
        <f>806*AL60</f>
        <v>1930.8608298643749</v>
      </c>
      <c r="AN64" s="52">
        <f>806*AN60</f>
        <v>2179.7436976118934</v>
      </c>
      <c r="AP64" s="52">
        <f>806*AP60</f>
        <v>3153.9643166773162</v>
      </c>
    </row>
    <row r="65" spans="27:42">
      <c r="AA65" s="52" t="s">
        <v>346</v>
      </c>
      <c r="AB65" s="52">
        <f>AB64-AB54</f>
        <v>-104.87607072691549</v>
      </c>
      <c r="AC65" s="52">
        <f>AC64-AC54</f>
        <v>-960</v>
      </c>
      <c r="AD65" s="52">
        <f>AD64-AD54</f>
        <v>-89.603906559324287</v>
      </c>
      <c r="AE65" s="52">
        <f>AE64-AE54</f>
        <v>-960</v>
      </c>
      <c r="AF65" s="52">
        <f>AF64-AF54</f>
        <v>-41.351749539594948</v>
      </c>
      <c r="AH65" s="52">
        <f>AH64-AH54</f>
        <v>133.24277309955005</v>
      </c>
      <c r="AJ65" s="52">
        <f>AJ64-AJ54</f>
        <v>185.50776470588221</v>
      </c>
      <c r="AL65" s="52">
        <f>AL64-AL54</f>
        <v>132.39769034510527</v>
      </c>
      <c r="AN65" s="52">
        <f>AN64-AN54</f>
        <v>273.20487110548811</v>
      </c>
      <c r="AP65" s="52">
        <f>AP64-AP54</f>
        <v>824.37683424920124</v>
      </c>
    </row>
    <row r="66" spans="27:42">
      <c r="AA66" s="52" t="s">
        <v>347</v>
      </c>
      <c r="AB66" s="108" t="s">
        <v>348</v>
      </c>
      <c r="AC66" s="108"/>
      <c r="AD66" s="108" t="s">
        <v>348</v>
      </c>
      <c r="AE66" s="108"/>
      <c r="AF66" s="117" t="s">
        <v>350</v>
      </c>
      <c r="AG66" s="108"/>
      <c r="AH66" s="108" t="s">
        <v>349</v>
      </c>
      <c r="AI66" s="108"/>
      <c r="AJ66" s="108" t="s">
        <v>349</v>
      </c>
      <c r="AK66" s="108"/>
      <c r="AL66" s="108" t="s">
        <v>349</v>
      </c>
      <c r="AM66" s="108"/>
      <c r="AN66" s="108" t="s">
        <v>349</v>
      </c>
    </row>
    <row r="67" spans="27:42">
      <c r="AA67" s="52" t="s">
        <v>353</v>
      </c>
      <c r="AB67" s="52">
        <v>1.8752717747216765</v>
      </c>
      <c r="AD67" s="52">
        <v>1.9087633628084992</v>
      </c>
      <c r="AF67" s="116">
        <v>2.0145794966236954</v>
      </c>
      <c r="AH67" s="52">
        <v>2.3974622217095396</v>
      </c>
      <c r="AJ67" s="52">
        <v>2.5120784313725486</v>
      </c>
      <c r="AL67" s="52">
        <v>2.3956089700550556</v>
      </c>
      <c r="AN67" s="52">
        <v>2.704396647161158</v>
      </c>
      <c r="AP67" s="52">
        <v>3.2990262901655307</v>
      </c>
    </row>
    <row r="70" spans="27:42">
      <c r="AA70" s="114" t="s">
        <v>356</v>
      </c>
      <c r="AH70" s="52" t="s">
        <v>342</v>
      </c>
    </row>
    <row r="71" spans="27:42">
      <c r="AA71" s="115" t="s">
        <v>343</v>
      </c>
    </row>
    <row r="72" spans="27:42">
      <c r="AA72" s="52" t="s">
        <v>344</v>
      </c>
      <c r="AB72" s="52">
        <v>2005</v>
      </c>
      <c r="AD72" s="52">
        <v>2006</v>
      </c>
      <c r="AF72" s="52">
        <v>2007</v>
      </c>
      <c r="AH72" s="52">
        <v>2008</v>
      </c>
      <c r="AJ72" s="52">
        <v>2009</v>
      </c>
      <c r="AL72" s="116">
        <v>2010</v>
      </c>
      <c r="AN72" s="52">
        <v>2011</v>
      </c>
      <c r="AO72" s="52" t="s">
        <v>296</v>
      </c>
      <c r="AP72" s="52">
        <v>2012</v>
      </c>
    </row>
    <row r="73" spans="27:42">
      <c r="AA73" s="52" t="s">
        <v>112</v>
      </c>
      <c r="AB73" s="52">
        <f>350*AB30+150</f>
        <v>807.65</v>
      </c>
      <c r="AC73" s="52">
        <f>350*AC30+150</f>
        <v>150</v>
      </c>
      <c r="AD73" s="52">
        <f>350*AD30+150</f>
        <v>832.15</v>
      </c>
      <c r="AE73" s="52">
        <f>350*AE30+150</f>
        <v>150</v>
      </c>
      <c r="AF73" s="52">
        <f>350*AF30+150</f>
        <v>884.65000000000009</v>
      </c>
      <c r="AH73" s="52">
        <f>350*AH30+150</f>
        <v>1101.6500000000001</v>
      </c>
      <c r="AJ73" s="52">
        <f>350*AJ30+150</f>
        <v>937.15000000000009</v>
      </c>
      <c r="AL73" s="116">
        <f>350*AL30+150</f>
        <v>1042.1500000000001</v>
      </c>
      <c r="AN73" s="52">
        <f>350*AN30+150</f>
        <v>1199.6500000000001</v>
      </c>
      <c r="AP73" s="52">
        <f>350*AT30+150</f>
        <v>1374.9649999999999</v>
      </c>
    </row>
    <row r="74" spans="27:42">
      <c r="AA74" s="52" t="s">
        <v>109</v>
      </c>
      <c r="AB74" s="52">
        <v>810</v>
      </c>
      <c r="AC74" s="52">
        <v>810</v>
      </c>
      <c r="AD74" s="52">
        <v>810</v>
      </c>
      <c r="AE74" s="52">
        <v>810</v>
      </c>
      <c r="AF74" s="52">
        <v>810</v>
      </c>
      <c r="AH74" s="52">
        <v>810</v>
      </c>
      <c r="AJ74" s="52">
        <v>810</v>
      </c>
      <c r="AL74" s="116">
        <v>810</v>
      </c>
      <c r="AN74" s="52">
        <v>810</v>
      </c>
      <c r="AP74" s="52">
        <v>810</v>
      </c>
    </row>
    <row r="75" spans="27:42">
      <c r="AA75" s="52" t="s">
        <v>185</v>
      </c>
      <c r="AB75" s="52">
        <f>SUM(AB73:AB74)</f>
        <v>1617.65</v>
      </c>
      <c r="AC75" s="52">
        <f>SUM(AC73:AC74)</f>
        <v>960</v>
      </c>
      <c r="AD75" s="52">
        <f>SUM(AD73:AD74)</f>
        <v>1642.15</v>
      </c>
      <c r="AE75" s="52">
        <f>SUM(AE73:AE74)</f>
        <v>960</v>
      </c>
      <c r="AF75" s="52">
        <f>SUM(AF73:AF74)</f>
        <v>1694.65</v>
      </c>
      <c r="AH75" s="52">
        <f>SUM(AH73:AH74)</f>
        <v>1911.65</v>
      </c>
      <c r="AJ75" s="52">
        <f>SUM(AJ73:AJ74)</f>
        <v>1747.15</v>
      </c>
      <c r="AL75" s="116">
        <f>SUM(AL73:AL74)</f>
        <v>1852.15</v>
      </c>
      <c r="AN75" s="52">
        <f>SUM(AN73:AN74)</f>
        <v>2009.65</v>
      </c>
      <c r="AP75" s="52">
        <f>SUM(AP73:AP74)</f>
        <v>2184.9650000000001</v>
      </c>
    </row>
    <row r="76" spans="27:42">
      <c r="AA76" s="52" t="s">
        <v>346</v>
      </c>
      <c r="AB76" s="52">
        <f>AB79-AB75</f>
        <v>-185.88000000000011</v>
      </c>
      <c r="AC76" s="52">
        <f>AC27-AC75</f>
        <v>-960</v>
      </c>
      <c r="AD76" s="52">
        <f>AD79-AD75</f>
        <v>-195.88000000000011</v>
      </c>
      <c r="AE76" s="52">
        <f>AE27-AE75</f>
        <v>-960</v>
      </c>
      <c r="AF76" s="52">
        <f>AF79-AF75</f>
        <v>274.40000000000009</v>
      </c>
      <c r="AH76" s="52">
        <f>AH79-AH75</f>
        <v>166.71000000000004</v>
      </c>
      <c r="AJ76" s="52">
        <f>AJ79-AJ75</f>
        <v>174.58999999999969</v>
      </c>
      <c r="AL76" s="52">
        <f>AL79-AL75</f>
        <v>-68.1400000000001</v>
      </c>
      <c r="AN76" s="52">
        <f>AN79-AN75</f>
        <v>8.1399999999998727</v>
      </c>
      <c r="AP76" s="52">
        <f>AP79-AP75</f>
        <v>-2184.9650000000001</v>
      </c>
    </row>
    <row r="77" spans="27:42">
      <c r="AA77" s="52" t="s">
        <v>347</v>
      </c>
      <c r="AB77" s="108" t="s">
        <v>348</v>
      </c>
      <c r="AC77" s="108"/>
      <c r="AD77" s="108" t="s">
        <v>348</v>
      </c>
      <c r="AE77" s="108"/>
      <c r="AF77" s="108" t="s">
        <v>349</v>
      </c>
      <c r="AG77" s="108"/>
      <c r="AH77" s="108" t="s">
        <v>348</v>
      </c>
      <c r="AI77" s="108"/>
      <c r="AJ77" s="108" t="s">
        <v>349</v>
      </c>
      <c r="AK77" s="108"/>
      <c r="AL77" s="117" t="s">
        <v>350</v>
      </c>
      <c r="AM77" s="108"/>
      <c r="AN77" s="108" t="s">
        <v>349</v>
      </c>
    </row>
    <row r="79" spans="27:42">
      <c r="AA79" s="52" t="s">
        <v>351</v>
      </c>
      <c r="AB79" s="52">
        <v>1431.77</v>
      </c>
      <c r="AD79" s="52">
        <v>1446.27</v>
      </c>
      <c r="AF79" s="52">
        <v>1969.0500000000002</v>
      </c>
      <c r="AH79" s="52">
        <v>2078.36</v>
      </c>
      <c r="AJ79" s="52">
        <v>1921.7399999999998</v>
      </c>
      <c r="AL79" s="116">
        <v>1784.01</v>
      </c>
      <c r="AN79" s="52">
        <v>2017.79</v>
      </c>
      <c r="AP79" s="52">
        <v>0</v>
      </c>
    </row>
    <row r="80" spans="27:42">
      <c r="AA80" s="52" t="s">
        <v>352</v>
      </c>
      <c r="AB80" s="52">
        <f>316.3+71.1+210+166.1</f>
        <v>763.5</v>
      </c>
      <c r="AD80" s="52">
        <f>122.1+142.7+118.3+52.4+85.2+128.8+108.2</f>
        <v>757.7</v>
      </c>
      <c r="AF80" s="52">
        <f>149.4+200.8+105.3+94.6+132.4+168.7+126.2</f>
        <v>977.40000000000009</v>
      </c>
      <c r="AH80" s="52">
        <f>149.2+147.5+123.3+74.2+103+146.1+123.6</f>
        <v>866.90000000000009</v>
      </c>
      <c r="AJ80" s="52">
        <f>165.5+132.6+90.8+39.3+109.3+127+100.5</f>
        <v>765</v>
      </c>
      <c r="AL80" s="116">
        <f>144.9+116.7+84+35.2+99.9+126.1+137.9</f>
        <v>744.7</v>
      </c>
      <c r="AN80" s="52">
        <f>141.1+130.2+85.2+41+74+92.3+68.5</f>
        <v>632.29999999999995</v>
      </c>
    </row>
    <row r="81" spans="27:42">
      <c r="AA81" s="52" t="s">
        <v>357</v>
      </c>
      <c r="AB81" s="52">
        <v>1.879</v>
      </c>
      <c r="AD81" s="52">
        <v>1.9490000000000001</v>
      </c>
      <c r="AF81" s="52">
        <v>2.0990000000000002</v>
      </c>
      <c r="AH81" s="52">
        <v>2.7189999999999999</v>
      </c>
      <c r="AJ81" s="52">
        <v>2.2490000000000001</v>
      </c>
      <c r="AL81" s="116">
        <v>2.5489999999999999</v>
      </c>
      <c r="AN81" s="52">
        <v>2.9990000000000001</v>
      </c>
      <c r="AP81" s="52">
        <v>3.4998999999999998</v>
      </c>
    </row>
    <row r="83" spans="27:42">
      <c r="AA83" s="115" t="s">
        <v>354</v>
      </c>
    </row>
    <row r="84" spans="27:42">
      <c r="AA84" s="52" t="s">
        <v>344</v>
      </c>
      <c r="AB84" s="52">
        <v>2005</v>
      </c>
      <c r="AD84" s="52">
        <v>2006</v>
      </c>
      <c r="AF84" s="52">
        <v>2007</v>
      </c>
      <c r="AH84" s="52">
        <v>2008</v>
      </c>
      <c r="AJ84" s="52">
        <v>2009</v>
      </c>
      <c r="AL84" s="52">
        <v>2010</v>
      </c>
      <c r="AN84" s="52">
        <v>2011</v>
      </c>
      <c r="AP84" s="52">
        <v>2012</v>
      </c>
    </row>
    <row r="85" spans="27:42">
      <c r="AA85" s="52" t="s">
        <v>355</v>
      </c>
      <c r="AB85" s="52">
        <f>806*AB81</f>
        <v>1514.4739999999999</v>
      </c>
      <c r="AC85" s="52">
        <f>806*AC81</f>
        <v>0</v>
      </c>
      <c r="AD85" s="52">
        <f>806*AD81</f>
        <v>1570.894</v>
      </c>
      <c r="AE85" s="52">
        <f>806*AE81</f>
        <v>0</v>
      </c>
      <c r="AF85" s="52">
        <f>806*AF81</f>
        <v>1691.7940000000001</v>
      </c>
      <c r="AH85" s="52">
        <f>806*AH81</f>
        <v>2191.5139999999997</v>
      </c>
      <c r="AJ85" s="52">
        <f>806*AJ81</f>
        <v>1812.6940000000002</v>
      </c>
      <c r="AL85" s="52">
        <f>806*AL81</f>
        <v>2054.4940000000001</v>
      </c>
      <c r="AN85" s="52">
        <f>806*AN81</f>
        <v>2417.194</v>
      </c>
      <c r="AP85" s="52">
        <f>806*AP81</f>
        <v>2820.9193999999998</v>
      </c>
    </row>
    <row r="86" spans="27:42">
      <c r="AA86" s="52" t="s">
        <v>346</v>
      </c>
      <c r="AB86" s="52">
        <f>AB85-AB75</f>
        <v>-103.17600000000016</v>
      </c>
      <c r="AC86" s="52">
        <f>AC85-AC75</f>
        <v>-960</v>
      </c>
      <c r="AD86" s="52">
        <f>AD85-AD75</f>
        <v>-71.256000000000085</v>
      </c>
      <c r="AE86" s="52">
        <f>AE85-AE75</f>
        <v>-960</v>
      </c>
      <c r="AF86" s="52">
        <f>AF85-AF75</f>
        <v>-2.8559999999999945</v>
      </c>
      <c r="AH86" s="52">
        <f>AH85-AH75</f>
        <v>279.86399999999958</v>
      </c>
      <c r="AJ86" s="52">
        <f>AJ85-AJ75</f>
        <v>65.544000000000096</v>
      </c>
      <c r="AL86" s="52">
        <f>AL85-AL75</f>
        <v>202.34400000000005</v>
      </c>
      <c r="AN86" s="52">
        <f>AN85-AN75</f>
        <v>407.54399999999987</v>
      </c>
      <c r="AP86" s="52">
        <f>AP85-AP75</f>
        <v>635.95439999999962</v>
      </c>
    </row>
    <row r="87" spans="27:42">
      <c r="AA87" s="52" t="s">
        <v>347</v>
      </c>
      <c r="AB87" s="108" t="s">
        <v>348</v>
      </c>
      <c r="AC87" s="108"/>
      <c r="AD87" s="108" t="s">
        <v>348</v>
      </c>
      <c r="AE87" s="108"/>
      <c r="AF87" s="117" t="s">
        <v>350</v>
      </c>
      <c r="AG87" s="108"/>
      <c r="AH87" s="108" t="s">
        <v>349</v>
      </c>
      <c r="AI87" s="108"/>
      <c r="AJ87" s="108" t="s">
        <v>349</v>
      </c>
      <c r="AK87" s="108"/>
      <c r="AL87" s="108" t="s">
        <v>349</v>
      </c>
      <c r="AM87" s="108"/>
      <c r="AN87" s="108" t="s">
        <v>349</v>
      </c>
      <c r="AP87" s="108" t="s">
        <v>349</v>
      </c>
    </row>
    <row r="88" spans="27:42">
      <c r="AA88" s="52" t="s">
        <v>357</v>
      </c>
      <c r="AB88" s="52">
        <v>1.879</v>
      </c>
      <c r="AD88" s="52">
        <v>1.9490000000000001</v>
      </c>
      <c r="AF88" s="116">
        <v>2.0990000000000002</v>
      </c>
      <c r="AH88" s="52">
        <v>2.7189999999999999</v>
      </c>
      <c r="AJ88" s="52">
        <v>2.2490000000000001</v>
      </c>
      <c r="AL88" s="52">
        <v>2.5489999999999999</v>
      </c>
      <c r="AN88" s="52">
        <v>2.9990000000000001</v>
      </c>
      <c r="AP88" s="52">
        <v>3.5998999999999999</v>
      </c>
    </row>
    <row r="91" spans="27:42" ht="15.75">
      <c r="AA91" s="54" t="s">
        <v>358</v>
      </c>
    </row>
    <row r="92" spans="27:42" ht="15.75">
      <c r="AA92" s="54" t="s">
        <v>359</v>
      </c>
    </row>
    <row r="93" spans="27:42" ht="15.75">
      <c r="AA93" s="54" t="s">
        <v>666</v>
      </c>
    </row>
    <row r="96" spans="27:42" ht="15.75">
      <c r="AA96" s="107" t="s">
        <v>360</v>
      </c>
    </row>
    <row r="97" spans="27:52">
      <c r="AA97" s="57" t="s">
        <v>361</v>
      </c>
      <c r="AL97" s="118">
        <v>806</v>
      </c>
      <c r="AM97" s="52" t="s">
        <v>362</v>
      </c>
    </row>
    <row r="98" spans="27:52">
      <c r="AA98" s="52" t="s">
        <v>363</v>
      </c>
    </row>
    <row r="99" spans="27:52">
      <c r="AA99" s="52" t="s">
        <v>364</v>
      </c>
    </row>
    <row r="102" spans="27:52">
      <c r="AB102" s="69"/>
      <c r="AC102" s="69"/>
      <c r="AD102" s="119" t="s">
        <v>365</v>
      </c>
      <c r="AE102" s="69"/>
      <c r="AF102" s="69" t="s">
        <v>741</v>
      </c>
      <c r="AG102" s="69"/>
      <c r="AH102" s="69"/>
      <c r="AI102" s="69"/>
      <c r="AJ102" s="69"/>
      <c r="AP102" s="69"/>
      <c r="AQ102" s="69"/>
      <c r="AR102" s="119" t="s">
        <v>366</v>
      </c>
      <c r="AS102" s="69"/>
      <c r="AT102" s="69" t="s">
        <v>741</v>
      </c>
      <c r="AU102" s="69"/>
      <c r="AV102" s="69"/>
      <c r="AW102" s="69"/>
      <c r="AX102" s="69"/>
    </row>
    <row r="103" spans="27:52">
      <c r="AA103" s="57"/>
      <c r="AB103" s="120" t="s">
        <v>344</v>
      </c>
      <c r="AC103" s="69"/>
      <c r="AD103" s="121" t="s">
        <v>367</v>
      </c>
      <c r="AE103" s="69"/>
      <c r="AF103" s="121" t="s">
        <v>368</v>
      </c>
      <c r="AG103" s="69"/>
      <c r="AH103" s="122" t="s">
        <v>369</v>
      </c>
      <c r="AI103" s="69"/>
      <c r="AJ103" s="119" t="s">
        <v>346</v>
      </c>
      <c r="AL103" s="52" t="s">
        <v>370</v>
      </c>
      <c r="AP103" s="120" t="s">
        <v>371</v>
      </c>
      <c r="AQ103" s="69"/>
      <c r="AR103" s="120" t="s">
        <v>367</v>
      </c>
      <c r="AS103" s="69"/>
      <c r="AT103" s="121" t="s">
        <v>372</v>
      </c>
      <c r="AU103" s="69"/>
      <c r="AV103" s="120" t="s">
        <v>369</v>
      </c>
      <c r="AW103" s="69"/>
      <c r="AX103" s="120" t="s">
        <v>373</v>
      </c>
      <c r="AZ103" s="123" t="s">
        <v>370</v>
      </c>
    </row>
    <row r="104" spans="27:52">
      <c r="AA104" s="57"/>
      <c r="AB104" s="121"/>
      <c r="AC104" s="124"/>
      <c r="AD104" s="121"/>
      <c r="AE104" s="69"/>
      <c r="AF104" s="125">
        <f>$AL$97*AD104</f>
        <v>0</v>
      </c>
      <c r="AG104" s="69"/>
      <c r="AH104" s="69"/>
      <c r="AI104" s="69"/>
      <c r="AJ104" s="69"/>
      <c r="AP104" s="69"/>
      <c r="AQ104" s="69"/>
      <c r="AR104" s="69"/>
      <c r="AS104" s="69"/>
      <c r="AT104" s="69"/>
      <c r="AU104" s="69"/>
      <c r="AV104" s="69"/>
      <c r="AW104" s="69"/>
      <c r="AX104" s="69"/>
    </row>
    <row r="105" spans="27:52">
      <c r="AA105" s="57"/>
      <c r="AB105" s="69">
        <v>2014</v>
      </c>
      <c r="AC105" s="69"/>
      <c r="AD105" s="69"/>
      <c r="AE105" s="69"/>
      <c r="AF105" s="69"/>
      <c r="AG105" s="69"/>
      <c r="AH105" s="69"/>
      <c r="AI105" s="69"/>
      <c r="AJ105" s="69"/>
      <c r="AL105" s="126">
        <f>AL106+AJ105</f>
        <v>1160.5954799999997</v>
      </c>
      <c r="AP105" s="69"/>
      <c r="AQ105" s="69"/>
      <c r="AR105" s="69"/>
      <c r="AS105" s="69"/>
      <c r="AT105" s="69"/>
      <c r="AU105" s="69"/>
      <c r="AV105" s="69"/>
      <c r="AW105" s="69"/>
      <c r="AX105" s="69"/>
      <c r="AZ105" s="127">
        <f>AZ106+AX105</f>
        <v>923.14517761189313</v>
      </c>
    </row>
    <row r="106" spans="27:52">
      <c r="AA106" s="57"/>
      <c r="AB106" s="69">
        <v>2013</v>
      </c>
      <c r="AC106" s="69"/>
      <c r="AD106" s="69"/>
      <c r="AE106" s="69"/>
      <c r="AF106" s="69"/>
      <c r="AG106" s="69"/>
      <c r="AH106" s="69"/>
      <c r="AI106" s="69"/>
      <c r="AJ106" s="69"/>
      <c r="AL106" s="126">
        <f>AL107+AJ106</f>
        <v>1160.5954799999997</v>
      </c>
      <c r="AP106" s="69"/>
      <c r="AQ106" s="69"/>
      <c r="AR106" s="69"/>
      <c r="AS106" s="69"/>
      <c r="AT106" s="69"/>
      <c r="AU106" s="69"/>
      <c r="AV106" s="69"/>
      <c r="AW106" s="69"/>
      <c r="AX106" s="69"/>
      <c r="AZ106" s="127">
        <f>AZ107+AX106</f>
        <v>923.14517761189313</v>
      </c>
    </row>
    <row r="107" spans="27:52">
      <c r="AA107" s="57"/>
      <c r="AB107" s="69">
        <v>2012</v>
      </c>
      <c r="AC107" s="124"/>
      <c r="AD107" s="128">
        <v>3.4990000000000001</v>
      </c>
      <c r="AE107" s="69"/>
      <c r="AF107" s="125">
        <f>$AL$97*AD107</f>
        <v>2820.194</v>
      </c>
      <c r="AG107" s="69"/>
      <c r="AH107" s="69">
        <f>AX27</f>
        <v>2032.0025200000002</v>
      </c>
      <c r="AI107" s="69"/>
      <c r="AJ107" s="125">
        <f>AF107-AH107</f>
        <v>788.19147999999973</v>
      </c>
      <c r="AL107" s="126">
        <f>AL108+AJ107</f>
        <v>1160.5954799999997</v>
      </c>
      <c r="AP107" s="69">
        <v>2012</v>
      </c>
      <c r="AQ107" s="69"/>
      <c r="AR107" s="69">
        <v>3.4990000000000001</v>
      </c>
      <c r="AS107" s="69"/>
      <c r="AT107" s="129">
        <f>$AL$97*AR107</f>
        <v>2820.194</v>
      </c>
      <c r="AU107" s="69"/>
      <c r="AV107" s="69">
        <f>AX27</f>
        <v>2032.0025200000002</v>
      </c>
      <c r="AW107" s="69"/>
      <c r="AX107" s="129">
        <f>AT107-AV107</f>
        <v>788.19147999999973</v>
      </c>
      <c r="AZ107" s="127">
        <f>AZ108+AX107</f>
        <v>923.14517761189313</v>
      </c>
    </row>
    <row r="108" spans="27:52">
      <c r="AA108" s="57"/>
      <c r="AB108" s="69">
        <v>2011</v>
      </c>
      <c r="AC108" s="69"/>
      <c r="AD108" s="128">
        <v>2.9990000000000001</v>
      </c>
      <c r="AE108" s="69"/>
      <c r="AF108" s="125">
        <f>$AL$97*AD108</f>
        <v>2417.194</v>
      </c>
      <c r="AG108" s="69"/>
      <c r="AH108" s="69">
        <f>AR27</f>
        <v>2044.79</v>
      </c>
      <c r="AI108" s="69"/>
      <c r="AJ108" s="125">
        <f>AF108-AH108</f>
        <v>372.404</v>
      </c>
      <c r="AL108" s="130">
        <f>AJ108</f>
        <v>372.404</v>
      </c>
      <c r="AP108" s="69">
        <v>2011</v>
      </c>
      <c r="AQ108" s="69"/>
      <c r="AR108" s="69">
        <f>AN31</f>
        <v>2.704396647161158</v>
      </c>
      <c r="AS108" s="69"/>
      <c r="AT108" s="129">
        <f>$AL$97*AR108</f>
        <v>2179.7436976118934</v>
      </c>
      <c r="AU108" s="69"/>
      <c r="AV108" s="69">
        <f>AR27</f>
        <v>2044.79</v>
      </c>
      <c r="AW108" s="69"/>
      <c r="AX108" s="129">
        <f>AT108-AV108</f>
        <v>134.9536976118934</v>
      </c>
      <c r="AZ108" s="127">
        <f>AX108</f>
        <v>134.9536976118934</v>
      </c>
    </row>
    <row r="109" spans="27:52">
      <c r="AA109" s="57"/>
    </row>
    <row r="112" spans="27:52" ht="15.75">
      <c r="AA112" s="107" t="s">
        <v>374</v>
      </c>
    </row>
    <row r="113" spans="27:48">
      <c r="AA113" s="131" t="s">
        <v>344</v>
      </c>
      <c r="AB113" s="52" t="s">
        <v>375</v>
      </c>
      <c r="AD113" s="52" t="s">
        <v>367</v>
      </c>
      <c r="AF113" s="52" t="s">
        <v>376</v>
      </c>
      <c r="AH113" s="52" t="s">
        <v>185</v>
      </c>
      <c r="AJ113" s="52" t="s">
        <v>377</v>
      </c>
      <c r="AR113" s="52" t="s">
        <v>378</v>
      </c>
      <c r="AT113" s="52" t="s">
        <v>379</v>
      </c>
      <c r="AV113" s="52" t="s">
        <v>749</v>
      </c>
    </row>
    <row r="114" spans="27:48">
      <c r="AA114" s="52">
        <v>2011</v>
      </c>
      <c r="AB114" s="52">
        <v>4</v>
      </c>
      <c r="AD114" s="52">
        <v>259.99</v>
      </c>
      <c r="AF114" s="52">
        <v>40</v>
      </c>
      <c r="AH114" s="52">
        <f>AB114*AD114+AF114</f>
        <v>1079.96</v>
      </c>
      <c r="AJ114" s="52">
        <f>AH114/(AB114*50)</f>
        <v>5.3997999999999999</v>
      </c>
      <c r="AL114" s="52" t="s">
        <v>380</v>
      </c>
      <c r="AR114" s="52">
        <v>158</v>
      </c>
      <c r="AT114" s="52">
        <f>AJ114*AR114</f>
        <v>853.16840000000002</v>
      </c>
      <c r="AV114" s="52">
        <v>42</v>
      </c>
    </row>
    <row r="115" spans="27:48">
      <c r="AA115" s="52">
        <v>2012</v>
      </c>
      <c r="AB115" s="52">
        <v>2</v>
      </c>
      <c r="AD115" s="52">
        <v>249.99</v>
      </c>
      <c r="AF115" s="52">
        <v>30</v>
      </c>
      <c r="AH115" s="52">
        <f>AB115*AD115+AF115</f>
        <v>529.98</v>
      </c>
      <c r="AJ115" s="52">
        <f>AH115/(AB115*50)</f>
        <v>5.2998000000000003</v>
      </c>
      <c r="AL115" s="52" t="s">
        <v>381</v>
      </c>
      <c r="AR115" s="52">
        <v>142</v>
      </c>
      <c r="AT115" s="52">
        <f>45*AJ114+100*AJ115</f>
        <v>772.971</v>
      </c>
      <c r="AV115" s="52">
        <v>0</v>
      </c>
    </row>
    <row r="116" spans="27:48">
      <c r="AA116" s="52">
        <v>2013</v>
      </c>
      <c r="AB116" s="52">
        <v>4</v>
      </c>
    </row>
    <row r="123" spans="27:48">
      <c r="AA123" s="57"/>
      <c r="AN123" s="130"/>
      <c r="AO123" s="59"/>
    </row>
    <row r="124" spans="27:48">
      <c r="AA124" s="57"/>
      <c r="AN124" s="113"/>
      <c r="AR124" s="132"/>
      <c r="AS124" s="132"/>
    </row>
    <row r="125" spans="27:48">
      <c r="AA125" s="57" t="s">
        <v>382</v>
      </c>
      <c r="AJ125" s="52" t="s">
        <v>383</v>
      </c>
      <c r="AL125" s="52" t="s">
        <v>384</v>
      </c>
      <c r="AN125" s="52" t="s">
        <v>337</v>
      </c>
    </row>
    <row r="126" spans="27:48">
      <c r="AA126" s="57"/>
      <c r="AD126" s="52" t="s">
        <v>385</v>
      </c>
      <c r="AJ126" s="52">
        <v>110</v>
      </c>
      <c r="AL126" s="52">
        <v>75</v>
      </c>
    </row>
    <row r="127" spans="27:48">
      <c r="AA127" s="57"/>
      <c r="AD127" s="52" t="s">
        <v>386</v>
      </c>
      <c r="AJ127" s="133">
        <f>7*AK127</f>
        <v>210</v>
      </c>
      <c r="AK127" s="52">
        <v>30</v>
      </c>
      <c r="AL127" s="133">
        <f>7*AM127</f>
        <v>210</v>
      </c>
      <c r="AM127" s="52">
        <v>30</v>
      </c>
    </row>
    <row r="128" spans="27:48">
      <c r="AA128" s="57"/>
      <c r="AJ128" s="133"/>
      <c r="AL128" s="133"/>
    </row>
    <row r="129" spans="27:40">
      <c r="AA129" s="57"/>
      <c r="AJ129" s="104">
        <f>AJ126+AJ127</f>
        <v>320</v>
      </c>
      <c r="AL129" s="104">
        <f>AL126+AL127</f>
        <v>285</v>
      </c>
      <c r="AN129" s="52" t="s">
        <v>387</v>
      </c>
    </row>
    <row r="130" spans="27:40">
      <c r="AA130" s="57"/>
      <c r="AF130" s="52" t="s">
        <v>697</v>
      </c>
      <c r="AJ130" s="134">
        <f>3.5*AJ129+150</f>
        <v>1270</v>
      </c>
      <c r="AL130" s="134">
        <f>3.5*AL129+150</f>
        <v>1147.5</v>
      </c>
      <c r="AM130" s="52" t="s">
        <v>388</v>
      </c>
    </row>
    <row r="132" spans="27:40">
      <c r="AD132" s="52" t="s">
        <v>389</v>
      </c>
      <c r="AJ132" s="134">
        <v>810</v>
      </c>
      <c r="AL132" s="134">
        <v>810</v>
      </c>
      <c r="AN132" s="57" t="s">
        <v>390</v>
      </c>
    </row>
    <row r="133" spans="27:40">
      <c r="AE133" s="59" t="s">
        <v>391</v>
      </c>
      <c r="AF133" s="59"/>
      <c r="AG133" s="59"/>
      <c r="AH133" s="59"/>
      <c r="AI133" s="59"/>
      <c r="AJ133" s="135">
        <f>AJ130+AJ132</f>
        <v>2080</v>
      </c>
      <c r="AK133" s="59"/>
      <c r="AL133" s="135">
        <f>AL130+AL132</f>
        <v>1957.5</v>
      </c>
    </row>
    <row r="135" spans="27:40">
      <c r="AA135" s="52" t="s">
        <v>694</v>
      </c>
    </row>
    <row r="136" spans="27:40">
      <c r="AA136" s="52" t="s">
        <v>696</v>
      </c>
    </row>
    <row r="137" spans="27:40">
      <c r="AA137" s="52" t="s">
        <v>695</v>
      </c>
    </row>
    <row r="138" spans="27:40">
      <c r="AA138" s="52" t="s">
        <v>693</v>
      </c>
    </row>
    <row r="65530" ht="13.5" customHeight="1"/>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S98"/>
  <sheetViews>
    <sheetView topLeftCell="A27" zoomScale="84" zoomScaleNormal="84" workbookViewId="0">
      <pane ySplit="330" activePane="bottomLeft"/>
      <selection activeCell="F27" sqref="F27"/>
      <selection pane="bottomLeft" activeCell="K94" sqref="K94"/>
    </sheetView>
  </sheetViews>
  <sheetFormatPr defaultColWidth="9" defaultRowHeight="15.75"/>
  <cols>
    <col min="1" max="1" width="16.71093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392</v>
      </c>
      <c r="M1" s="140">
        <f>12.45+315</f>
        <v>327.45</v>
      </c>
    </row>
    <row r="2" spans="1:16">
      <c r="A2" s="138" t="s">
        <v>331</v>
      </c>
      <c r="B2" s="141" t="s">
        <v>12</v>
      </c>
      <c r="C2" s="141"/>
      <c r="J2" s="137" t="s">
        <v>393</v>
      </c>
    </row>
    <row r="3" spans="1:16">
      <c r="J3" s="137" t="s">
        <v>394</v>
      </c>
      <c r="O3" s="142"/>
    </row>
    <row r="4" spans="1:16">
      <c r="A4" s="138" t="s">
        <v>9</v>
      </c>
      <c r="B4" s="143">
        <f>SUM(G5:G9)</f>
        <v>9678.8000000000011</v>
      </c>
      <c r="C4" s="143"/>
      <c r="G4" s="137" t="s">
        <v>185</v>
      </c>
      <c r="J4" s="144" t="s">
        <v>395</v>
      </c>
      <c r="O4" s="142"/>
    </row>
    <row r="5" spans="1:16">
      <c r="B5" s="137" t="s">
        <v>34</v>
      </c>
      <c r="D5" s="142">
        <v>2931.48</v>
      </c>
      <c r="E5" s="137">
        <v>2915.46</v>
      </c>
      <c r="F5" s="137">
        <v>0</v>
      </c>
      <c r="G5" s="144">
        <f>SUM(D5:F5)</f>
        <v>5846.9400000000005</v>
      </c>
      <c r="H5" s="144"/>
      <c r="I5" s="144"/>
      <c r="J5" s="144" t="s">
        <v>396</v>
      </c>
      <c r="O5" s="142"/>
    </row>
    <row r="6" spans="1:16">
      <c r="B6" s="137" t="s">
        <v>36</v>
      </c>
      <c r="D6" s="142"/>
      <c r="G6" s="144">
        <f>SUM(D6:F6)</f>
        <v>0</v>
      </c>
      <c r="H6" s="144"/>
      <c r="I6" s="144"/>
      <c r="J6" s="144"/>
      <c r="O6" s="142"/>
    </row>
    <row r="7" spans="1:16">
      <c r="B7" s="137" t="s">
        <v>397</v>
      </c>
      <c r="D7" s="137">
        <v>1915.93</v>
      </c>
      <c r="E7" s="137">
        <v>1915.93</v>
      </c>
      <c r="G7" s="144">
        <f>SUM(D7:F7)</f>
        <v>3831.86</v>
      </c>
      <c r="H7" s="144"/>
      <c r="I7" s="144"/>
      <c r="J7" s="144" t="s">
        <v>398</v>
      </c>
      <c r="O7" s="142"/>
    </row>
    <row r="8" spans="1:16">
      <c r="B8" s="137" t="s">
        <v>37</v>
      </c>
      <c r="D8" s="137">
        <v>0</v>
      </c>
      <c r="G8" s="144">
        <f>SUM(D8:F8)</f>
        <v>0</v>
      </c>
      <c r="H8" s="144"/>
      <c r="I8" s="144"/>
      <c r="J8" s="137" t="s">
        <v>399</v>
      </c>
      <c r="P8" s="142"/>
    </row>
    <row r="9" spans="1:16">
      <c r="J9" s="137" t="s">
        <v>400</v>
      </c>
    </row>
    <row r="10" spans="1:16">
      <c r="J10" s="137" t="s">
        <v>401</v>
      </c>
    </row>
    <row r="11" spans="1:16">
      <c r="A11" s="138" t="s">
        <v>11</v>
      </c>
      <c r="B11" s="143">
        <f>Tithe!D6</f>
        <v>945</v>
      </c>
      <c r="C11" s="143"/>
      <c r="D11" s="137" t="s">
        <v>187</v>
      </c>
      <c r="E11" s="145">
        <f>B11/B4</f>
        <v>9.7636070587262869E-2</v>
      </c>
      <c r="J11" s="137" t="s">
        <v>402</v>
      </c>
    </row>
    <row r="12" spans="1:16">
      <c r="A12" s="138"/>
      <c r="B12" s="143"/>
      <c r="C12" s="143"/>
      <c r="E12" s="145"/>
    </row>
    <row r="13" spans="1:16">
      <c r="A13" s="138" t="s">
        <v>403</v>
      </c>
      <c r="B13" s="146">
        <f>SUM(D14:D17)+SUM(E14:E17)</f>
        <v>1050</v>
      </c>
      <c r="E13" s="137" t="s">
        <v>404</v>
      </c>
    </row>
    <row r="14" spans="1:16" ht="12.75">
      <c r="A14" s="137"/>
      <c r="B14" s="141" t="s">
        <v>405</v>
      </c>
      <c r="C14" s="141"/>
      <c r="D14" s="146">
        <v>750</v>
      </c>
    </row>
    <row r="15" spans="1:16">
      <c r="A15" s="138"/>
      <c r="B15" s="141" t="s">
        <v>406</v>
      </c>
      <c r="C15" s="141"/>
      <c r="D15" s="146">
        <v>100</v>
      </c>
    </row>
    <row r="16" spans="1:16">
      <c r="A16" s="138"/>
      <c r="B16" s="141" t="s">
        <v>407</v>
      </c>
      <c r="C16" s="141"/>
      <c r="D16" s="146">
        <v>100</v>
      </c>
    </row>
    <row r="17" spans="1:19">
      <c r="A17" s="138"/>
      <c r="B17" s="141" t="s">
        <v>408</v>
      </c>
      <c r="C17" s="141"/>
      <c r="D17" s="146">
        <v>100</v>
      </c>
    </row>
    <row r="18" spans="1:19">
      <c r="A18" s="138"/>
      <c r="B18" s="141"/>
      <c r="C18" s="141"/>
      <c r="D18" s="146"/>
    </row>
    <row r="19" spans="1:19">
      <c r="A19" s="138" t="s">
        <v>409</v>
      </c>
    </row>
    <row r="20" spans="1:19">
      <c r="B20" s="141"/>
    </row>
    <row r="21" spans="1:19">
      <c r="A21" s="138" t="s">
        <v>410</v>
      </c>
      <c r="B21" s="137">
        <f>SUM(E21:E22)</f>
        <v>5761.3502000000008</v>
      </c>
      <c r="C21" s="137" t="s">
        <v>411</v>
      </c>
      <c r="D21" s="144"/>
      <c r="E21" s="137">
        <f>0.33*G5</f>
        <v>1929.4902000000002</v>
      </c>
      <c r="F21" s="137" t="s">
        <v>412</v>
      </c>
    </row>
    <row r="22" spans="1:19">
      <c r="C22" s="137" t="s">
        <v>413</v>
      </c>
      <c r="D22" s="144"/>
      <c r="E22" s="137">
        <f>SUM(G6:G8)</f>
        <v>3831.86</v>
      </c>
      <c r="F22" s="137" t="s">
        <v>414</v>
      </c>
    </row>
    <row r="23" spans="1:19">
      <c r="E23" s="144"/>
    </row>
    <row r="24" spans="1:19">
      <c r="A24" s="147" t="s">
        <v>415</v>
      </c>
      <c r="B24" s="148"/>
      <c r="C24" s="148"/>
      <c r="E24" s="149">
        <f>B4-B11-B13+D19-E21-E22</f>
        <v>1922.4498000000008</v>
      </c>
      <c r="F24" s="137" t="s">
        <v>416</v>
      </c>
      <c r="G24" s="146">
        <f>E24-D27</f>
        <v>-3099.5501999999992</v>
      </c>
    </row>
    <row r="25" spans="1:19">
      <c r="A25" s="147" t="s">
        <v>417</v>
      </c>
      <c r="B25" s="148"/>
      <c r="C25" s="148"/>
      <c r="E25" s="149">
        <f>SUM(E21:E22)+G24</f>
        <v>2661.8000000000015</v>
      </c>
      <c r="F25" s="137" t="s">
        <v>418</v>
      </c>
      <c r="G25" s="150">
        <f>E25/B4</f>
        <v>0.27501343141711793</v>
      </c>
      <c r="H25" s="137" t="s">
        <v>419</v>
      </c>
    </row>
    <row r="26" spans="1:19">
      <c r="A26" s="138"/>
      <c r="B26" s="148"/>
      <c r="C26" s="148"/>
      <c r="E26" s="149"/>
      <c r="K26" s="137">
        <f>1355.17-168.68</f>
        <v>1186.49</v>
      </c>
      <c r="L26" s="137">
        <f>140.83-100</f>
        <v>40.830000000000013</v>
      </c>
      <c r="N26" s="137">
        <f>M27+N27</f>
        <v>2803.2500000000005</v>
      </c>
    </row>
    <row r="27" spans="1:19">
      <c r="A27" s="138" t="s">
        <v>420</v>
      </c>
      <c r="D27" s="146">
        <f>J27+K27+L27+M27+N27</f>
        <v>5022</v>
      </c>
      <c r="E27" s="38">
        <f>D27/B4</f>
        <v>0.51886597512088273</v>
      </c>
      <c r="F27" s="137">
        <f>SUM(F30:F98)</f>
        <v>5022.0000000000009</v>
      </c>
      <c r="G27" s="137">
        <f>SUM(G30:G98)</f>
        <v>3355</v>
      </c>
      <c r="H27" s="137">
        <f>SUM(H30:H98)</f>
        <v>-1667.0000000000002</v>
      </c>
      <c r="J27" s="137">
        <f>SUM(J30:J98)</f>
        <v>696.88</v>
      </c>
      <c r="K27" s="137">
        <f>SUM(K30:K98)</f>
        <v>1381.0399999999997</v>
      </c>
      <c r="L27" s="137">
        <f>SUM(L30:L98)</f>
        <v>140.82999999999998</v>
      </c>
      <c r="M27" s="137">
        <f>SUM(M30:M98)</f>
        <v>706.17000000000007</v>
      </c>
      <c r="N27" s="137">
        <f>SUM(N30:N98)</f>
        <v>2097.0800000000004</v>
      </c>
    </row>
    <row r="28" spans="1:19">
      <c r="A28" s="138"/>
      <c r="B28" s="141" t="s">
        <v>421</v>
      </c>
      <c r="D28" s="144"/>
      <c r="J28" s="151" t="s">
        <v>422</v>
      </c>
      <c r="K28" s="152" t="s">
        <v>423</v>
      </c>
      <c r="L28" s="153" t="s">
        <v>424</v>
      </c>
      <c r="M28" s="152" t="s">
        <v>275</v>
      </c>
      <c r="N28" s="153" t="s">
        <v>424</v>
      </c>
    </row>
    <row r="29" spans="1:19" ht="12.75">
      <c r="A29" s="141"/>
      <c r="B29" s="143" t="s">
        <v>425</v>
      </c>
      <c r="F29" s="154" t="s">
        <v>426</v>
      </c>
      <c r="G29" s="137" t="s">
        <v>427</v>
      </c>
      <c r="H29" s="154" t="s">
        <v>100</v>
      </c>
      <c r="J29" s="155" t="s">
        <v>428</v>
      </c>
      <c r="K29" s="156" t="s">
        <v>429</v>
      </c>
      <c r="L29" s="156" t="s">
        <v>430</v>
      </c>
      <c r="M29" s="156" t="s">
        <v>431</v>
      </c>
      <c r="N29" s="156" t="s">
        <v>431</v>
      </c>
      <c r="S29" s="154"/>
    </row>
    <row r="30" spans="1:19" ht="12.75">
      <c r="A30" s="141" t="s">
        <v>105</v>
      </c>
      <c r="B30" s="141">
        <f>F30</f>
        <v>0</v>
      </c>
      <c r="C30" s="137" t="s">
        <v>106</v>
      </c>
      <c r="F30" s="137">
        <f>SUM(J30:L30)</f>
        <v>0</v>
      </c>
      <c r="G30" s="137">
        <f>0</f>
        <v>0</v>
      </c>
      <c r="H30" s="137">
        <f>G30-F30</f>
        <v>0</v>
      </c>
      <c r="J30" s="157"/>
      <c r="K30" s="157"/>
      <c r="L30" s="157"/>
      <c r="M30" s="157"/>
      <c r="N30" s="157"/>
    </row>
    <row r="31" spans="1:19" ht="12.75">
      <c r="A31" s="137"/>
      <c r="J31" s="157"/>
      <c r="K31" s="157"/>
      <c r="L31" s="157"/>
      <c r="M31" s="157"/>
      <c r="N31" s="157"/>
    </row>
    <row r="32" spans="1:19" ht="12.75">
      <c r="A32" s="141" t="s">
        <v>107</v>
      </c>
      <c r="B32" s="141">
        <f>SUM(F33:F36)</f>
        <v>84.51</v>
      </c>
      <c r="C32" s="141">
        <f>SUM(G33:G36)</f>
        <v>340</v>
      </c>
      <c r="D32" s="141">
        <f>C32-B32</f>
        <v>255.49</v>
      </c>
      <c r="J32" s="157"/>
      <c r="K32" s="157"/>
      <c r="L32" s="157"/>
      <c r="M32" s="157"/>
      <c r="N32" s="157"/>
    </row>
    <row r="33" spans="1:16">
      <c r="B33" s="137" t="s">
        <v>54</v>
      </c>
      <c r="C33" s="137" t="s">
        <v>55</v>
      </c>
      <c r="F33" s="137">
        <f>SUM(J33:N33)</f>
        <v>84.51</v>
      </c>
      <c r="G33" s="137">
        <v>115</v>
      </c>
      <c r="H33" s="137">
        <f>G33-F33</f>
        <v>30.489999999999995</v>
      </c>
      <c r="J33" s="157">
        <v>84.51</v>
      </c>
      <c r="K33" s="157"/>
      <c r="L33" s="157"/>
      <c r="M33" s="157"/>
      <c r="N33" s="157"/>
    </row>
    <row r="34" spans="1:16">
      <c r="B34" s="137" t="s">
        <v>56</v>
      </c>
      <c r="C34" s="137" t="s">
        <v>57</v>
      </c>
      <c r="F34" s="137">
        <f>SUM(J34:N34)</f>
        <v>0</v>
      </c>
      <c r="G34" s="137">
        <v>40</v>
      </c>
      <c r="H34" s="137">
        <f>G34-F34</f>
        <v>40</v>
      </c>
      <c r="J34" s="157"/>
      <c r="K34" s="157"/>
      <c r="L34" s="157"/>
      <c r="M34" s="157"/>
      <c r="N34" s="157"/>
    </row>
    <row r="35" spans="1:16">
      <c r="B35" s="137" t="s">
        <v>108</v>
      </c>
      <c r="C35" s="137" t="s">
        <v>109</v>
      </c>
      <c r="D35" s="137" t="s">
        <v>432</v>
      </c>
      <c r="F35" s="137">
        <f>SUM(J35:N35)</f>
        <v>0</v>
      </c>
      <c r="G35" s="137">
        <v>85</v>
      </c>
      <c r="H35" s="137">
        <f>G35-F35</f>
        <v>85</v>
      </c>
      <c r="J35" s="157"/>
      <c r="K35" s="157"/>
      <c r="L35" s="157"/>
      <c r="M35" s="157"/>
      <c r="N35" s="157"/>
    </row>
    <row r="36" spans="1:16">
      <c r="B36" s="137" t="s">
        <v>111</v>
      </c>
      <c r="C36" s="137" t="s">
        <v>112</v>
      </c>
      <c r="D36" s="137" t="s">
        <v>113</v>
      </c>
      <c r="F36" s="137">
        <f>SUM(J36:N36)</f>
        <v>0</v>
      </c>
      <c r="G36" s="137">
        <v>100</v>
      </c>
      <c r="H36" s="137">
        <f>G36-F36</f>
        <v>100</v>
      </c>
      <c r="J36" s="157"/>
      <c r="K36" s="157"/>
      <c r="L36" s="157"/>
      <c r="M36" s="157"/>
      <c r="N36" s="157"/>
    </row>
    <row r="37" spans="1:16">
      <c r="J37" s="157"/>
      <c r="K37" s="157"/>
      <c r="L37" s="157"/>
      <c r="M37" s="157"/>
      <c r="N37" s="157"/>
    </row>
    <row r="38" spans="1:16" ht="12.75">
      <c r="A38" s="141" t="s">
        <v>114</v>
      </c>
      <c r="B38" s="141">
        <f>SUM(F39:F40)</f>
        <v>214.05</v>
      </c>
      <c r="C38" s="141">
        <f>SUM(G39:G40)</f>
        <v>213</v>
      </c>
      <c r="D38" s="141">
        <f>C38-B38</f>
        <v>-1.0500000000000114</v>
      </c>
      <c r="J38" s="157"/>
      <c r="K38" s="157"/>
      <c r="L38" s="157"/>
      <c r="M38" s="157"/>
      <c r="N38" s="157"/>
    </row>
    <row r="39" spans="1:16">
      <c r="B39" s="137" t="s">
        <v>64</v>
      </c>
      <c r="C39" s="137" t="s">
        <v>65</v>
      </c>
      <c r="F39" s="137">
        <f>SUM(J39:N39)</f>
        <v>61.93</v>
      </c>
      <c r="G39" s="137">
        <v>63</v>
      </c>
      <c r="H39" s="137">
        <f>G39-F39</f>
        <v>1.0700000000000003</v>
      </c>
      <c r="J39" s="157">
        <v>61.93</v>
      </c>
      <c r="K39" s="157"/>
      <c r="L39" s="157"/>
      <c r="M39" s="157"/>
      <c r="N39" s="157"/>
    </row>
    <row r="40" spans="1:16">
      <c r="B40" s="137" t="s">
        <v>115</v>
      </c>
      <c r="C40" s="137" t="s">
        <v>116</v>
      </c>
      <c r="F40" s="137">
        <f>SUM(J40:N40)</f>
        <v>152.12</v>
      </c>
      <c r="G40" s="137">
        <f>2*75</f>
        <v>150</v>
      </c>
      <c r="H40" s="137">
        <f>G40-F40</f>
        <v>-2.1200000000000045</v>
      </c>
      <c r="J40" s="157"/>
      <c r="K40" s="157">
        <f>75.42+76.7</f>
        <v>152.12</v>
      </c>
      <c r="L40" s="157"/>
      <c r="M40" s="157"/>
      <c r="N40" s="157"/>
    </row>
    <row r="41" spans="1:16">
      <c r="J41" s="157"/>
      <c r="K41" s="157"/>
      <c r="L41" s="157"/>
      <c r="M41" s="157"/>
      <c r="N41" s="157"/>
    </row>
    <row r="42" spans="1:16" ht="12.75">
      <c r="A42" s="141" t="s">
        <v>117</v>
      </c>
      <c r="B42" s="158">
        <f>SUM(F43:F45)</f>
        <v>1688</v>
      </c>
      <c r="C42" s="158">
        <f>SUM(G43:G45)</f>
        <v>177</v>
      </c>
      <c r="D42" s="141">
        <f>C42-B42</f>
        <v>-1511</v>
      </c>
      <c r="J42" s="157"/>
      <c r="K42" s="157"/>
      <c r="L42" s="157"/>
      <c r="M42" s="157"/>
      <c r="N42" s="157"/>
    </row>
    <row r="43" spans="1:16" ht="12.75">
      <c r="A43" s="137"/>
      <c r="B43" s="137" t="s">
        <v>118</v>
      </c>
      <c r="C43" s="137" t="s">
        <v>119</v>
      </c>
      <c r="F43" s="137">
        <f>SUM(J43:N43)</f>
        <v>674</v>
      </c>
      <c r="G43" s="137">
        <v>56.5</v>
      </c>
      <c r="H43" s="137">
        <f>G43-F43</f>
        <v>-617.5</v>
      </c>
      <c r="J43" s="157">
        <v>0</v>
      </c>
      <c r="K43" s="157"/>
      <c r="L43" s="157"/>
      <c r="M43" s="157"/>
      <c r="N43" s="157">
        <v>674</v>
      </c>
    </row>
    <row r="44" spans="1:16" ht="12.75">
      <c r="A44" s="137"/>
      <c r="B44" s="137" t="s">
        <v>120</v>
      </c>
      <c r="C44" s="137" t="s">
        <v>119</v>
      </c>
      <c r="F44" s="137">
        <f>SUM(J44:N44)</f>
        <v>1014</v>
      </c>
      <c r="G44" s="137">
        <v>84.5</v>
      </c>
      <c r="H44" s="137">
        <f>G44-F44</f>
        <v>-929.5</v>
      </c>
      <c r="J44" s="157">
        <v>0</v>
      </c>
      <c r="K44" s="157"/>
      <c r="L44" s="157"/>
      <c r="M44" s="157"/>
      <c r="N44" s="157">
        <v>1014</v>
      </c>
    </row>
    <row r="45" spans="1:16" ht="12.75">
      <c r="A45" s="137"/>
      <c r="B45" s="137" t="s">
        <v>121</v>
      </c>
      <c r="F45" s="137">
        <f>SUM(J45:N45)</f>
        <v>0</v>
      </c>
      <c r="G45" s="137">
        <v>36</v>
      </c>
      <c r="H45" s="137">
        <f>G45-F45</f>
        <v>36</v>
      </c>
      <c r="J45" s="157"/>
      <c r="K45" s="157"/>
      <c r="L45" s="157"/>
      <c r="M45" s="157"/>
      <c r="N45" s="157"/>
    </row>
    <row r="46" spans="1:16" ht="12.75">
      <c r="A46" s="137"/>
      <c r="J46" s="157"/>
      <c r="K46" s="157"/>
      <c r="L46" s="157"/>
      <c r="M46" s="157"/>
      <c r="N46" s="157"/>
    </row>
    <row r="47" spans="1:16" ht="12.75">
      <c r="A47" s="141" t="s">
        <v>122</v>
      </c>
      <c r="B47" s="141">
        <f>SUM(F48:F51)</f>
        <v>583.54999999999995</v>
      </c>
      <c r="C47" s="141">
        <f>SUM(G48:G51)</f>
        <v>260</v>
      </c>
      <c r="D47" s="141">
        <f>C47-B47</f>
        <v>-323.54999999999995</v>
      </c>
      <c r="J47" s="157"/>
      <c r="K47" s="157"/>
      <c r="L47" s="157"/>
      <c r="M47" s="157"/>
      <c r="N47" s="157"/>
    </row>
    <row r="48" spans="1:16" ht="12.75">
      <c r="A48" s="137"/>
      <c r="B48" s="137" t="s">
        <v>124</v>
      </c>
      <c r="F48" s="137">
        <f>SUM(J48:N48)</f>
        <v>260.67</v>
      </c>
      <c r="G48" s="137">
        <f>2*20</f>
        <v>40</v>
      </c>
      <c r="H48" s="137">
        <f>G48-F48</f>
        <v>-220.67000000000002</v>
      </c>
      <c r="J48" s="157"/>
      <c r="K48" s="157">
        <f>5.98+23.41-0.95+9.78-11.98+25.94-19.57+6.58-19.97+24.47+5.98-0.95+23.41-16</f>
        <v>56.129999999999995</v>
      </c>
      <c r="L48" s="157">
        <v>30</v>
      </c>
      <c r="M48" s="157">
        <f>109.8+58.77</f>
        <v>168.57</v>
      </c>
      <c r="N48" s="157">
        <v>5.97</v>
      </c>
      <c r="O48" s="137" t="s">
        <v>433</v>
      </c>
      <c r="P48" s="137" t="s">
        <v>434</v>
      </c>
    </row>
    <row r="49" spans="1:15">
      <c r="B49" s="137" t="s">
        <v>125</v>
      </c>
      <c r="F49" s="137">
        <f>SUM(J49:N49)</f>
        <v>7.88</v>
      </c>
      <c r="G49" s="137">
        <f>2*10</f>
        <v>20</v>
      </c>
      <c r="H49" s="137">
        <f>G49-F49</f>
        <v>12.120000000000001</v>
      </c>
      <c r="J49" s="157"/>
      <c r="K49" s="157">
        <v>7.88</v>
      </c>
      <c r="L49" s="157"/>
      <c r="M49" s="157"/>
      <c r="N49" s="157"/>
    </row>
    <row r="50" spans="1:15">
      <c r="B50" s="137" t="s">
        <v>126</v>
      </c>
      <c r="F50" s="137">
        <f>SUM(J50:N50)</f>
        <v>0</v>
      </c>
      <c r="G50" s="137">
        <f>2*50</f>
        <v>100</v>
      </c>
      <c r="H50" s="137">
        <f>G50-F50</f>
        <v>100</v>
      </c>
      <c r="J50" s="157"/>
      <c r="K50" s="157"/>
      <c r="L50" s="157"/>
      <c r="M50" s="157"/>
      <c r="N50" s="157"/>
    </row>
    <row r="51" spans="1:15">
      <c r="B51" s="137" t="s">
        <v>127</v>
      </c>
      <c r="F51" s="137">
        <f>SUM(J51:N51)</f>
        <v>315</v>
      </c>
      <c r="G51" s="137">
        <f>2*50</f>
        <v>100</v>
      </c>
      <c r="H51" s="137">
        <f>G51-F51</f>
        <v>-215</v>
      </c>
      <c r="J51" s="157">
        <v>315</v>
      </c>
      <c r="K51" s="157"/>
      <c r="L51" s="157"/>
      <c r="M51" s="157"/>
      <c r="N51" s="157"/>
      <c r="O51" s="137" t="s">
        <v>435</v>
      </c>
    </row>
    <row r="52" spans="1:15">
      <c r="J52" s="157"/>
      <c r="K52" s="157"/>
      <c r="L52" s="157"/>
      <c r="M52" s="157"/>
      <c r="N52" s="157"/>
    </row>
    <row r="53" spans="1:15" ht="12.75">
      <c r="A53" s="141" t="s">
        <v>436</v>
      </c>
      <c r="B53" s="141">
        <f>SUM(F54:F56)</f>
        <v>130.56</v>
      </c>
      <c r="C53" s="141">
        <f>SUM(G54:G56)</f>
        <v>160</v>
      </c>
      <c r="D53" s="141">
        <f>C53-B53</f>
        <v>29.439999999999998</v>
      </c>
      <c r="J53" s="157"/>
      <c r="K53" s="157"/>
      <c r="L53" s="157"/>
      <c r="M53" s="157"/>
      <c r="N53" s="157"/>
    </row>
    <row r="54" spans="1:15">
      <c r="B54" s="137" t="s">
        <v>437</v>
      </c>
      <c r="F54" s="137">
        <f>SUM(J54:N54)</f>
        <v>13.95</v>
      </c>
      <c r="G54" s="137">
        <f>2*50</f>
        <v>100</v>
      </c>
      <c r="H54" s="137">
        <f>G54-F54</f>
        <v>86.05</v>
      </c>
      <c r="J54" s="157"/>
      <c r="K54" s="157">
        <f>44.89-9.97-9.99-10.98</f>
        <v>13.95</v>
      </c>
      <c r="L54" s="157"/>
      <c r="M54" s="157"/>
      <c r="N54" s="157"/>
    </row>
    <row r="55" spans="1:15">
      <c r="B55" s="137" t="s">
        <v>131</v>
      </c>
      <c r="F55" s="137">
        <f>SUM(J55:N55)</f>
        <v>87.61</v>
      </c>
      <c r="G55" s="137">
        <f>2*20</f>
        <v>40</v>
      </c>
      <c r="H55" s="137">
        <f>G55-F55</f>
        <v>-47.61</v>
      </c>
      <c r="J55" s="157"/>
      <c r="K55" s="157"/>
      <c r="L55" s="157">
        <v>87.61</v>
      </c>
      <c r="M55" s="157"/>
      <c r="N55" s="157"/>
    </row>
    <row r="56" spans="1:15">
      <c r="B56" s="137" t="s">
        <v>132</v>
      </c>
      <c r="F56" s="137">
        <f>SUM(J56:N56)</f>
        <v>29</v>
      </c>
      <c r="G56" s="137">
        <f>2*10</f>
        <v>20</v>
      </c>
      <c r="H56" s="137">
        <f>G56-F56</f>
        <v>-9</v>
      </c>
      <c r="J56" s="157"/>
      <c r="K56" s="157">
        <f>177-148</f>
        <v>29</v>
      </c>
      <c r="L56" s="157"/>
      <c r="M56" s="157"/>
      <c r="N56" s="157"/>
      <c r="O56" s="137" t="s">
        <v>438</v>
      </c>
    </row>
    <row r="57" spans="1:15">
      <c r="J57" s="157"/>
      <c r="K57" s="157"/>
      <c r="L57" s="157"/>
      <c r="M57" s="157"/>
      <c r="N57" s="157"/>
    </row>
    <row r="58" spans="1:15" ht="12.75">
      <c r="A58" s="141" t="s">
        <v>133</v>
      </c>
      <c r="B58" s="141">
        <f>SUM(F59:F64)</f>
        <v>746.26</v>
      </c>
      <c r="C58" s="141">
        <f>SUM(G59:G64)</f>
        <v>900</v>
      </c>
      <c r="D58" s="141">
        <f>C58-B58</f>
        <v>153.74</v>
      </c>
      <c r="J58" s="157"/>
      <c r="K58" s="157"/>
      <c r="L58" s="157"/>
      <c r="M58" s="157"/>
      <c r="N58" s="157"/>
    </row>
    <row r="59" spans="1:15" ht="12.75">
      <c r="A59" s="137"/>
      <c r="B59" s="137" t="s">
        <v>134</v>
      </c>
      <c r="F59" s="137">
        <f t="shared" ref="F59:F64" si="0">SUM(J59:N59)</f>
        <v>0</v>
      </c>
      <c r="G59" s="137">
        <v>100</v>
      </c>
      <c r="H59" s="137">
        <f t="shared" ref="H59:H64" si="1">G59-F59</f>
        <v>100</v>
      </c>
      <c r="J59" s="157"/>
      <c r="K59" s="157"/>
      <c r="L59" s="157"/>
      <c r="M59" s="157"/>
      <c r="N59" s="157"/>
      <c r="O59" s="137" t="s">
        <v>439</v>
      </c>
    </row>
    <row r="60" spans="1:15">
      <c r="B60" s="137" t="s">
        <v>135</v>
      </c>
      <c r="F60" s="137">
        <f t="shared" si="0"/>
        <v>649.37</v>
      </c>
      <c r="G60" s="137">
        <f>2*300</f>
        <v>600</v>
      </c>
      <c r="H60" s="137">
        <f t="shared" si="1"/>
        <v>-49.370000000000005</v>
      </c>
      <c r="J60" s="157"/>
      <c r="K60" s="157">
        <f>69.26+39.08+28.38+69.82+(72.83-17.6-11.94-7.88)+5.98+98.87+69.7-36.89-25.92</f>
        <v>353.68999999999994</v>
      </c>
      <c r="L60" s="157"/>
      <c r="M60" s="157"/>
      <c r="N60" s="157">
        <f>12.96+71.1+43.79+35.14+22.28+21.43+49.76+39.22</f>
        <v>295.68000000000006</v>
      </c>
      <c r="O60" s="137" t="s">
        <v>440</v>
      </c>
    </row>
    <row r="61" spans="1:15">
      <c r="B61" s="137" t="s">
        <v>136</v>
      </c>
      <c r="F61" s="137">
        <f t="shared" si="0"/>
        <v>25.92</v>
      </c>
      <c r="G61" s="137">
        <f>2*30</f>
        <v>60</v>
      </c>
      <c r="H61" s="137">
        <f t="shared" si="1"/>
        <v>34.08</v>
      </c>
      <c r="J61" s="157"/>
      <c r="K61" s="157">
        <v>25.92</v>
      </c>
      <c r="L61" s="157"/>
      <c r="M61" s="157"/>
      <c r="N61" s="157"/>
      <c r="O61" s="137" t="s">
        <v>441</v>
      </c>
    </row>
    <row r="62" spans="1:15">
      <c r="B62" s="137" t="s">
        <v>138</v>
      </c>
      <c r="F62" s="137">
        <f t="shared" si="0"/>
        <v>67.97</v>
      </c>
      <c r="G62" s="137">
        <f>2*30</f>
        <v>60</v>
      </c>
      <c r="H62" s="137">
        <f t="shared" si="1"/>
        <v>-7.9699999999999989</v>
      </c>
      <c r="J62" s="157"/>
      <c r="K62" s="157">
        <f>10.98+18.29</f>
        <v>29.27</v>
      </c>
      <c r="L62" s="157">
        <v>23.22</v>
      </c>
      <c r="M62" s="157"/>
      <c r="N62" s="157">
        <f>118.04-49.76-27.76-5.97-19.07</f>
        <v>15.479999999999997</v>
      </c>
    </row>
    <row r="63" spans="1:15">
      <c r="B63" s="137" t="s">
        <v>139</v>
      </c>
      <c r="F63" s="137">
        <f t="shared" si="0"/>
        <v>3</v>
      </c>
      <c r="G63" s="137">
        <f>2*30</f>
        <v>60</v>
      </c>
      <c r="H63" s="137">
        <f t="shared" si="1"/>
        <v>57</v>
      </c>
      <c r="J63" s="157"/>
      <c r="K63" s="157"/>
      <c r="L63" s="157"/>
      <c r="M63" s="157">
        <v>3</v>
      </c>
      <c r="N63" s="157"/>
    </row>
    <row r="64" spans="1:15">
      <c r="B64" s="137" t="s">
        <v>140</v>
      </c>
      <c r="F64" s="137">
        <f t="shared" si="0"/>
        <v>0</v>
      </c>
      <c r="G64" s="137">
        <f>2*10</f>
        <v>20</v>
      </c>
      <c r="H64" s="137">
        <f t="shared" si="1"/>
        <v>20</v>
      </c>
      <c r="J64" s="157"/>
      <c r="K64" s="157"/>
      <c r="L64" s="157"/>
      <c r="M64" s="157"/>
      <c r="N64" s="157"/>
    </row>
    <row r="65" spans="1:15">
      <c r="J65" s="157"/>
      <c r="K65" s="157"/>
      <c r="L65" s="157"/>
      <c r="M65" s="157"/>
      <c r="N65" s="157"/>
    </row>
    <row r="66" spans="1:15" ht="12.75">
      <c r="A66" s="141" t="s">
        <v>141</v>
      </c>
      <c r="B66" s="141">
        <f>SUM(F67:F69)</f>
        <v>64.19</v>
      </c>
      <c r="C66" s="141">
        <f>SUM(G67:G69)</f>
        <v>105</v>
      </c>
      <c r="D66" s="141">
        <f>C66-B66</f>
        <v>40.81</v>
      </c>
      <c r="J66" s="157"/>
      <c r="K66" s="157"/>
      <c r="L66" s="157"/>
      <c r="M66" s="157"/>
      <c r="N66" s="157"/>
    </row>
    <row r="67" spans="1:15">
      <c r="B67" s="137" t="s">
        <v>142</v>
      </c>
      <c r="F67" s="137">
        <f>SUM(J67:N67)</f>
        <v>0</v>
      </c>
      <c r="G67" s="137">
        <v>25</v>
      </c>
      <c r="H67" s="137">
        <f>G67-F67</f>
        <v>25</v>
      </c>
      <c r="J67" s="157"/>
      <c r="K67" s="157"/>
      <c r="L67" s="157"/>
      <c r="M67" s="157"/>
      <c r="N67" s="157"/>
    </row>
    <row r="68" spans="1:15">
      <c r="B68" s="137" t="s">
        <v>143</v>
      </c>
      <c r="F68" s="137">
        <f>SUM(J68:N68)</f>
        <v>0</v>
      </c>
      <c r="G68" s="137">
        <v>20</v>
      </c>
      <c r="H68" s="137">
        <f>G68-F68</f>
        <v>20</v>
      </c>
      <c r="J68" s="157"/>
      <c r="K68" s="157"/>
      <c r="L68" s="157"/>
      <c r="M68" s="157"/>
      <c r="N68" s="157"/>
    </row>
    <row r="69" spans="1:15">
      <c r="B69" s="137" t="s">
        <v>144</v>
      </c>
      <c r="F69" s="137">
        <f>SUM(J69:N69)</f>
        <v>64.19</v>
      </c>
      <c r="G69" s="137">
        <v>60</v>
      </c>
      <c r="H69" s="137">
        <f>G69-F69</f>
        <v>-4.1899999999999977</v>
      </c>
      <c r="J69" s="157"/>
      <c r="K69" s="157"/>
      <c r="L69" s="157"/>
      <c r="M69" s="157"/>
      <c r="N69" s="157">
        <v>64.19</v>
      </c>
      <c r="O69" s="137" t="s">
        <v>442</v>
      </c>
    </row>
    <row r="70" spans="1:15">
      <c r="J70" s="157"/>
      <c r="K70" s="157"/>
      <c r="L70" s="157"/>
      <c r="M70" s="157"/>
      <c r="N70" s="157"/>
    </row>
    <row r="71" spans="1:15" ht="12.75">
      <c r="A71" s="141" t="s">
        <v>145</v>
      </c>
      <c r="B71" s="141">
        <f>SUM(F72:F76)</f>
        <v>927.71</v>
      </c>
      <c r="C71" s="141">
        <f>SUM(G72:G76)</f>
        <v>570</v>
      </c>
      <c r="D71" s="141">
        <f>C71-B71</f>
        <v>-357.71000000000004</v>
      </c>
      <c r="J71" s="157"/>
      <c r="K71" s="157"/>
      <c r="L71" s="157"/>
      <c r="M71" s="157"/>
      <c r="N71" s="157"/>
    </row>
    <row r="72" spans="1:15">
      <c r="B72" s="137" t="s">
        <v>146</v>
      </c>
      <c r="F72" s="137">
        <f>SUM(J72:N72)</f>
        <v>161.04</v>
      </c>
      <c r="G72" s="137">
        <f>2*100</f>
        <v>200</v>
      </c>
      <c r="H72" s="137">
        <f>G72-F72</f>
        <v>38.960000000000008</v>
      </c>
      <c r="J72" s="157"/>
      <c r="K72" s="157">
        <f>34.32+20.24+13.3+25.08+33.78+34.32</f>
        <v>161.04</v>
      </c>
      <c r="L72" s="157"/>
      <c r="M72" s="157"/>
      <c r="N72" s="157"/>
    </row>
    <row r="73" spans="1:15">
      <c r="B73" s="137" t="s">
        <v>147</v>
      </c>
      <c r="D73" s="137" t="s">
        <v>148</v>
      </c>
      <c r="F73" s="137">
        <f>SUM(J73:N73)</f>
        <v>255</v>
      </c>
      <c r="G73" s="137">
        <f>85*2</f>
        <v>170</v>
      </c>
      <c r="H73" s="137">
        <f>G73-F73</f>
        <v>-85</v>
      </c>
      <c r="J73" s="157"/>
      <c r="K73" s="157">
        <f>85</f>
        <v>85</v>
      </c>
      <c r="L73" s="157"/>
      <c r="M73" s="157">
        <f>85+85</f>
        <v>170</v>
      </c>
      <c r="N73" s="157"/>
    </row>
    <row r="74" spans="1:15">
      <c r="B74" s="137" t="s">
        <v>149</v>
      </c>
      <c r="F74" s="137">
        <f>SUM(J74:N74)</f>
        <v>206.05</v>
      </c>
      <c r="G74" s="137">
        <f>2*30</f>
        <v>60</v>
      </c>
      <c r="H74" s="137">
        <f>G74-F74</f>
        <v>-146.05000000000001</v>
      </c>
      <c r="J74" s="157"/>
      <c r="K74" s="157"/>
      <c r="L74" s="157"/>
      <c r="M74" s="157">
        <f>7.05+199</f>
        <v>206.05</v>
      </c>
      <c r="N74" s="157"/>
      <c r="O74" s="137" t="s">
        <v>443</v>
      </c>
    </row>
    <row r="75" spans="1:15" ht="12.75">
      <c r="A75" s="141"/>
      <c r="B75" s="137" t="s">
        <v>150</v>
      </c>
      <c r="F75" s="137">
        <f>SUM(J75:N75)</f>
        <v>245.93</v>
      </c>
      <c r="G75" s="137">
        <f>2*20</f>
        <v>40</v>
      </c>
      <c r="H75" s="137">
        <f>G75-F75</f>
        <v>-205.93</v>
      </c>
      <c r="J75" s="157">
        <v>85.44</v>
      </c>
      <c r="K75" s="157">
        <f>53.5+27+79.99</f>
        <v>160.49</v>
      </c>
      <c r="L75" s="157"/>
      <c r="M75" s="157"/>
      <c r="N75" s="157"/>
      <c r="O75" s="137" t="s">
        <v>444</v>
      </c>
    </row>
    <row r="76" spans="1:15" ht="12.75">
      <c r="A76" s="141"/>
      <c r="B76" s="137" t="s">
        <v>151</v>
      </c>
      <c r="F76" s="137">
        <f>SUM(J76:N76)</f>
        <v>59.69</v>
      </c>
      <c r="G76" s="137">
        <f>2*50</f>
        <v>100</v>
      </c>
      <c r="H76" s="137">
        <f>G76-F76</f>
        <v>40.31</v>
      </c>
      <c r="J76" s="157"/>
      <c r="K76" s="157">
        <f>12.19+12.93</f>
        <v>25.119999999999997</v>
      </c>
      <c r="L76" s="157"/>
      <c r="M76" s="157">
        <f>1.27+2.49+3.8+13.41+2.67+2.41+8.52</f>
        <v>34.57</v>
      </c>
      <c r="N76" s="157"/>
    </row>
    <row r="77" spans="1:15" ht="12.75">
      <c r="A77" s="141"/>
      <c r="B77" s="141"/>
      <c r="J77" s="157"/>
      <c r="K77" s="157"/>
      <c r="L77" s="157"/>
      <c r="M77" s="157"/>
      <c r="N77" s="157"/>
    </row>
    <row r="78" spans="1:15" ht="12.75">
      <c r="A78" s="141" t="s">
        <v>152</v>
      </c>
      <c r="B78" s="141">
        <f>SUM(F79:F82)</f>
        <v>177.76</v>
      </c>
      <c r="C78" s="141">
        <f>SUM(G79:G82)</f>
        <v>290</v>
      </c>
      <c r="D78" s="141">
        <f>C78-B78</f>
        <v>112.24000000000001</v>
      </c>
      <c r="J78" s="157"/>
      <c r="K78" s="157"/>
      <c r="L78" s="157"/>
      <c r="M78" s="157"/>
      <c r="N78" s="157"/>
    </row>
    <row r="79" spans="1:15" ht="12.75">
      <c r="A79" s="137"/>
      <c r="B79" s="137" t="s">
        <v>153</v>
      </c>
      <c r="D79" s="137" t="s">
        <v>154</v>
      </c>
      <c r="F79" s="137">
        <f>SUM(J79:N79)</f>
        <v>0</v>
      </c>
      <c r="G79" s="137">
        <f>1200/12</f>
        <v>100</v>
      </c>
      <c r="H79" s="137">
        <f>G79-F79</f>
        <v>100</v>
      </c>
      <c r="J79" s="157"/>
      <c r="K79" s="157"/>
      <c r="L79" s="157"/>
      <c r="M79" s="157"/>
      <c r="N79" s="157"/>
    </row>
    <row r="80" spans="1:15">
      <c r="B80" s="137" t="s">
        <v>155</v>
      </c>
      <c r="D80" s="137" t="s">
        <v>156</v>
      </c>
      <c r="F80" s="137">
        <f>SUM(J80:N80)</f>
        <v>27.76</v>
      </c>
      <c r="G80" s="137">
        <v>10</v>
      </c>
      <c r="H80" s="137">
        <f>G80-F80</f>
        <v>-17.760000000000002</v>
      </c>
      <c r="J80" s="157"/>
      <c r="K80" s="157"/>
      <c r="L80" s="157"/>
      <c r="M80" s="157"/>
      <c r="N80" s="157">
        <v>27.76</v>
      </c>
      <c r="O80" s="137" t="s">
        <v>445</v>
      </c>
    </row>
    <row r="81" spans="1:14" ht="12.75">
      <c r="A81" s="141"/>
      <c r="B81" s="137" t="s">
        <v>157</v>
      </c>
      <c r="F81" s="137">
        <f>SUM(J81:N81)</f>
        <v>150</v>
      </c>
      <c r="G81" s="137">
        <f>150</f>
        <v>150</v>
      </c>
      <c r="H81" s="137">
        <f>G81-F81</f>
        <v>0</v>
      </c>
      <c r="J81" s="157">
        <v>150</v>
      </c>
      <c r="K81" s="157"/>
      <c r="L81" s="157"/>
      <c r="M81" s="157"/>
      <c r="N81" s="157"/>
    </row>
    <row r="82" spans="1:14" ht="12.75">
      <c r="A82" s="141"/>
      <c r="B82" s="137" t="s">
        <v>158</v>
      </c>
      <c r="F82" s="137">
        <f>SUM(J82:N82)</f>
        <v>0</v>
      </c>
      <c r="G82" s="137">
        <v>30</v>
      </c>
      <c r="H82" s="137">
        <f>G82-F82</f>
        <v>30</v>
      </c>
      <c r="J82" s="157"/>
      <c r="K82" s="157"/>
      <c r="L82" s="157"/>
      <c r="M82" s="157"/>
      <c r="N82" s="157"/>
    </row>
    <row r="83" spans="1:14" ht="12.75">
      <c r="A83" s="141"/>
      <c r="B83" s="141"/>
      <c r="J83" s="157"/>
      <c r="K83" s="157"/>
      <c r="L83" s="157"/>
      <c r="M83" s="157"/>
      <c r="N83" s="157"/>
    </row>
    <row r="84" spans="1:14" ht="12.75">
      <c r="A84" s="141" t="s">
        <v>159</v>
      </c>
      <c r="B84" s="141">
        <f>SUM(F85:F88)</f>
        <v>242.67</v>
      </c>
      <c r="C84" s="141">
        <f>SUM(G85:G88)</f>
        <v>240</v>
      </c>
      <c r="D84" s="141">
        <f>C84-B84</f>
        <v>-2.6699999999999875</v>
      </c>
      <c r="J84" s="157"/>
      <c r="K84" s="157"/>
      <c r="L84" s="157"/>
      <c r="M84" s="157"/>
      <c r="N84" s="157"/>
    </row>
    <row r="85" spans="1:14" ht="12.75">
      <c r="A85" s="141"/>
      <c r="B85" s="137" t="s">
        <v>446</v>
      </c>
      <c r="E85" s="137" t="s">
        <v>447</v>
      </c>
      <c r="F85" s="137">
        <f>SUM(J85:N85)</f>
        <v>242.67</v>
      </c>
      <c r="G85" s="137">
        <f>2*50</f>
        <v>100</v>
      </c>
      <c r="H85" s="137">
        <f>G85-F85</f>
        <v>-142.66999999999999</v>
      </c>
      <c r="J85" s="157"/>
      <c r="K85" s="157">
        <f>16.71+2.69+44+16.62+14.49+24.18</f>
        <v>118.69</v>
      </c>
      <c r="L85" s="157"/>
      <c r="M85" s="157">
        <f>35+46.05+42.93</f>
        <v>123.97999999999999</v>
      </c>
      <c r="N85" s="157"/>
    </row>
    <row r="86" spans="1:14" ht="12.75">
      <c r="A86" s="141"/>
      <c r="B86" s="137" t="s">
        <v>162</v>
      </c>
      <c r="F86" s="137">
        <f>SUM(J86:N86)</f>
        <v>0</v>
      </c>
      <c r="G86" s="137">
        <f>2*20</f>
        <v>40</v>
      </c>
      <c r="H86" s="137">
        <f>G86-F86</f>
        <v>40</v>
      </c>
      <c r="J86" s="157"/>
      <c r="K86" s="157"/>
      <c r="L86" s="157"/>
      <c r="M86" s="157"/>
      <c r="N86" s="157"/>
    </row>
    <row r="87" spans="1:14" ht="12.75">
      <c r="A87" s="141"/>
      <c r="B87" s="137" t="s">
        <v>164</v>
      </c>
      <c r="F87" s="137">
        <f>SUM(J87:N87)</f>
        <v>0</v>
      </c>
      <c r="G87" s="137">
        <f>2*30</f>
        <v>60</v>
      </c>
      <c r="H87" s="137">
        <f>G87-F87</f>
        <v>60</v>
      </c>
      <c r="J87" s="157"/>
      <c r="K87" s="157"/>
      <c r="L87" s="157"/>
      <c r="M87" s="157"/>
      <c r="N87" s="157"/>
    </row>
    <row r="88" spans="1:14" ht="12.75">
      <c r="A88" s="141"/>
      <c r="B88" s="137" t="s">
        <v>165</v>
      </c>
      <c r="F88" s="137">
        <f>SUM(J88:N88)</f>
        <v>0</v>
      </c>
      <c r="G88" s="137">
        <f>2*20</f>
        <v>40</v>
      </c>
      <c r="H88" s="137">
        <f>G88-F88</f>
        <v>40</v>
      </c>
      <c r="J88" s="157"/>
      <c r="K88" s="157"/>
      <c r="L88" s="157"/>
      <c r="M88" s="157"/>
      <c r="N88" s="157"/>
    </row>
    <row r="89" spans="1:14" ht="12.75">
      <c r="A89" s="141"/>
      <c r="J89" s="157"/>
      <c r="K89" s="157"/>
      <c r="L89" s="157"/>
      <c r="M89" s="157"/>
      <c r="N89" s="157"/>
    </row>
    <row r="90" spans="1:14" ht="12.75">
      <c r="A90" s="141" t="s">
        <v>166</v>
      </c>
      <c r="B90" s="141">
        <f>SUM(F91:F92)</f>
        <v>115.89999999999999</v>
      </c>
      <c r="C90" s="141">
        <f>SUM(G91:G92)</f>
        <v>70</v>
      </c>
      <c r="D90" s="141">
        <f>C90-B90</f>
        <v>-45.899999999999991</v>
      </c>
      <c r="J90" s="157"/>
      <c r="K90" s="157"/>
      <c r="L90" s="157"/>
      <c r="M90" s="157"/>
      <c r="N90" s="157"/>
    </row>
    <row r="91" spans="1:14" ht="12.75">
      <c r="A91" s="141"/>
      <c r="B91" s="137" t="s">
        <v>448</v>
      </c>
      <c r="F91" s="137">
        <f>SUM(J91:N91)</f>
        <v>14.970000000000002</v>
      </c>
      <c r="G91" s="137">
        <v>40</v>
      </c>
      <c r="H91" s="137">
        <f>G91-F91</f>
        <v>25.029999999999998</v>
      </c>
      <c r="J91" s="157"/>
      <c r="K91" s="157">
        <f>5.97+9.99+14.99-15.98</f>
        <v>14.970000000000002</v>
      </c>
      <c r="L91" s="157"/>
      <c r="M91" s="157"/>
      <c r="N91" s="157"/>
    </row>
    <row r="92" spans="1:14" ht="12.75">
      <c r="A92" s="141"/>
      <c r="B92" s="137" t="s">
        <v>168</v>
      </c>
      <c r="D92" s="137" t="s">
        <v>169</v>
      </c>
      <c r="F92" s="137">
        <f>SUM(J92:N92)</f>
        <v>100.92999999999999</v>
      </c>
      <c r="G92" s="137">
        <v>30</v>
      </c>
      <c r="H92" s="137">
        <f>G92-F92</f>
        <v>-70.929999999999993</v>
      </c>
      <c r="J92" s="157"/>
      <c r="K92" s="157">
        <f>29.99+30+25+5.97+9.97</f>
        <v>100.92999999999999</v>
      </c>
      <c r="L92" s="157"/>
      <c r="M92" s="157"/>
      <c r="N92" s="157"/>
    </row>
    <row r="93" spans="1:14" ht="12.75">
      <c r="A93" s="141"/>
      <c r="J93" s="157"/>
      <c r="K93" s="157"/>
      <c r="L93" s="157"/>
      <c r="M93" s="157"/>
      <c r="N93" s="157"/>
    </row>
    <row r="94" spans="1:14" ht="12.75">
      <c r="A94" s="141" t="s">
        <v>170</v>
      </c>
      <c r="B94" s="141">
        <f>F95</f>
        <v>20.970000000000002</v>
      </c>
      <c r="C94" s="141">
        <f>G95</f>
        <v>20</v>
      </c>
      <c r="D94" s="141">
        <f>C94-B94</f>
        <v>-0.97000000000000242</v>
      </c>
      <c r="J94" s="157"/>
      <c r="K94" s="157"/>
      <c r="L94" s="157"/>
      <c r="M94" s="157"/>
      <c r="N94" s="157"/>
    </row>
    <row r="95" spans="1:14" ht="12.75">
      <c r="A95" s="141"/>
      <c r="B95" s="137" t="s">
        <v>171</v>
      </c>
      <c r="F95" s="137">
        <f>SUM(J95:N95)</f>
        <v>20.970000000000002</v>
      </c>
      <c r="G95" s="137">
        <v>20</v>
      </c>
      <c r="H95" s="137">
        <f>G95-F95</f>
        <v>-0.97000000000000242</v>
      </c>
      <c r="J95" s="157"/>
      <c r="K95" s="157">
        <f>17.6+2.49+0.88</f>
        <v>20.970000000000002</v>
      </c>
      <c r="L95" s="157"/>
      <c r="M95" s="157"/>
      <c r="N95" s="157"/>
    </row>
    <row r="96" spans="1:14" ht="12.75">
      <c r="A96" s="141"/>
      <c r="J96" s="157"/>
      <c r="K96" s="157"/>
      <c r="L96" s="157"/>
      <c r="M96" s="157"/>
      <c r="N96" s="157"/>
    </row>
    <row r="97" spans="1:14" ht="12.75">
      <c r="A97" s="141" t="s">
        <v>172</v>
      </c>
      <c r="B97" s="141">
        <f>F98</f>
        <v>25.869999999999997</v>
      </c>
      <c r="C97" s="141">
        <f>G98</f>
        <v>10</v>
      </c>
      <c r="D97" s="141">
        <f>C97-B97</f>
        <v>-15.869999999999997</v>
      </c>
      <c r="J97" s="157"/>
      <c r="K97" s="157"/>
      <c r="L97" s="157"/>
      <c r="M97" s="157"/>
      <c r="N97" s="157"/>
    </row>
    <row r="98" spans="1:14">
      <c r="B98" s="137" t="s">
        <v>173</v>
      </c>
      <c r="F98" s="137">
        <f>SUM(J98:N98)</f>
        <v>25.869999999999997</v>
      </c>
      <c r="G98" s="137">
        <v>10</v>
      </c>
      <c r="H98" s="137">
        <f>G98-F98</f>
        <v>-15.869999999999997</v>
      </c>
      <c r="J98" s="157"/>
      <c r="K98" s="157">
        <f>7.92+17.95</f>
        <v>25.869999999999997</v>
      </c>
      <c r="L98" s="157"/>
      <c r="M98" s="157"/>
      <c r="N98" s="157"/>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dimension ref="A1:S98"/>
  <sheetViews>
    <sheetView topLeftCell="A24" zoomScale="84" zoomScaleNormal="84" workbookViewId="0">
      <pane ySplit="1" activePane="bottomLeft"/>
      <selection activeCell="J51" sqref="J51"/>
      <selection pane="bottomLeft" activeCell="J68" sqref="J68"/>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449</v>
      </c>
      <c r="L1" s="140">
        <f>166.23+135+135.99</f>
        <v>437.22</v>
      </c>
    </row>
    <row r="2" spans="1:16">
      <c r="A2" s="138" t="s">
        <v>331</v>
      </c>
      <c r="B2" s="141" t="s">
        <v>14</v>
      </c>
      <c r="C2" s="141"/>
      <c r="J2" s="137" t="s">
        <v>450</v>
      </c>
    </row>
    <row r="3" spans="1:16">
      <c r="J3" s="137" t="s">
        <v>451</v>
      </c>
    </row>
    <row r="4" spans="1:16">
      <c r="A4" s="138" t="s">
        <v>9</v>
      </c>
      <c r="B4" s="143">
        <f>SUM(G5:G9)</f>
        <v>6235.5</v>
      </c>
      <c r="C4" s="143"/>
      <c r="G4" s="137" t="s">
        <v>185</v>
      </c>
      <c r="J4" s="137" t="s">
        <v>452</v>
      </c>
      <c r="O4" s="142"/>
    </row>
    <row r="5" spans="1:16">
      <c r="B5" s="137" t="s">
        <v>34</v>
      </c>
      <c r="D5" s="137">
        <v>3117.74</v>
      </c>
      <c r="E5" s="137">
        <v>3117.76</v>
      </c>
      <c r="F5" s="137">
        <v>0</v>
      </c>
      <c r="G5" s="144">
        <f>SUM(D5:F5)</f>
        <v>6235.5</v>
      </c>
      <c r="H5" s="144"/>
      <c r="I5" s="144"/>
      <c r="J5" s="144" t="s">
        <v>453</v>
      </c>
      <c r="O5" s="142"/>
    </row>
    <row r="6" spans="1:16">
      <c r="B6" s="137" t="s">
        <v>36</v>
      </c>
      <c r="D6" s="142"/>
      <c r="E6" s="137">
        <v>0</v>
      </c>
      <c r="G6" s="144">
        <f>SUM(D6:F6)</f>
        <v>0</v>
      </c>
      <c r="H6" s="144"/>
      <c r="I6" s="144"/>
      <c r="J6" s="144" t="s">
        <v>454</v>
      </c>
      <c r="O6" s="142"/>
    </row>
    <row r="7" spans="1:16">
      <c r="B7" s="137" t="s">
        <v>397</v>
      </c>
      <c r="G7" s="144">
        <f>SUM(D7:F7)</f>
        <v>0</v>
      </c>
      <c r="H7" s="144"/>
      <c r="I7" s="144"/>
      <c r="O7" s="142"/>
    </row>
    <row r="8" spans="1:16">
      <c r="B8" s="137" t="s">
        <v>37</v>
      </c>
      <c r="D8" s="137">
        <v>0</v>
      </c>
      <c r="G8" s="144">
        <f>SUM(D8:F8)</f>
        <v>0</v>
      </c>
      <c r="H8" s="144"/>
      <c r="I8" s="144"/>
      <c r="O8" s="142"/>
    </row>
    <row r="9" spans="1:16">
      <c r="P9" s="142"/>
    </row>
    <row r="11" spans="1:16">
      <c r="A11" s="138" t="s">
        <v>11</v>
      </c>
      <c r="B11" s="143">
        <f>Tithe!D7</f>
        <v>910</v>
      </c>
      <c r="C11" s="143"/>
      <c r="D11" s="137" t="s">
        <v>187</v>
      </c>
      <c r="E11" s="145">
        <f>B11/B4</f>
        <v>0.14593857749979952</v>
      </c>
    </row>
    <row r="12" spans="1:16">
      <c r="A12" s="138"/>
      <c r="B12" s="143"/>
      <c r="C12" s="143"/>
      <c r="E12" s="145"/>
    </row>
    <row r="13" spans="1:16">
      <c r="A13" s="138" t="s">
        <v>403</v>
      </c>
      <c r="B13" s="146">
        <f>SUM(D14:D17)+SUM(E14:E17)</f>
        <v>1050</v>
      </c>
      <c r="E13" s="137" t="s">
        <v>404</v>
      </c>
      <c r="J13" s="144" t="s">
        <v>455</v>
      </c>
    </row>
    <row r="14" spans="1:16" ht="12.75">
      <c r="A14" s="137"/>
      <c r="B14" s="141" t="s">
        <v>405</v>
      </c>
      <c r="C14" s="141"/>
      <c r="D14" s="146">
        <v>750</v>
      </c>
      <c r="J14" s="144" t="s">
        <v>456</v>
      </c>
    </row>
    <row r="15" spans="1:16">
      <c r="A15" s="138"/>
      <c r="B15" s="141" t="s">
        <v>406</v>
      </c>
      <c r="C15" s="141"/>
      <c r="D15" s="146">
        <v>100</v>
      </c>
      <c r="J15" s="144"/>
    </row>
    <row r="16" spans="1:16">
      <c r="A16" s="138"/>
      <c r="B16" s="141" t="s">
        <v>407</v>
      </c>
      <c r="C16" s="141"/>
      <c r="D16" s="146">
        <v>100</v>
      </c>
      <c r="J16" s="144"/>
    </row>
    <row r="17" spans="1:19">
      <c r="A17" s="138"/>
      <c r="B17" s="141" t="s">
        <v>408</v>
      </c>
      <c r="C17" s="141"/>
      <c r="D17" s="146">
        <v>100</v>
      </c>
      <c r="J17" s="144"/>
    </row>
    <row r="18" spans="1:19">
      <c r="A18" s="138"/>
      <c r="B18" s="141"/>
      <c r="C18" s="141"/>
      <c r="D18" s="146"/>
      <c r="J18" s="144"/>
    </row>
    <row r="19" spans="1:19">
      <c r="A19" s="138" t="s">
        <v>409</v>
      </c>
      <c r="J19" s="137" t="s">
        <v>457</v>
      </c>
    </row>
    <row r="20" spans="1:19">
      <c r="B20" s="141"/>
    </row>
    <row r="21" spans="1:19">
      <c r="A21" s="138" t="s">
        <v>410</v>
      </c>
      <c r="B21" s="137">
        <f>SUM(E21:E22)</f>
        <v>2057.7150000000001</v>
      </c>
      <c r="C21" s="137" t="s">
        <v>411</v>
      </c>
      <c r="D21" s="144"/>
      <c r="E21" s="137">
        <f>0.33*G5</f>
        <v>2057.7150000000001</v>
      </c>
      <c r="F21" s="137" t="s">
        <v>412</v>
      </c>
    </row>
    <row r="22" spans="1:19">
      <c r="C22" s="137" t="s">
        <v>413</v>
      </c>
      <c r="D22" s="144"/>
      <c r="E22" s="137">
        <f>SUM(G6:G8)</f>
        <v>0</v>
      </c>
      <c r="F22" s="137" t="s">
        <v>458</v>
      </c>
    </row>
    <row r="23" spans="1:19">
      <c r="E23" s="144"/>
    </row>
    <row r="24" spans="1:19">
      <c r="A24" s="147" t="s">
        <v>415</v>
      </c>
      <c r="B24" s="148"/>
      <c r="C24" s="148"/>
      <c r="E24" s="149">
        <f>B4-B11-B13+D19-E21-E22</f>
        <v>2217.7849999999999</v>
      </c>
      <c r="F24" s="137" t="s">
        <v>416</v>
      </c>
      <c r="G24" s="146">
        <f>E24-D27</f>
        <v>65.554999999999836</v>
      </c>
    </row>
    <row r="25" spans="1:19">
      <c r="A25" s="147" t="s">
        <v>417</v>
      </c>
      <c r="B25" s="148"/>
      <c r="C25" s="148"/>
      <c r="E25" s="149">
        <f>SUM(E21:E22)+G24</f>
        <v>2123.27</v>
      </c>
      <c r="F25" s="137" t="s">
        <v>418</v>
      </c>
      <c r="G25" s="150">
        <f>E25/B4</f>
        <v>0.34051319060219709</v>
      </c>
      <c r="H25" s="137" t="s">
        <v>419</v>
      </c>
    </row>
    <row r="26" spans="1:19">
      <c r="A26" s="138"/>
      <c r="B26" s="148"/>
      <c r="C26" s="148"/>
      <c r="E26" s="149"/>
      <c r="K26" s="137">
        <v>1547</v>
      </c>
      <c r="L26" s="137">
        <f>K27+L27</f>
        <v>1547</v>
      </c>
      <c r="M26" s="137">
        <f>K26-L26</f>
        <v>0</v>
      </c>
    </row>
    <row r="27" spans="1:19">
      <c r="A27" s="138" t="s">
        <v>420</v>
      </c>
      <c r="D27" s="146">
        <f>J27+K27+L27</f>
        <v>2152.23</v>
      </c>
      <c r="E27" s="38">
        <f>D27/B4</f>
        <v>0.34515756555208083</v>
      </c>
      <c r="F27" s="137">
        <f>SUM(F30:F98)</f>
        <v>2152.2300000000005</v>
      </c>
      <c r="G27" s="137">
        <f>SUM(G30:G98)</f>
        <v>2350</v>
      </c>
      <c r="H27" s="137">
        <f>SUM(H30:H98)</f>
        <v>197.76999999999995</v>
      </c>
      <c r="J27" s="137">
        <f>SUM(J30:J98)</f>
        <v>605.23</v>
      </c>
      <c r="K27" s="137">
        <f>SUM(K30:K98)</f>
        <v>737.2299999999999</v>
      </c>
      <c r="L27" s="137">
        <f>SUM(L30:L98)</f>
        <v>809.7700000000001</v>
      </c>
    </row>
    <row r="28" spans="1:19">
      <c r="A28" s="138" t="s">
        <v>459</v>
      </c>
      <c r="B28" s="141"/>
      <c r="D28" s="144"/>
    </row>
    <row r="29" spans="1:19" ht="12.75">
      <c r="A29" s="141"/>
      <c r="B29" s="143"/>
      <c r="F29" s="154" t="s">
        <v>426</v>
      </c>
      <c r="G29" s="137" t="s">
        <v>427</v>
      </c>
      <c r="H29" s="154" t="s">
        <v>100</v>
      </c>
      <c r="J29" s="159" t="s">
        <v>428</v>
      </c>
      <c r="K29" s="160" t="s">
        <v>429</v>
      </c>
      <c r="L29" s="160" t="s">
        <v>430</v>
      </c>
      <c r="S29" s="154"/>
    </row>
    <row r="30" spans="1:19" ht="12.75">
      <c r="A30" s="141" t="s">
        <v>105</v>
      </c>
      <c r="B30" s="141">
        <f>F30</f>
        <v>0</v>
      </c>
      <c r="C30" s="137" t="s">
        <v>106</v>
      </c>
      <c r="F30" s="137">
        <f>SUM(J30:L30)</f>
        <v>0</v>
      </c>
      <c r="G30" s="137">
        <f>0</f>
        <v>0</v>
      </c>
      <c r="H30" s="137">
        <f>G30-F30</f>
        <v>0</v>
      </c>
      <c r="J30" s="161"/>
      <c r="K30" s="162"/>
      <c r="L30" s="162"/>
    </row>
    <row r="31" spans="1:19" ht="12.75">
      <c r="A31" s="137"/>
      <c r="J31" s="161"/>
      <c r="K31" s="163"/>
      <c r="L31" s="163"/>
    </row>
    <row r="32" spans="1:19" ht="12.75">
      <c r="A32" s="141" t="s">
        <v>107</v>
      </c>
      <c r="B32" s="141">
        <f>SUM(F33:F40)</f>
        <v>286.63</v>
      </c>
      <c r="C32" s="141">
        <f>SUM(G33:G40)</f>
        <v>478</v>
      </c>
      <c r="D32" s="141">
        <f>C32-B32</f>
        <v>191.37</v>
      </c>
      <c r="J32" s="161"/>
      <c r="K32" s="163"/>
      <c r="L32" s="163"/>
    </row>
    <row r="33" spans="1:13">
      <c r="B33" s="137" t="s">
        <v>54</v>
      </c>
      <c r="C33" s="137" t="s">
        <v>55</v>
      </c>
      <c r="F33" s="137">
        <f>SUM(J33:L33)</f>
        <v>146.86000000000001</v>
      </c>
      <c r="G33" s="137">
        <v>115</v>
      </c>
      <c r="H33" s="137">
        <f>G33-F33</f>
        <v>-31.860000000000014</v>
      </c>
      <c r="J33" s="161">
        <v>146.86000000000001</v>
      </c>
      <c r="K33" s="163"/>
      <c r="L33" s="163"/>
    </row>
    <row r="34" spans="1:13">
      <c r="B34" s="137" t="s">
        <v>56</v>
      </c>
      <c r="C34" s="137" t="s">
        <v>57</v>
      </c>
      <c r="F34" s="137">
        <f>SUM(J34:L34)</f>
        <v>0</v>
      </c>
      <c r="G34" s="137">
        <v>40</v>
      </c>
      <c r="H34" s="137">
        <f>G34-F34</f>
        <v>40</v>
      </c>
      <c r="J34" s="161"/>
      <c r="K34" s="163"/>
      <c r="L34" s="163"/>
    </row>
    <row r="35" spans="1:13">
      <c r="B35" s="137" t="s">
        <v>108</v>
      </c>
      <c r="C35" s="137" t="s">
        <v>109</v>
      </c>
      <c r="D35" s="137" t="s">
        <v>432</v>
      </c>
      <c r="F35" s="137">
        <f>SUM(J35:L35)</f>
        <v>0</v>
      </c>
      <c r="G35" s="137">
        <v>85</v>
      </c>
      <c r="H35" s="137">
        <f>G35-F35</f>
        <v>85</v>
      </c>
      <c r="J35" s="161"/>
      <c r="K35" s="163"/>
      <c r="L35" s="163"/>
    </row>
    <row r="36" spans="1:13">
      <c r="B36" s="137" t="s">
        <v>111</v>
      </c>
      <c r="C36" s="137" t="s">
        <v>112</v>
      </c>
      <c r="D36" s="137" t="s">
        <v>113</v>
      </c>
      <c r="F36" s="137">
        <f>SUM(J36:L36)</f>
        <v>0</v>
      </c>
      <c r="G36" s="137">
        <v>100</v>
      </c>
      <c r="H36" s="137">
        <f>G36-F36</f>
        <v>100</v>
      </c>
      <c r="J36" s="161"/>
      <c r="K36" s="163"/>
      <c r="L36" s="163"/>
    </row>
    <row r="37" spans="1:13">
      <c r="J37" s="161"/>
      <c r="K37" s="163"/>
      <c r="L37" s="163"/>
    </row>
    <row r="38" spans="1:13" ht="12.75">
      <c r="A38" s="141" t="s">
        <v>114</v>
      </c>
      <c r="B38" s="141">
        <f>SUM(F39:F40)</f>
        <v>139.76999999999998</v>
      </c>
      <c r="C38" s="141">
        <f>SUM(G39:G40)</f>
        <v>138</v>
      </c>
      <c r="D38" s="141">
        <f>C38-B38</f>
        <v>-1.7699999999999818</v>
      </c>
      <c r="J38" s="161"/>
      <c r="K38" s="163"/>
      <c r="L38" s="163"/>
    </row>
    <row r="39" spans="1:13" ht="12.75">
      <c r="A39" s="137" t="s">
        <v>460</v>
      </c>
      <c r="B39" s="137" t="s">
        <v>64</v>
      </c>
      <c r="C39" s="137" t="s">
        <v>65</v>
      </c>
      <c r="F39" s="137">
        <f>SUM(J39:L39)</f>
        <v>65.14</v>
      </c>
      <c r="G39" s="137">
        <v>63</v>
      </c>
      <c r="H39" s="137">
        <f>G39-F39</f>
        <v>-2.1400000000000006</v>
      </c>
      <c r="J39" s="161">
        <v>65.14</v>
      </c>
      <c r="K39" s="163"/>
      <c r="L39" s="163"/>
    </row>
    <row r="40" spans="1:13">
      <c r="B40" s="137" t="s">
        <v>115</v>
      </c>
      <c r="C40" s="137" t="s">
        <v>116</v>
      </c>
      <c r="F40" s="137">
        <f>SUM(J40:L40)</f>
        <v>74.63</v>
      </c>
      <c r="G40" s="137">
        <v>75</v>
      </c>
      <c r="H40" s="137">
        <f>G40-F40</f>
        <v>0.37000000000000455</v>
      </c>
      <c r="J40" s="161">
        <v>74.63</v>
      </c>
      <c r="K40" s="163"/>
      <c r="L40" s="163"/>
    </row>
    <row r="41" spans="1:13">
      <c r="J41" s="161"/>
      <c r="K41" s="163"/>
      <c r="L41" s="163"/>
    </row>
    <row r="42" spans="1:13" ht="12.75">
      <c r="A42" s="141" t="s">
        <v>117</v>
      </c>
      <c r="B42" s="141">
        <f>SUM(F43:F45)</f>
        <v>0</v>
      </c>
      <c r="C42" s="141">
        <f>SUM(G43:G45)</f>
        <v>177</v>
      </c>
      <c r="D42" s="141">
        <f>C42-B42</f>
        <v>177</v>
      </c>
      <c r="J42" s="161"/>
      <c r="K42" s="163"/>
      <c r="L42" s="163"/>
    </row>
    <row r="43" spans="1:13" ht="12.75">
      <c r="A43" s="137"/>
      <c r="B43" s="137" t="s">
        <v>118</v>
      </c>
      <c r="C43" s="137" t="s">
        <v>119</v>
      </c>
      <c r="F43" s="137">
        <f>SUM(J43:L43)</f>
        <v>0</v>
      </c>
      <c r="G43" s="137">
        <v>56.5</v>
      </c>
      <c r="H43" s="137">
        <f>G43-F43</f>
        <v>56.5</v>
      </c>
      <c r="J43" s="161"/>
      <c r="K43" s="163"/>
      <c r="L43" s="163"/>
    </row>
    <row r="44" spans="1:13" ht="12.75">
      <c r="A44" s="137"/>
      <c r="B44" s="137" t="s">
        <v>120</v>
      </c>
      <c r="C44" s="137" t="s">
        <v>119</v>
      </c>
      <c r="F44" s="137">
        <f>SUM(J44:L44)</f>
        <v>0</v>
      </c>
      <c r="G44" s="137">
        <v>84.5</v>
      </c>
      <c r="H44" s="137">
        <f>G44-F44</f>
        <v>84.5</v>
      </c>
      <c r="J44" s="161"/>
      <c r="K44" s="163"/>
      <c r="L44" s="163"/>
    </row>
    <row r="45" spans="1:13" ht="12.75">
      <c r="A45" s="137"/>
      <c r="B45" s="137" t="s">
        <v>121</v>
      </c>
      <c r="F45" s="137">
        <f>SUM(J45:L45)</f>
        <v>0</v>
      </c>
      <c r="G45" s="137">
        <v>36</v>
      </c>
      <c r="H45" s="137">
        <f>G45-F45</f>
        <v>36</v>
      </c>
      <c r="J45" s="161"/>
      <c r="K45" s="163"/>
      <c r="L45" s="163"/>
    </row>
    <row r="46" spans="1:13" ht="12.75">
      <c r="A46" s="137"/>
      <c r="J46" s="161"/>
      <c r="K46" s="163"/>
      <c r="L46" s="163"/>
    </row>
    <row r="47" spans="1:13" ht="12.75">
      <c r="A47" s="141" t="s">
        <v>122</v>
      </c>
      <c r="B47" s="141">
        <f>SUM(F48:F51)</f>
        <v>-93.899999999999977</v>
      </c>
      <c r="C47" s="141">
        <f>SUM(G48:G51)</f>
        <v>130</v>
      </c>
      <c r="D47" s="141">
        <f>C47-B47</f>
        <v>223.89999999999998</v>
      </c>
      <c r="J47" s="161"/>
      <c r="K47" s="163"/>
      <c r="L47" s="163"/>
    </row>
    <row r="48" spans="1:13" ht="12.75">
      <c r="A48" s="137"/>
      <c r="B48" s="137" t="s">
        <v>124</v>
      </c>
      <c r="F48" s="137">
        <f>SUM(J48:L48)</f>
        <v>-176.84999999999997</v>
      </c>
      <c r="G48" s="137">
        <v>20</v>
      </c>
      <c r="H48" s="137">
        <f>G48-F48</f>
        <v>196.84999999999997</v>
      </c>
      <c r="J48" s="161">
        <v>-140</v>
      </c>
      <c r="K48" s="163">
        <f>(-104.84-55.79+4.51)+(18.8+24.96+15.25-17.23+15.31+190.24+13.94-5.91-1.06-147.37)+4.37+7.97</f>
        <v>-36.849999999999973</v>
      </c>
      <c r="L48" s="163"/>
      <c r="M48" s="137" t="s">
        <v>461</v>
      </c>
    </row>
    <row r="49" spans="1:13">
      <c r="B49" s="137" t="s">
        <v>125</v>
      </c>
      <c r="F49" s="137">
        <f>SUM(J49:L49)</f>
        <v>20.23</v>
      </c>
      <c r="G49" s="137">
        <v>10</v>
      </c>
      <c r="H49" s="137">
        <f>G49-F49</f>
        <v>-10.23</v>
      </c>
      <c r="J49" s="161"/>
      <c r="K49" s="163"/>
      <c r="L49" s="163">
        <f>14.99+5.24</f>
        <v>20.23</v>
      </c>
      <c r="M49" s="137" t="s">
        <v>462</v>
      </c>
    </row>
    <row r="50" spans="1:13">
      <c r="B50" s="137" t="s">
        <v>126</v>
      </c>
      <c r="F50" s="137">
        <f>SUM(J50:L50)</f>
        <v>31.94</v>
      </c>
      <c r="G50" s="137">
        <v>50</v>
      </c>
      <c r="H50" s="137">
        <f>G50-F50</f>
        <v>18.059999999999999</v>
      </c>
      <c r="J50" s="161"/>
      <c r="K50" s="163">
        <v>31.94</v>
      </c>
      <c r="L50" s="163"/>
      <c r="M50" s="137" t="s">
        <v>463</v>
      </c>
    </row>
    <row r="51" spans="1:13">
      <c r="B51" s="137" t="s">
        <v>127</v>
      </c>
      <c r="F51" s="137">
        <f>SUM(J51:L51)</f>
        <v>30.78</v>
      </c>
      <c r="G51" s="137">
        <v>50</v>
      </c>
      <c r="H51" s="137">
        <f>G51-F51</f>
        <v>19.22</v>
      </c>
      <c r="J51" s="161">
        <f>-240.21+135.99</f>
        <v>-104.22</v>
      </c>
      <c r="K51" s="163"/>
      <c r="L51" s="163">
        <v>135</v>
      </c>
      <c r="M51" s="137" t="s">
        <v>464</v>
      </c>
    </row>
    <row r="52" spans="1:13">
      <c r="J52" s="161"/>
      <c r="K52" s="163"/>
      <c r="L52" s="163"/>
    </row>
    <row r="53" spans="1:13" ht="12.75">
      <c r="A53" s="141" t="s">
        <v>436</v>
      </c>
      <c r="B53" s="141">
        <f>SUM(F54:F56)</f>
        <v>180.02</v>
      </c>
      <c r="C53" s="141">
        <f>SUM(G54:G56)</f>
        <v>80</v>
      </c>
      <c r="D53" s="141">
        <f>C53-B53</f>
        <v>-100.02000000000001</v>
      </c>
      <c r="J53" s="161"/>
      <c r="K53" s="163"/>
      <c r="L53" s="163"/>
    </row>
    <row r="54" spans="1:13">
      <c r="B54" s="137" t="s">
        <v>437</v>
      </c>
      <c r="F54" s="137">
        <f>SUM(J54:L54)</f>
        <v>98.300000000000011</v>
      </c>
      <c r="G54" s="137">
        <f>50</f>
        <v>50</v>
      </c>
      <c r="H54" s="137">
        <f>G54-F54</f>
        <v>-48.300000000000011</v>
      </c>
      <c r="J54" s="161">
        <v>-60</v>
      </c>
      <c r="K54" s="163">
        <f>59.3+99</f>
        <v>158.30000000000001</v>
      </c>
      <c r="L54" s="163"/>
      <c r="M54" s="137" t="s">
        <v>465</v>
      </c>
    </row>
    <row r="55" spans="1:13">
      <c r="B55" s="137" t="s">
        <v>131</v>
      </c>
      <c r="F55" s="137">
        <f>SUM(J55:L55)</f>
        <v>81.72</v>
      </c>
      <c r="G55" s="137">
        <v>20</v>
      </c>
      <c r="H55" s="137">
        <f>G55-F55</f>
        <v>-61.72</v>
      </c>
      <c r="J55" s="161"/>
      <c r="K55" s="163"/>
      <c r="L55" s="163">
        <f>(68.56-14.97-2.49-5.94-5.24)+41.8</f>
        <v>81.72</v>
      </c>
      <c r="M55" s="137" t="s">
        <v>466</v>
      </c>
    </row>
    <row r="56" spans="1:13">
      <c r="B56" s="137" t="s">
        <v>467</v>
      </c>
      <c r="F56" s="137">
        <f>SUM(J56:L56)</f>
        <v>0</v>
      </c>
      <c r="G56" s="137">
        <v>10</v>
      </c>
      <c r="H56" s="137">
        <f>G56-F56</f>
        <v>10</v>
      </c>
      <c r="J56" s="161"/>
      <c r="K56" s="163"/>
      <c r="L56" s="163"/>
    </row>
    <row r="57" spans="1:13">
      <c r="J57" s="161"/>
      <c r="K57" s="163"/>
      <c r="L57" s="163"/>
    </row>
    <row r="58" spans="1:13" ht="12.75">
      <c r="A58" s="141" t="s">
        <v>133</v>
      </c>
      <c r="B58" s="141">
        <f>SUM(F59:F64)</f>
        <v>700.99000000000012</v>
      </c>
      <c r="C58" s="141">
        <f>SUM(G59:G64)</f>
        <v>500</v>
      </c>
      <c r="D58" s="141">
        <f>C58-B58</f>
        <v>-200.99000000000012</v>
      </c>
      <c r="J58" s="161"/>
      <c r="K58" s="163"/>
      <c r="L58" s="163"/>
    </row>
    <row r="59" spans="1:13" ht="12.75">
      <c r="A59" s="137"/>
      <c r="B59" s="137" t="s">
        <v>134</v>
      </c>
      <c r="F59" s="137">
        <f t="shared" ref="F59:F64" si="0">SUM(J59:L59)</f>
        <v>150</v>
      </c>
      <c r="G59" s="137">
        <v>100</v>
      </c>
      <c r="H59" s="137">
        <f t="shared" ref="H59:H64" si="1">G59-F59</f>
        <v>-50</v>
      </c>
      <c r="J59" s="161">
        <f>50+100</f>
        <v>150</v>
      </c>
      <c r="K59" s="163"/>
      <c r="L59" s="163"/>
    </row>
    <row r="60" spans="1:13">
      <c r="B60" s="137" t="s">
        <v>135</v>
      </c>
      <c r="F60" s="137">
        <f t="shared" si="0"/>
        <v>442.11000000000007</v>
      </c>
      <c r="G60" s="137">
        <v>300</v>
      </c>
      <c r="H60" s="137">
        <f t="shared" si="1"/>
        <v>-142.11000000000007</v>
      </c>
      <c r="J60" s="161">
        <f>10.5+28.92</f>
        <v>39.42</v>
      </c>
      <c r="K60" s="163"/>
      <c r="L60" s="163">
        <f>24.66+73.43+2.49+17.2+(69.65-41.8-4.97)+(86.05-10.62)+5.98+(22.47-1)+13.63+80.25+32.54+(48.95-16.22)</f>
        <v>402.69000000000005</v>
      </c>
      <c r="M60" s="137" t="s">
        <v>468</v>
      </c>
    </row>
    <row r="61" spans="1:13">
      <c r="B61" s="137" t="s">
        <v>136</v>
      </c>
      <c r="F61" s="137">
        <f t="shared" si="0"/>
        <v>10.62</v>
      </c>
      <c r="G61" s="137">
        <v>30</v>
      </c>
      <c r="H61" s="137">
        <f t="shared" si="1"/>
        <v>19.380000000000003</v>
      </c>
      <c r="J61" s="161"/>
      <c r="K61" s="163"/>
      <c r="L61" s="163">
        <f>10.62</f>
        <v>10.62</v>
      </c>
      <c r="M61" s="137" t="s">
        <v>469</v>
      </c>
    </row>
    <row r="62" spans="1:13">
      <c r="B62" s="137" t="s">
        <v>138</v>
      </c>
      <c r="F62" s="137">
        <f t="shared" si="0"/>
        <v>44.139999999999993</v>
      </c>
      <c r="G62" s="137">
        <v>30</v>
      </c>
      <c r="H62" s="137">
        <f t="shared" si="1"/>
        <v>-14.139999999999993</v>
      </c>
      <c r="J62" s="161"/>
      <c r="K62" s="163"/>
      <c r="L62" s="163">
        <f>5.82+4.97+(38.47-16.1-5.24)+16.22</f>
        <v>44.139999999999993</v>
      </c>
    </row>
    <row r="63" spans="1:13">
      <c r="B63" s="137" t="s">
        <v>139</v>
      </c>
      <c r="F63" s="137">
        <f t="shared" si="0"/>
        <v>26.21</v>
      </c>
      <c r="G63" s="137">
        <v>30</v>
      </c>
      <c r="H63" s="137">
        <f t="shared" si="1"/>
        <v>3.7899999999999991</v>
      </c>
      <c r="J63" s="161"/>
      <c r="K63" s="163"/>
      <c r="L63" s="163">
        <f>14.97+11.24</f>
        <v>26.21</v>
      </c>
      <c r="M63" s="137" t="s">
        <v>470</v>
      </c>
    </row>
    <row r="64" spans="1:13">
      <c r="B64" s="137" t="s">
        <v>140</v>
      </c>
      <c r="F64" s="137">
        <f t="shared" si="0"/>
        <v>27.91</v>
      </c>
      <c r="G64" s="137">
        <v>10</v>
      </c>
      <c r="H64" s="137">
        <f t="shared" si="1"/>
        <v>-17.91</v>
      </c>
      <c r="J64" s="161"/>
      <c r="K64" s="163"/>
      <c r="L64" s="163">
        <v>27.91</v>
      </c>
    </row>
    <row r="65" spans="1:13">
      <c r="J65" s="161"/>
      <c r="K65" s="163"/>
      <c r="L65" s="163"/>
    </row>
    <row r="66" spans="1:13" ht="12.75">
      <c r="A66" s="141" t="s">
        <v>141</v>
      </c>
      <c r="B66" s="141">
        <f>SUM(F67:F69)</f>
        <v>233.39999999999998</v>
      </c>
      <c r="C66" s="141">
        <f>SUM(G67:G69)</f>
        <v>105</v>
      </c>
      <c r="D66" s="141">
        <f>C66-B66</f>
        <v>-128.39999999999998</v>
      </c>
      <c r="J66" s="161"/>
      <c r="K66" s="163"/>
      <c r="L66" s="163"/>
    </row>
    <row r="67" spans="1:13">
      <c r="B67" s="137" t="s">
        <v>142</v>
      </c>
      <c r="F67" s="137">
        <f>SUM(J67:L67)</f>
        <v>0</v>
      </c>
      <c r="G67" s="137">
        <v>25</v>
      </c>
      <c r="H67" s="137">
        <f>G67-F67</f>
        <v>25</v>
      </c>
      <c r="J67" s="161"/>
      <c r="K67" s="163"/>
      <c r="L67" s="163"/>
    </row>
    <row r="68" spans="1:13">
      <c r="B68" s="137" t="s">
        <v>143</v>
      </c>
      <c r="F68" s="137">
        <f>SUM(J68:L68)</f>
        <v>233.39999999999998</v>
      </c>
      <c r="G68" s="137">
        <v>20</v>
      </c>
      <c r="H68" s="137">
        <f>G68-F68</f>
        <v>-213.39999999999998</v>
      </c>
      <c r="J68" s="161">
        <f>(84+55.2)+(51+43.2)</f>
        <v>233.39999999999998</v>
      </c>
      <c r="K68" s="163"/>
      <c r="L68" s="163"/>
    </row>
    <row r="69" spans="1:13">
      <c r="B69" s="137" t="s">
        <v>144</v>
      </c>
      <c r="F69" s="137">
        <f>SUM(J69:L69)</f>
        <v>0</v>
      </c>
      <c r="G69" s="137">
        <v>60</v>
      </c>
      <c r="H69" s="137">
        <f>G69-F69</f>
        <v>60</v>
      </c>
      <c r="J69" s="161"/>
      <c r="K69" s="163"/>
      <c r="L69" s="163"/>
    </row>
    <row r="70" spans="1:13">
      <c r="J70" s="161"/>
      <c r="K70" s="163"/>
      <c r="L70" s="163"/>
    </row>
    <row r="71" spans="1:13" ht="12.75">
      <c r="A71" s="141" t="s">
        <v>145</v>
      </c>
      <c r="B71" s="141">
        <f>SUM(F72:F76)</f>
        <v>472.92</v>
      </c>
      <c r="C71" s="141">
        <f>SUM(G72:G76)</f>
        <v>370</v>
      </c>
      <c r="D71" s="141">
        <f>C71-B71</f>
        <v>-102.92000000000002</v>
      </c>
      <c r="J71" s="161"/>
      <c r="K71" s="163"/>
      <c r="L71" s="163"/>
    </row>
    <row r="72" spans="1:13">
      <c r="B72" s="137" t="s">
        <v>146</v>
      </c>
      <c r="F72" s="137">
        <f>SUM(J72:L72)</f>
        <v>102.66999999999999</v>
      </c>
      <c r="G72" s="137">
        <v>100</v>
      </c>
      <c r="H72" s="137">
        <f>G72-F72</f>
        <v>-2.6699999999999875</v>
      </c>
      <c r="J72" s="161"/>
      <c r="K72" s="163">
        <f>33.69+33.82+35.16</f>
        <v>102.66999999999999</v>
      </c>
      <c r="L72" s="163"/>
    </row>
    <row r="73" spans="1:13">
      <c r="B73" s="137" t="s">
        <v>147</v>
      </c>
      <c r="D73" s="137" t="s">
        <v>148</v>
      </c>
      <c r="F73" s="137">
        <f>SUM(J73:L73)</f>
        <v>85</v>
      </c>
      <c r="G73" s="137">
        <f>85*2</f>
        <v>170</v>
      </c>
      <c r="H73" s="137">
        <f>G73-F73</f>
        <v>85</v>
      </c>
      <c r="J73" s="161"/>
      <c r="K73" s="163">
        <f>85</f>
        <v>85</v>
      </c>
      <c r="L73" s="163"/>
    </row>
    <row r="74" spans="1:13">
      <c r="B74" s="137" t="s">
        <v>149</v>
      </c>
      <c r="F74" s="137">
        <f>SUM(J74:L74)</f>
        <v>0</v>
      </c>
      <c r="G74" s="137">
        <v>30</v>
      </c>
      <c r="H74" s="137">
        <f>G74-F74</f>
        <v>30</v>
      </c>
      <c r="J74" s="161"/>
      <c r="K74" s="163"/>
      <c r="L74" s="163"/>
    </row>
    <row r="75" spans="1:13" ht="12.75">
      <c r="A75" s="141"/>
      <c r="B75" s="137" t="s">
        <v>150</v>
      </c>
      <c r="F75" s="137">
        <f>SUM(J75:L75)</f>
        <v>248.94</v>
      </c>
      <c r="G75" s="137">
        <v>20</v>
      </c>
      <c r="H75" s="137">
        <f>G75-F75</f>
        <v>-228.94</v>
      </c>
      <c r="J75" s="161"/>
      <c r="K75" s="163">
        <f>195+53.94</f>
        <v>248.94</v>
      </c>
      <c r="L75" s="163"/>
      <c r="M75" s="137" t="s">
        <v>471</v>
      </c>
    </row>
    <row r="76" spans="1:13" ht="12.75">
      <c r="A76" s="141"/>
      <c r="B76" s="137" t="s">
        <v>151</v>
      </c>
      <c r="F76" s="137">
        <f>SUM(J76:L76)</f>
        <v>36.31</v>
      </c>
      <c r="G76" s="137">
        <v>50</v>
      </c>
      <c r="H76" s="137">
        <f>G76-F76</f>
        <v>13.689999999999998</v>
      </c>
      <c r="J76" s="161"/>
      <c r="K76" s="163">
        <f>2.84+6.39+4.35+4.59+2.08+9.91+6.15</f>
        <v>36.31</v>
      </c>
      <c r="L76" s="163"/>
    </row>
    <row r="77" spans="1:13" ht="12.75">
      <c r="A77" s="141"/>
      <c r="B77" s="141"/>
      <c r="J77" s="161"/>
      <c r="K77" s="163"/>
      <c r="L77" s="163"/>
    </row>
    <row r="78" spans="1:13" ht="12.75">
      <c r="A78" s="141" t="s">
        <v>152</v>
      </c>
      <c r="B78" s="141">
        <f>SUM(F79:F82)</f>
        <v>171.34</v>
      </c>
      <c r="C78" s="141">
        <f>SUM(G79:G82)</f>
        <v>290</v>
      </c>
      <c r="D78" s="141">
        <f>C78-B78</f>
        <v>118.66</v>
      </c>
      <c r="J78" s="161"/>
      <c r="K78" s="163"/>
      <c r="L78" s="163"/>
    </row>
    <row r="79" spans="1:13" ht="12.75">
      <c r="A79" s="137"/>
      <c r="B79" s="137" t="s">
        <v>153</v>
      </c>
      <c r="D79" s="137" t="s">
        <v>154</v>
      </c>
      <c r="F79" s="137">
        <f>SUM(J79:L79)</f>
        <v>11.96</v>
      </c>
      <c r="G79" s="137">
        <f>1200/12</f>
        <v>100</v>
      </c>
      <c r="H79" s="137">
        <f>G79-F79</f>
        <v>88.039999999999992</v>
      </c>
      <c r="J79" s="161"/>
      <c r="K79" s="163"/>
      <c r="L79" s="163">
        <v>11.96</v>
      </c>
    </row>
    <row r="80" spans="1:13">
      <c r="B80" s="137" t="s">
        <v>155</v>
      </c>
      <c r="D80" s="137" t="s">
        <v>156</v>
      </c>
      <c r="F80" s="137">
        <f>SUM(J80:L80)</f>
        <v>9.379999999999999</v>
      </c>
      <c r="G80" s="137">
        <v>10</v>
      </c>
      <c r="H80" s="137">
        <f>G80-F80</f>
        <v>0.62000000000000099</v>
      </c>
      <c r="J80" s="161"/>
      <c r="K80" s="163"/>
      <c r="L80" s="163">
        <f>5.24+4.14</f>
        <v>9.379999999999999</v>
      </c>
      <c r="M80" s="137" t="s">
        <v>472</v>
      </c>
    </row>
    <row r="81" spans="1:13" ht="12.75">
      <c r="A81" s="141"/>
      <c r="B81" s="137" t="s">
        <v>157</v>
      </c>
      <c r="F81" s="137">
        <f>SUM(J81:L81)</f>
        <v>150</v>
      </c>
      <c r="G81" s="137">
        <f>150</f>
        <v>150</v>
      </c>
      <c r="H81" s="137">
        <f>G81-F81</f>
        <v>0</v>
      </c>
      <c r="J81" s="161">
        <v>150</v>
      </c>
      <c r="K81" s="163"/>
      <c r="L81" s="163"/>
    </row>
    <row r="82" spans="1:13" ht="12.75">
      <c r="A82" s="141"/>
      <c r="B82" s="137" t="s">
        <v>158</v>
      </c>
      <c r="F82" s="137">
        <f>SUM(J82:L82)</f>
        <v>0</v>
      </c>
      <c r="G82" s="137">
        <v>30</v>
      </c>
      <c r="H82" s="137">
        <f>G82-F82</f>
        <v>30</v>
      </c>
      <c r="J82" s="161"/>
      <c r="K82" s="163"/>
      <c r="L82" s="163"/>
    </row>
    <row r="83" spans="1:13" ht="12.75">
      <c r="A83" s="141"/>
      <c r="B83" s="141"/>
      <c r="J83" s="161"/>
      <c r="K83" s="163"/>
      <c r="L83" s="163"/>
    </row>
    <row r="84" spans="1:13" ht="12.75">
      <c r="A84" s="141" t="s">
        <v>159</v>
      </c>
      <c r="B84" s="141">
        <f>SUM(F85:F88)</f>
        <v>85.789999999999992</v>
      </c>
      <c r="C84" s="141">
        <f>SUM(G85:G88)</f>
        <v>120</v>
      </c>
      <c r="D84" s="141">
        <f>C84-B84</f>
        <v>34.210000000000008</v>
      </c>
      <c r="J84" s="161"/>
      <c r="K84" s="163"/>
      <c r="L84" s="163"/>
    </row>
    <row r="85" spans="1:13" ht="12.75">
      <c r="A85" s="141"/>
      <c r="B85" s="137" t="s">
        <v>473</v>
      </c>
      <c r="F85" s="137">
        <f>SUM(J85:L85)</f>
        <v>85.789999999999992</v>
      </c>
      <c r="G85" s="137">
        <v>50</v>
      </c>
      <c r="H85" s="137">
        <f>G85-F85</f>
        <v>-35.789999999999992</v>
      </c>
      <c r="J85" s="161"/>
      <c r="K85" s="163">
        <f>4.24+6.83+31+8.72+35</f>
        <v>85.789999999999992</v>
      </c>
      <c r="L85" s="163"/>
      <c r="M85" s="137" t="s">
        <v>474</v>
      </c>
    </row>
    <row r="86" spans="1:13" ht="12.75">
      <c r="A86" s="141"/>
      <c r="B86" s="137" t="s">
        <v>162</v>
      </c>
      <c r="F86" s="137">
        <f>SUM(J86:L86)</f>
        <v>0</v>
      </c>
      <c r="G86" s="137">
        <v>20</v>
      </c>
      <c r="H86" s="137">
        <f>G86-F86</f>
        <v>20</v>
      </c>
      <c r="J86" s="161"/>
      <c r="K86" s="163"/>
      <c r="L86" s="163"/>
    </row>
    <row r="87" spans="1:13" ht="12.75">
      <c r="A87" s="141"/>
      <c r="B87" s="137" t="s">
        <v>164</v>
      </c>
      <c r="F87" s="137">
        <f>SUM(J87:L87)</f>
        <v>0</v>
      </c>
      <c r="G87" s="137">
        <v>30</v>
      </c>
      <c r="H87" s="137">
        <f>G87-F87</f>
        <v>30</v>
      </c>
      <c r="J87" s="161"/>
      <c r="K87" s="163"/>
      <c r="L87" s="163"/>
    </row>
    <row r="88" spans="1:13" ht="12.75">
      <c r="A88" s="141"/>
      <c r="B88" s="137" t="s">
        <v>165</v>
      </c>
      <c r="F88" s="137">
        <f>SUM(J88:L88)</f>
        <v>0</v>
      </c>
      <c r="G88" s="137">
        <v>20</v>
      </c>
      <c r="H88" s="137">
        <f>G88-F88</f>
        <v>20</v>
      </c>
      <c r="J88" s="161"/>
      <c r="K88" s="163"/>
      <c r="L88" s="163"/>
    </row>
    <row r="89" spans="1:13" ht="12.75">
      <c r="A89" s="141"/>
      <c r="J89" s="161"/>
      <c r="K89" s="163"/>
      <c r="L89" s="163"/>
    </row>
    <row r="90" spans="1:13" ht="12.75">
      <c r="A90" s="141" t="s">
        <v>166</v>
      </c>
      <c r="B90" s="141">
        <f>SUM(F91:F92)</f>
        <v>50</v>
      </c>
      <c r="C90" s="141">
        <f>SUM(G91:G92)</f>
        <v>70</v>
      </c>
      <c r="D90" s="141">
        <f>C90-B90</f>
        <v>20</v>
      </c>
      <c r="J90" s="161"/>
      <c r="K90" s="163"/>
      <c r="L90" s="163"/>
    </row>
    <row r="91" spans="1:13" ht="12.75">
      <c r="A91" s="141"/>
      <c r="B91" s="137" t="s">
        <v>167</v>
      </c>
      <c r="F91" s="137">
        <f>SUM(J91:L91)</f>
        <v>0</v>
      </c>
      <c r="G91" s="137">
        <v>40</v>
      </c>
      <c r="H91" s="137">
        <f>G91-F91</f>
        <v>40</v>
      </c>
      <c r="J91" s="161"/>
      <c r="K91" s="163"/>
      <c r="L91" s="163"/>
    </row>
    <row r="92" spans="1:13" ht="12.75">
      <c r="A92" s="141"/>
      <c r="B92" s="137" t="s">
        <v>168</v>
      </c>
      <c r="D92" s="137" t="s">
        <v>169</v>
      </c>
      <c r="F92" s="137">
        <f>SUM(J92:L92)</f>
        <v>50</v>
      </c>
      <c r="G92" s="137">
        <v>30</v>
      </c>
      <c r="H92" s="137">
        <f>G92-F92</f>
        <v>-20</v>
      </c>
      <c r="J92" s="161">
        <v>50</v>
      </c>
      <c r="K92" s="163"/>
      <c r="L92" s="163"/>
      <c r="M92" s="137" t="s">
        <v>475</v>
      </c>
    </row>
    <row r="93" spans="1:13" ht="12.75">
      <c r="A93" s="141"/>
      <c r="J93" s="161"/>
      <c r="K93" s="163"/>
      <c r="L93" s="163"/>
    </row>
    <row r="94" spans="1:13" ht="12.75">
      <c r="A94" s="141" t="s">
        <v>170</v>
      </c>
      <c r="B94" s="141">
        <f>F95</f>
        <v>62.639999999999986</v>
      </c>
      <c r="C94" s="141">
        <f>G95</f>
        <v>20</v>
      </c>
      <c r="D94" s="141">
        <f>C94-B94</f>
        <v>-42.639999999999986</v>
      </c>
      <c r="J94" s="161"/>
      <c r="K94" s="163"/>
      <c r="L94" s="163"/>
    </row>
    <row r="95" spans="1:13" ht="12.75">
      <c r="A95" s="141"/>
      <c r="B95" s="137" t="s">
        <v>476</v>
      </c>
      <c r="F95" s="137">
        <f>SUM(J95:L95)</f>
        <v>62.639999999999986</v>
      </c>
      <c r="G95" s="137">
        <v>20</v>
      </c>
      <c r="H95" s="137">
        <f>G95-F95</f>
        <v>-42.639999999999986</v>
      </c>
      <c r="J95" s="161"/>
      <c r="K95" s="163">
        <f>10.68+14.45</f>
        <v>25.13</v>
      </c>
      <c r="L95" s="163">
        <f>5.94+(97.49-27.91-17.2-14.99-5.82)</f>
        <v>37.509999999999991</v>
      </c>
      <c r="M95" s="137" t="s">
        <v>477</v>
      </c>
    </row>
    <row r="96" spans="1:13" ht="12.75">
      <c r="A96" s="141"/>
      <c r="J96" s="161"/>
      <c r="K96" s="163"/>
      <c r="L96" s="163"/>
    </row>
    <row r="97" spans="1:12" ht="12.75">
      <c r="A97" s="141" t="s">
        <v>172</v>
      </c>
      <c r="B97" s="141">
        <f>F98</f>
        <v>2.4</v>
      </c>
      <c r="C97" s="141">
        <f>G98</f>
        <v>10</v>
      </c>
      <c r="D97" s="141">
        <f>C97-B97</f>
        <v>7.6</v>
      </c>
      <c r="J97" s="161"/>
      <c r="K97" s="163"/>
      <c r="L97" s="163"/>
    </row>
    <row r="98" spans="1:12">
      <c r="B98" s="137" t="s">
        <v>173</v>
      </c>
      <c r="F98" s="137">
        <f>SUM(J98:L98)</f>
        <v>2.4</v>
      </c>
      <c r="G98" s="137">
        <v>10</v>
      </c>
      <c r="H98" s="137">
        <f>G98-F98</f>
        <v>7.6</v>
      </c>
      <c r="J98" s="164"/>
      <c r="K98" s="165"/>
      <c r="L98" s="165">
        <f>1.2+1.2</f>
        <v>2.4</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dimension ref="A1:S98"/>
  <sheetViews>
    <sheetView topLeftCell="A7" zoomScale="84" zoomScaleNormal="84" workbookViewId="0">
      <pane ySplit="1" activePane="bottomLeft"/>
      <selection activeCell="E14" sqref="E14"/>
      <selection pane="bottomLeft" activeCell="F5" sqref="F5"/>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4.42578125" style="137" customWidth="1"/>
    <col min="11" max="11" width="14.28515625" style="137" customWidth="1"/>
    <col min="12" max="12" width="14.42578125" style="137" customWidth="1"/>
    <col min="13"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449</v>
      </c>
      <c r="L1" s="140">
        <f>364.88+338.81+529.98+1360</f>
        <v>2593.67</v>
      </c>
    </row>
    <row r="2" spans="1:16">
      <c r="A2" s="138" t="s">
        <v>331</v>
      </c>
      <c r="B2" s="141" t="s">
        <v>15</v>
      </c>
      <c r="C2" s="141"/>
      <c r="J2" s="137" t="s">
        <v>478</v>
      </c>
    </row>
    <row r="3" spans="1:16" ht="12.75">
      <c r="A3" s="137"/>
      <c r="J3" s="137" t="s">
        <v>479</v>
      </c>
    </row>
    <row r="4" spans="1:16">
      <c r="A4" s="138" t="s">
        <v>9</v>
      </c>
      <c r="B4" s="143">
        <f>SUM(G5:G9)</f>
        <v>9634.51</v>
      </c>
      <c r="C4" s="143"/>
      <c r="F4" s="137" t="s">
        <v>480</v>
      </c>
      <c r="G4" s="137" t="s">
        <v>185</v>
      </c>
      <c r="J4" s="137" t="s">
        <v>481</v>
      </c>
      <c r="O4" s="142"/>
    </row>
    <row r="5" spans="1:16" ht="12.75">
      <c r="A5" s="137"/>
      <c r="B5" s="137" t="s">
        <v>34</v>
      </c>
      <c r="D5" s="137">
        <v>3117.74</v>
      </c>
      <c r="E5" s="137">
        <v>3110.3</v>
      </c>
      <c r="F5" s="137">
        <v>3406.47</v>
      </c>
      <c r="G5" s="144">
        <f>SUM(D5:F5)</f>
        <v>9634.51</v>
      </c>
      <c r="H5" s="144"/>
      <c r="I5" s="144"/>
      <c r="J5" s="144" t="s">
        <v>482</v>
      </c>
      <c r="O5" s="142"/>
    </row>
    <row r="6" spans="1:16" ht="12.75">
      <c r="A6" s="137"/>
      <c r="B6" s="137" t="s">
        <v>36</v>
      </c>
      <c r="D6" s="142"/>
      <c r="E6" s="137">
        <v>0</v>
      </c>
      <c r="G6" s="144">
        <f>SUM(D6:F6)</f>
        <v>0</v>
      </c>
      <c r="H6" s="144"/>
      <c r="I6" s="144"/>
      <c r="J6" s="144" t="s">
        <v>483</v>
      </c>
      <c r="O6" s="142"/>
    </row>
    <row r="7" spans="1:16" ht="12.75">
      <c r="A7" s="137"/>
      <c r="B7" s="137" t="s">
        <v>397</v>
      </c>
      <c r="D7" s="137">
        <v>0</v>
      </c>
      <c r="G7" s="144">
        <f>SUM(D7:F7)</f>
        <v>0</v>
      </c>
      <c r="H7" s="144"/>
      <c r="I7" s="144"/>
      <c r="J7" s="144"/>
      <c r="O7" s="142"/>
    </row>
    <row r="8" spans="1:16" ht="12.75">
      <c r="A8" s="137"/>
      <c r="B8" s="137" t="s">
        <v>37</v>
      </c>
      <c r="D8" s="137">
        <v>0</v>
      </c>
      <c r="G8" s="144">
        <f>SUM(D8:F8)</f>
        <v>0</v>
      </c>
      <c r="H8" s="144"/>
      <c r="I8" s="144"/>
      <c r="J8" s="144" t="s">
        <v>484</v>
      </c>
      <c r="O8" s="142"/>
    </row>
    <row r="9" spans="1:16" ht="12.75">
      <c r="A9" s="137"/>
      <c r="J9" s="137" t="s">
        <v>485</v>
      </c>
      <c r="P9" s="142"/>
    </row>
    <row r="10" spans="1:16" ht="12.75">
      <c r="A10" s="137"/>
      <c r="J10" s="137" t="s">
        <v>486</v>
      </c>
    </row>
    <row r="11" spans="1:16">
      <c r="A11" s="138" t="s">
        <v>11</v>
      </c>
      <c r="B11" s="143">
        <f>Tithe!D8</f>
        <v>1011</v>
      </c>
      <c r="C11" s="143"/>
      <c r="D11" s="137" t="s">
        <v>187</v>
      </c>
      <c r="E11" s="145">
        <f>B11/B4</f>
        <v>0.10493527953160046</v>
      </c>
    </row>
    <row r="13" spans="1:16">
      <c r="A13" s="138" t="s">
        <v>403</v>
      </c>
      <c r="B13" s="146">
        <f>SUM(D14:D17)+SUM(E14:E17)</f>
        <v>1050</v>
      </c>
      <c r="E13" s="137" t="s">
        <v>404</v>
      </c>
    </row>
    <row r="14" spans="1:16" ht="12.75">
      <c r="A14" s="137"/>
      <c r="B14" s="141" t="s">
        <v>405</v>
      </c>
      <c r="C14" s="141"/>
      <c r="D14" s="146">
        <v>750</v>
      </c>
    </row>
    <row r="15" spans="1:16" ht="12.75">
      <c r="A15" s="141"/>
      <c r="B15" s="141" t="s">
        <v>406</v>
      </c>
      <c r="C15" s="141"/>
      <c r="D15" s="146">
        <v>100</v>
      </c>
    </row>
    <row r="16" spans="1:16" ht="12.75">
      <c r="A16" s="141"/>
      <c r="B16" s="141" t="s">
        <v>407</v>
      </c>
      <c r="C16" s="141"/>
      <c r="D16" s="146">
        <v>100</v>
      </c>
    </row>
    <row r="17" spans="1:19" ht="12.75">
      <c r="A17" s="141"/>
      <c r="B17" s="141" t="s">
        <v>408</v>
      </c>
      <c r="C17" s="141"/>
      <c r="D17" s="146">
        <v>100</v>
      </c>
    </row>
    <row r="18" spans="1:19" ht="12.75">
      <c r="A18" s="141"/>
      <c r="B18" s="141"/>
      <c r="C18" s="141"/>
      <c r="D18" s="146"/>
    </row>
    <row r="19" spans="1:19">
      <c r="A19" s="138" t="s">
        <v>409</v>
      </c>
    </row>
    <row r="20" spans="1:19" ht="12.75">
      <c r="A20" s="137"/>
      <c r="B20" s="141"/>
    </row>
    <row r="21" spans="1:19">
      <c r="A21" s="138" t="s">
        <v>410</v>
      </c>
      <c r="B21" s="137">
        <f>SUM(E21:E22)</f>
        <v>3179.3883000000001</v>
      </c>
      <c r="C21" s="137" t="s">
        <v>411</v>
      </c>
      <c r="D21" s="144"/>
      <c r="E21" s="137">
        <f>0.33*G5</f>
        <v>3179.3883000000001</v>
      </c>
      <c r="F21" s="137" t="s">
        <v>412</v>
      </c>
    </row>
    <row r="22" spans="1:19" ht="12.75">
      <c r="A22" s="137"/>
      <c r="C22" s="137" t="s">
        <v>413</v>
      </c>
      <c r="D22" s="144"/>
      <c r="E22" s="137">
        <f>SUM(G6:G8)</f>
        <v>0</v>
      </c>
      <c r="F22" s="137" t="s">
        <v>458</v>
      </c>
    </row>
    <row r="23" spans="1:19" ht="12.75">
      <c r="A23" s="137"/>
      <c r="E23" s="144"/>
    </row>
    <row r="24" spans="1:19">
      <c r="A24" s="147" t="s">
        <v>415</v>
      </c>
      <c r="B24" s="148"/>
      <c r="C24" s="148"/>
      <c r="E24" s="149">
        <f>B4-B11-B13+D19-E21-E22</f>
        <v>4394.1216999999997</v>
      </c>
      <c r="F24" s="137" t="s">
        <v>416</v>
      </c>
      <c r="G24" s="146">
        <f>E24-D27</f>
        <v>411.03169999999955</v>
      </c>
    </row>
    <row r="25" spans="1:19">
      <c r="A25" s="147" t="s">
        <v>417</v>
      </c>
      <c r="B25" s="148"/>
      <c r="C25" s="148"/>
      <c r="E25" s="149">
        <f>SUM(E21:E22)+G24</f>
        <v>3590.4199999999996</v>
      </c>
      <c r="F25" s="137" t="s">
        <v>418</v>
      </c>
      <c r="G25" s="150">
        <f>E25/B4</f>
        <v>0.37266243950133421</v>
      </c>
      <c r="H25" s="137" t="s">
        <v>419</v>
      </c>
    </row>
    <row r="26" spans="1:19" ht="12.75">
      <c r="A26" s="141"/>
      <c r="B26" s="148"/>
      <c r="C26" s="148"/>
      <c r="E26" s="149"/>
      <c r="K26" s="137">
        <v>1819.42</v>
      </c>
      <c r="L26" s="137">
        <f>K27+L27</f>
        <v>1819.4200000000003</v>
      </c>
    </row>
    <row r="27" spans="1:19">
      <c r="A27" s="138" t="s">
        <v>420</v>
      </c>
      <c r="D27" s="146">
        <f>J27+K27+L27</f>
        <v>3983.09</v>
      </c>
      <c r="E27" s="38">
        <f>D27/B4</f>
        <v>0.41341905296688675</v>
      </c>
      <c r="F27" s="137">
        <f>SUM(F30:F98)</f>
        <v>3983.0899999999997</v>
      </c>
      <c r="G27" s="137">
        <f>SUM(G30:G98)</f>
        <v>2350</v>
      </c>
      <c r="H27" s="137">
        <f>SUM(H30:H98)</f>
        <v>-1633.09</v>
      </c>
      <c r="J27" s="137">
        <f>SUM(J30:J98)</f>
        <v>2163.67</v>
      </c>
      <c r="K27" s="137">
        <f>SUM(K30:K98)</f>
        <v>775.61000000000013</v>
      </c>
      <c r="L27" s="137">
        <f>SUM(L30:L98)</f>
        <v>1043.8100000000002</v>
      </c>
    </row>
    <row r="28" spans="1:19" ht="12.75">
      <c r="A28" s="141"/>
      <c r="B28" s="141"/>
      <c r="D28" s="144"/>
    </row>
    <row r="29" spans="1:19" ht="12.75">
      <c r="A29" s="141"/>
      <c r="B29" s="143"/>
      <c r="F29" s="154" t="s">
        <v>426</v>
      </c>
      <c r="G29" s="137" t="s">
        <v>427</v>
      </c>
      <c r="H29" s="154" t="s">
        <v>487</v>
      </c>
      <c r="J29" s="159" t="s">
        <v>428</v>
      </c>
      <c r="K29" s="160" t="s">
        <v>429</v>
      </c>
      <c r="L29" s="160" t="s">
        <v>430</v>
      </c>
      <c r="S29" s="154"/>
    </row>
    <row r="30" spans="1:19" ht="12.75">
      <c r="A30" s="141" t="s">
        <v>105</v>
      </c>
      <c r="B30" s="141">
        <f>F30</f>
        <v>0</v>
      </c>
      <c r="C30" s="137" t="s">
        <v>106</v>
      </c>
      <c r="F30" s="137">
        <f>SUM(J30:L30)</f>
        <v>0</v>
      </c>
      <c r="G30" s="137">
        <f>0</f>
        <v>0</v>
      </c>
      <c r="H30" s="137">
        <f>G30-F30</f>
        <v>0</v>
      </c>
      <c r="J30" s="162"/>
      <c r="K30" s="162"/>
      <c r="L30" s="162"/>
    </row>
    <row r="31" spans="1:19" ht="12.75">
      <c r="A31" s="137"/>
      <c r="J31" s="163"/>
      <c r="K31" s="163"/>
      <c r="L31" s="163"/>
    </row>
    <row r="32" spans="1:19" ht="12.75">
      <c r="A32" s="141" t="s">
        <v>107</v>
      </c>
      <c r="B32" s="141">
        <f>SUM(F33:F40)</f>
        <v>1129.43</v>
      </c>
      <c r="C32" s="141">
        <f>SUM(G33:G40)</f>
        <v>478</v>
      </c>
      <c r="D32" s="141">
        <f>C32-B32</f>
        <v>-651.43000000000006</v>
      </c>
      <c r="J32" s="163"/>
      <c r="K32" s="163"/>
      <c r="L32" s="163"/>
    </row>
    <row r="33" spans="1:13" ht="12.75">
      <c r="A33" s="137"/>
      <c r="B33" s="137" t="s">
        <v>54</v>
      </c>
      <c r="C33" s="137" t="s">
        <v>55</v>
      </c>
      <c r="F33" s="137">
        <f>SUM(J33:L33)</f>
        <v>125.86</v>
      </c>
      <c r="G33" s="137">
        <v>115</v>
      </c>
      <c r="H33" s="137">
        <f>G33-F33</f>
        <v>-10.86</v>
      </c>
      <c r="J33" s="163">
        <v>125.86</v>
      </c>
      <c r="K33" s="163"/>
      <c r="L33" s="163"/>
    </row>
    <row r="34" spans="1:13" ht="12.75">
      <c r="A34" s="137"/>
      <c r="B34" s="137" t="s">
        <v>56</v>
      </c>
      <c r="C34" s="137" t="s">
        <v>57</v>
      </c>
      <c r="F34" s="137">
        <f>SUM(J34:L34)</f>
        <v>59</v>
      </c>
      <c r="G34" s="137">
        <v>40</v>
      </c>
      <c r="H34" s="137">
        <f>G34-F34</f>
        <v>-19</v>
      </c>
      <c r="J34" s="163">
        <v>59</v>
      </c>
      <c r="K34" s="163"/>
      <c r="L34" s="163"/>
    </row>
    <row r="35" spans="1:13" ht="12.75">
      <c r="A35" s="137"/>
      <c r="B35" s="137" t="s">
        <v>108</v>
      </c>
      <c r="C35" s="137" t="s">
        <v>109</v>
      </c>
      <c r="D35" s="137" t="s">
        <v>432</v>
      </c>
      <c r="F35" s="137">
        <f>SUM(J35:L35)</f>
        <v>529.98</v>
      </c>
      <c r="G35" s="137">
        <v>85</v>
      </c>
      <c r="H35" s="137">
        <f>G35-F35</f>
        <v>-444.98</v>
      </c>
      <c r="J35" s="163"/>
      <c r="K35" s="163"/>
      <c r="L35" s="163">
        <f>2*249.99+30</f>
        <v>529.98</v>
      </c>
      <c r="M35" s="137" t="s">
        <v>488</v>
      </c>
    </row>
    <row r="36" spans="1:13" ht="12.75">
      <c r="A36" s="137"/>
      <c r="B36" s="137" t="s">
        <v>111</v>
      </c>
      <c r="C36" s="137" t="s">
        <v>112</v>
      </c>
      <c r="D36" s="137" t="s">
        <v>113</v>
      </c>
      <c r="F36" s="137">
        <f>SUM(J36:L36)</f>
        <v>338.81</v>
      </c>
      <c r="G36" s="137">
        <v>100</v>
      </c>
      <c r="H36" s="137">
        <f>G36-F36</f>
        <v>-238.81</v>
      </c>
      <c r="J36" s="163">
        <v>338.81</v>
      </c>
      <c r="K36" s="163"/>
      <c r="L36" s="163"/>
    </row>
    <row r="37" spans="1:13" ht="12.75">
      <c r="A37" s="137"/>
      <c r="J37" s="163"/>
      <c r="K37" s="163"/>
      <c r="L37" s="163"/>
    </row>
    <row r="38" spans="1:13" ht="12.75">
      <c r="A38" s="141" t="s">
        <v>114</v>
      </c>
      <c r="B38" s="141">
        <f>SUM(F39:F40)</f>
        <v>75.78</v>
      </c>
      <c r="C38" s="141">
        <f>SUM(G39:G40)</f>
        <v>138</v>
      </c>
      <c r="D38" s="141">
        <f>C38-B38</f>
        <v>62.22</v>
      </c>
      <c r="J38" s="163"/>
      <c r="K38" s="163"/>
      <c r="L38" s="163"/>
    </row>
    <row r="39" spans="1:13" ht="12.75">
      <c r="A39" s="137" t="s">
        <v>460</v>
      </c>
      <c r="B39" s="137" t="s">
        <v>64</v>
      </c>
      <c r="C39" s="137" t="s">
        <v>65</v>
      </c>
      <c r="F39" s="137">
        <f>SUM(J39:L39)</f>
        <v>0</v>
      </c>
      <c r="G39" s="137">
        <v>63</v>
      </c>
      <c r="H39" s="137">
        <f>G39-F39</f>
        <v>63</v>
      </c>
      <c r="J39" s="163"/>
      <c r="K39" s="163"/>
      <c r="L39" s="163"/>
    </row>
    <row r="40" spans="1:13" ht="12.75">
      <c r="A40" s="137"/>
      <c r="B40" s="137" t="s">
        <v>115</v>
      </c>
      <c r="C40" s="137" t="s">
        <v>116</v>
      </c>
      <c r="F40" s="137">
        <f>SUM(J40:L40)</f>
        <v>75.78</v>
      </c>
      <c r="G40" s="137">
        <v>75</v>
      </c>
      <c r="H40" s="137">
        <f>G40-F40</f>
        <v>-0.78000000000000114</v>
      </c>
      <c r="J40" s="163"/>
      <c r="K40" s="163">
        <v>75.78</v>
      </c>
      <c r="L40" s="163"/>
    </row>
    <row r="41" spans="1:13" ht="12.75">
      <c r="A41" s="137"/>
      <c r="J41" s="163"/>
      <c r="K41" s="163"/>
      <c r="L41" s="163"/>
    </row>
    <row r="42" spans="1:13" ht="12.75">
      <c r="A42" s="141" t="s">
        <v>117</v>
      </c>
      <c r="B42" s="141">
        <f>SUM(F43:F45)</f>
        <v>0</v>
      </c>
      <c r="C42" s="141">
        <f>SUM(G43:G45)</f>
        <v>177</v>
      </c>
      <c r="D42" s="141">
        <f>C42-B42</f>
        <v>177</v>
      </c>
      <c r="J42" s="163"/>
      <c r="K42" s="163"/>
      <c r="L42" s="163"/>
    </row>
    <row r="43" spans="1:13" ht="12.75">
      <c r="A43" s="137"/>
      <c r="B43" s="137" t="s">
        <v>118</v>
      </c>
      <c r="C43" s="137" t="s">
        <v>119</v>
      </c>
      <c r="F43" s="137">
        <f>SUM(J43:L43)</f>
        <v>0</v>
      </c>
      <c r="G43" s="137">
        <v>56.5</v>
      </c>
      <c r="H43" s="137">
        <f>G43-F43</f>
        <v>56.5</v>
      </c>
      <c r="J43" s="163"/>
      <c r="K43" s="163"/>
      <c r="L43" s="163"/>
    </row>
    <row r="44" spans="1:13" ht="12.75">
      <c r="A44" s="137"/>
      <c r="B44" s="137" t="s">
        <v>120</v>
      </c>
      <c r="C44" s="137" t="s">
        <v>119</v>
      </c>
      <c r="F44" s="137">
        <f>SUM(J44:L44)</f>
        <v>0</v>
      </c>
      <c r="G44" s="137">
        <v>84.5</v>
      </c>
      <c r="H44" s="137">
        <f>G44-F44</f>
        <v>84.5</v>
      </c>
      <c r="J44" s="163"/>
      <c r="K44" s="163"/>
      <c r="L44" s="163"/>
    </row>
    <row r="45" spans="1:13" ht="12.75">
      <c r="A45" s="137"/>
      <c r="B45" s="137" t="s">
        <v>121</v>
      </c>
      <c r="F45" s="137">
        <f>SUM(J45:L45)</f>
        <v>0</v>
      </c>
      <c r="G45" s="137">
        <v>36</v>
      </c>
      <c r="H45" s="137">
        <f>G45-F45</f>
        <v>36</v>
      </c>
      <c r="J45" s="163"/>
      <c r="K45" s="163"/>
      <c r="L45" s="163"/>
    </row>
    <row r="46" spans="1:13" ht="12.75">
      <c r="A46" s="137"/>
      <c r="J46" s="163"/>
      <c r="K46" s="163"/>
      <c r="L46" s="163"/>
    </row>
    <row r="47" spans="1:13" ht="12.75">
      <c r="A47" s="141" t="s">
        <v>122</v>
      </c>
      <c r="B47" s="141">
        <f>SUM(F48:F51)</f>
        <v>18.8</v>
      </c>
      <c r="C47" s="141">
        <f>SUM(G48:G51)</f>
        <v>130</v>
      </c>
      <c r="D47" s="141">
        <f>C47-B47</f>
        <v>111.2</v>
      </c>
      <c r="J47" s="163"/>
      <c r="K47" s="163"/>
      <c r="L47" s="163"/>
    </row>
    <row r="48" spans="1:13" ht="12.75">
      <c r="A48" s="137"/>
      <c r="B48" s="137" t="s">
        <v>124</v>
      </c>
      <c r="F48" s="137">
        <f>SUM(J48:L48)</f>
        <v>7.75</v>
      </c>
      <c r="G48" s="137">
        <v>20</v>
      </c>
      <c r="H48" s="137">
        <f>G48-F48</f>
        <v>12.25</v>
      </c>
      <c r="J48" s="163"/>
      <c r="K48" s="163">
        <v>7.75</v>
      </c>
      <c r="L48" s="163"/>
    </row>
    <row r="49" spans="1:13" ht="12.75">
      <c r="A49" s="137"/>
      <c r="B49" s="137" t="s">
        <v>125</v>
      </c>
      <c r="F49" s="137">
        <f>SUM(J49:L49)</f>
        <v>11.05</v>
      </c>
      <c r="G49" s="137">
        <v>10</v>
      </c>
      <c r="H49" s="137">
        <f>G49-F49</f>
        <v>-1.0500000000000007</v>
      </c>
      <c r="J49" s="163"/>
      <c r="K49" s="163"/>
      <c r="L49" s="163">
        <v>11.05</v>
      </c>
      <c r="M49" s="137" t="s">
        <v>489</v>
      </c>
    </row>
    <row r="50" spans="1:13" ht="12.75">
      <c r="A50" s="137"/>
      <c r="B50" s="137" t="s">
        <v>126</v>
      </c>
      <c r="F50" s="137">
        <f>SUM(J50:L50)</f>
        <v>0</v>
      </c>
      <c r="G50" s="137">
        <v>50</v>
      </c>
      <c r="H50" s="137">
        <f>G50-F50</f>
        <v>50</v>
      </c>
      <c r="J50" s="163"/>
      <c r="K50" s="163"/>
      <c r="L50" s="163"/>
    </row>
    <row r="51" spans="1:13" ht="12.75">
      <c r="A51" s="137"/>
      <c r="B51" s="137" t="s">
        <v>490</v>
      </c>
      <c r="F51" s="137">
        <f>SUM(J51:L51)</f>
        <v>0</v>
      </c>
      <c r="G51" s="137">
        <v>50</v>
      </c>
      <c r="H51" s="137">
        <f>G51-F51</f>
        <v>50</v>
      </c>
      <c r="J51" s="163"/>
      <c r="K51" s="163"/>
      <c r="L51" s="163"/>
    </row>
    <row r="52" spans="1:13" ht="12.75">
      <c r="A52" s="137"/>
      <c r="J52" s="163"/>
      <c r="K52" s="163"/>
      <c r="L52" s="163"/>
    </row>
    <row r="53" spans="1:13" ht="12.75">
      <c r="A53" s="141" t="s">
        <v>436</v>
      </c>
      <c r="B53" s="141">
        <f>SUM(F54:F56)</f>
        <v>0</v>
      </c>
      <c r="C53" s="141">
        <f>SUM(G54:G56)</f>
        <v>80</v>
      </c>
      <c r="D53" s="141">
        <f>C53-B53</f>
        <v>80</v>
      </c>
      <c r="J53" s="163"/>
      <c r="K53" s="163"/>
      <c r="L53" s="163"/>
    </row>
    <row r="54" spans="1:13" ht="12.75">
      <c r="A54" s="137"/>
      <c r="B54" s="137" t="s">
        <v>129</v>
      </c>
      <c r="F54" s="137">
        <f>SUM(J54:L54)</f>
        <v>0</v>
      </c>
      <c r="G54" s="137">
        <f>50</f>
        <v>50</v>
      </c>
      <c r="H54" s="137">
        <f>G54-F54</f>
        <v>50</v>
      </c>
      <c r="J54" s="163"/>
      <c r="K54" s="163"/>
      <c r="L54" s="163"/>
    </row>
    <row r="55" spans="1:13" ht="12.75">
      <c r="A55" s="137"/>
      <c r="B55" s="137" t="s">
        <v>131</v>
      </c>
      <c r="F55" s="137">
        <f>SUM(J55:L55)</f>
        <v>0</v>
      </c>
      <c r="G55" s="137">
        <v>20</v>
      </c>
      <c r="H55" s="137">
        <f>G55-F55</f>
        <v>20</v>
      </c>
      <c r="J55" s="163"/>
      <c r="K55" s="163"/>
      <c r="L55" s="163"/>
    </row>
    <row r="56" spans="1:13" ht="12.75">
      <c r="A56" s="137"/>
      <c r="B56" s="137" t="s">
        <v>132</v>
      </c>
      <c r="F56" s="137">
        <f>SUM(J56:L56)</f>
        <v>0</v>
      </c>
      <c r="G56" s="137">
        <v>10</v>
      </c>
      <c r="H56" s="137">
        <f>G56-F56</f>
        <v>10</v>
      </c>
      <c r="J56" s="163"/>
      <c r="K56" s="163"/>
      <c r="L56" s="163"/>
    </row>
    <row r="57" spans="1:13" ht="12.75">
      <c r="A57" s="137"/>
      <c r="J57" s="163"/>
      <c r="K57" s="163"/>
      <c r="L57" s="163"/>
    </row>
    <row r="58" spans="1:13" ht="12.75">
      <c r="A58" s="141" t="s">
        <v>133</v>
      </c>
      <c r="B58" s="141">
        <f>SUM(F59:F64)</f>
        <v>443.44</v>
      </c>
      <c r="C58" s="141">
        <f>SUM(G59:G64)</f>
        <v>500</v>
      </c>
      <c r="D58" s="141">
        <f>C58-B58</f>
        <v>56.56</v>
      </c>
      <c r="J58" s="163"/>
      <c r="K58" s="163"/>
      <c r="L58" s="163"/>
    </row>
    <row r="59" spans="1:13" ht="12.75">
      <c r="A59" s="137"/>
      <c r="B59" s="137" t="s">
        <v>134</v>
      </c>
      <c r="F59" s="137">
        <f t="shared" ref="F59:F64" si="0">SUM(J59:L59)</f>
        <v>50</v>
      </c>
      <c r="G59" s="137">
        <v>100</v>
      </c>
      <c r="H59" s="137">
        <f t="shared" ref="H59:H64" si="1">G59-F59</f>
        <v>50</v>
      </c>
      <c r="J59" s="163">
        <v>50</v>
      </c>
      <c r="K59" s="163"/>
      <c r="L59" s="163"/>
    </row>
    <row r="60" spans="1:13" ht="12.75">
      <c r="A60" s="137"/>
      <c r="B60" s="137" t="s">
        <v>135</v>
      </c>
      <c r="F60" s="137">
        <f t="shared" si="0"/>
        <v>281.47000000000003</v>
      </c>
      <c r="G60" s="137">
        <v>300</v>
      </c>
      <c r="H60" s="137">
        <f t="shared" si="1"/>
        <v>18.529999999999973</v>
      </c>
      <c r="J60" s="163"/>
      <c r="K60" s="163">
        <f>3.99+21.31</f>
        <v>25.299999999999997</v>
      </c>
      <c r="L60" s="166">
        <f>46.25+22.1+32.02+9.26+(60.12-21.96)+(32.63-5.88-7.92-7.22)-1-0.99+(54.33-15.44)+(22.55-8)+(53.83-8.51)</f>
        <v>256.17</v>
      </c>
      <c r="M60" s="167" t="s">
        <v>491</v>
      </c>
    </row>
    <row r="61" spans="1:13" ht="12.75">
      <c r="A61" s="137"/>
      <c r="B61" s="137" t="s">
        <v>136</v>
      </c>
      <c r="F61" s="137">
        <f t="shared" si="0"/>
        <v>45.91</v>
      </c>
      <c r="G61" s="137">
        <v>30</v>
      </c>
      <c r="H61" s="137">
        <f t="shared" si="1"/>
        <v>-15.909999999999997</v>
      </c>
      <c r="J61" s="163"/>
      <c r="K61" s="163"/>
      <c r="L61" s="166">
        <f>21.96+15.44+8.51</f>
        <v>45.91</v>
      </c>
      <c r="M61" s="167" t="s">
        <v>492</v>
      </c>
    </row>
    <row r="62" spans="1:13" ht="12.75">
      <c r="A62" s="137"/>
      <c r="B62" s="137" t="s">
        <v>138</v>
      </c>
      <c r="F62" s="137">
        <f t="shared" si="0"/>
        <v>33.07</v>
      </c>
      <c r="G62" s="137">
        <v>30</v>
      </c>
      <c r="H62" s="137">
        <f t="shared" si="1"/>
        <v>-3.0700000000000003</v>
      </c>
      <c r="J62" s="163"/>
      <c r="K62" s="163"/>
      <c r="L62" s="163">
        <f>17-3-3+25.9-11.05+7.22</f>
        <v>33.07</v>
      </c>
      <c r="M62" s="137" t="s">
        <v>493</v>
      </c>
    </row>
    <row r="63" spans="1:13" ht="12.75">
      <c r="A63" s="137"/>
      <c r="B63" s="137" t="s">
        <v>139</v>
      </c>
      <c r="F63" s="137">
        <f t="shared" si="0"/>
        <v>32.989999999999995</v>
      </c>
      <c r="G63" s="137">
        <v>30</v>
      </c>
      <c r="H63" s="137">
        <f t="shared" si="1"/>
        <v>-2.9899999999999949</v>
      </c>
      <c r="J63" s="163"/>
      <c r="K63" s="163"/>
      <c r="L63" s="163">
        <f>3+29.99</f>
        <v>32.989999999999995</v>
      </c>
      <c r="M63" s="137" t="s">
        <v>494</v>
      </c>
    </row>
    <row r="64" spans="1:13" ht="12.75">
      <c r="A64" s="137"/>
      <c r="B64" s="137" t="s">
        <v>140</v>
      </c>
      <c r="F64" s="137">
        <f t="shared" si="0"/>
        <v>0</v>
      </c>
      <c r="G64" s="137">
        <v>10</v>
      </c>
      <c r="H64" s="137">
        <f t="shared" si="1"/>
        <v>10</v>
      </c>
      <c r="J64" s="163"/>
      <c r="K64" s="163"/>
      <c r="L64" s="163"/>
    </row>
    <row r="65" spans="1:13" ht="12.75">
      <c r="A65" s="137"/>
      <c r="J65" s="163"/>
      <c r="K65" s="163"/>
      <c r="L65" s="163"/>
    </row>
    <row r="66" spans="1:13" ht="12.75">
      <c r="A66" s="141" t="s">
        <v>141</v>
      </c>
      <c r="B66" s="141">
        <f>SUM(F67:F69)</f>
        <v>427.87</v>
      </c>
      <c r="C66" s="141">
        <f>SUM(G67:G69)</f>
        <v>105</v>
      </c>
      <c r="D66" s="141">
        <f>C66-B66</f>
        <v>-322.87</v>
      </c>
      <c r="J66" s="163"/>
      <c r="K66" s="163"/>
      <c r="L66" s="163"/>
    </row>
    <row r="67" spans="1:13" ht="12.75">
      <c r="A67" s="137"/>
      <c r="B67" s="137" t="s">
        <v>142</v>
      </c>
      <c r="F67" s="137">
        <f>SUM(J67:L67)</f>
        <v>364.88</v>
      </c>
      <c r="G67" s="137">
        <v>25</v>
      </c>
      <c r="H67" s="137">
        <f>G67-F67</f>
        <v>-339.88</v>
      </c>
      <c r="J67" s="163"/>
      <c r="K67" s="163">
        <v>323.89</v>
      </c>
      <c r="L67" s="163">
        <f>40.99</f>
        <v>40.99</v>
      </c>
      <c r="M67" s="137" t="s">
        <v>495</v>
      </c>
    </row>
    <row r="68" spans="1:13" ht="12.75">
      <c r="A68" s="137"/>
      <c r="B68" s="137" t="s">
        <v>143</v>
      </c>
      <c r="F68" s="137">
        <f>SUM(J68:L68)</f>
        <v>0</v>
      </c>
      <c r="G68" s="137">
        <v>20</v>
      </c>
      <c r="H68" s="137">
        <f>G68-F68</f>
        <v>20</v>
      </c>
      <c r="J68" s="163"/>
      <c r="K68" s="163"/>
      <c r="L68" s="163"/>
    </row>
    <row r="69" spans="1:13" ht="12.75">
      <c r="A69" s="137"/>
      <c r="B69" s="137" t="s">
        <v>144</v>
      </c>
      <c r="F69" s="137">
        <f>SUM(J69:L69)</f>
        <v>62.99</v>
      </c>
      <c r="G69" s="137">
        <v>60</v>
      </c>
      <c r="H69" s="137">
        <f>G69-F69</f>
        <v>-2.990000000000002</v>
      </c>
      <c r="J69" s="163"/>
      <c r="K69" s="163">
        <v>62.99</v>
      </c>
      <c r="L69" s="163"/>
    </row>
    <row r="70" spans="1:13" ht="12.75">
      <c r="A70" s="137"/>
      <c r="J70" s="163"/>
      <c r="K70" s="163"/>
      <c r="L70" s="163"/>
    </row>
    <row r="71" spans="1:13" ht="12.75">
      <c r="A71" s="141" t="s">
        <v>145</v>
      </c>
      <c r="B71" s="141">
        <f>SUM(F72:F76)</f>
        <v>138.17000000000002</v>
      </c>
      <c r="C71" s="141">
        <f>SUM(G72:G76)</f>
        <v>370</v>
      </c>
      <c r="D71" s="141">
        <f>C71-B71</f>
        <v>231.82999999999998</v>
      </c>
      <c r="J71" s="163"/>
      <c r="K71" s="163"/>
      <c r="L71" s="163"/>
    </row>
    <row r="72" spans="1:13" ht="12.75">
      <c r="A72" s="137"/>
      <c r="B72" s="137" t="s">
        <v>146</v>
      </c>
      <c r="F72" s="137">
        <f>SUM(J72:L72)</f>
        <v>0</v>
      </c>
      <c r="G72" s="137">
        <v>100</v>
      </c>
      <c r="H72" s="137">
        <f>G72-F72</f>
        <v>100</v>
      </c>
      <c r="J72" s="163"/>
      <c r="K72" s="163"/>
      <c r="L72" s="163"/>
    </row>
    <row r="73" spans="1:13" ht="12.75">
      <c r="A73" s="137"/>
      <c r="B73" s="137" t="s">
        <v>147</v>
      </c>
      <c r="D73" s="137" t="s">
        <v>148</v>
      </c>
      <c r="F73" s="137">
        <f>SUM(J73:L73)</f>
        <v>170</v>
      </c>
      <c r="G73" s="137">
        <f>85*2</f>
        <v>170</v>
      </c>
      <c r="H73" s="137">
        <f>G73-F73</f>
        <v>0</v>
      </c>
      <c r="J73" s="163"/>
      <c r="K73" s="163">
        <f>85+85</f>
        <v>170</v>
      </c>
      <c r="L73" s="163"/>
    </row>
    <row r="74" spans="1:13" ht="12.75">
      <c r="A74" s="137"/>
      <c r="B74" s="137" t="s">
        <v>149</v>
      </c>
      <c r="F74" s="137">
        <f>SUM(J74:L74)</f>
        <v>4.74</v>
      </c>
      <c r="G74" s="137">
        <v>30</v>
      </c>
      <c r="H74" s="137">
        <f>G74-F74</f>
        <v>25.259999999999998</v>
      </c>
      <c r="J74" s="163"/>
      <c r="K74" s="163">
        <f>4.74</f>
        <v>4.74</v>
      </c>
      <c r="L74" s="163"/>
    </row>
    <row r="75" spans="1:13" ht="12.75">
      <c r="A75" s="141"/>
      <c r="B75" s="137" t="s">
        <v>150</v>
      </c>
      <c r="F75" s="137">
        <f>SUM(J75:L75)</f>
        <v>-53.94</v>
      </c>
      <c r="G75" s="137">
        <v>20</v>
      </c>
      <c r="H75" s="137">
        <f>G75-F75</f>
        <v>73.94</v>
      </c>
      <c r="J75" s="163"/>
      <c r="K75" s="163">
        <v>-53.94</v>
      </c>
      <c r="L75" s="163"/>
      <c r="M75" s="137" t="s">
        <v>496</v>
      </c>
    </row>
    <row r="76" spans="1:13" ht="12.75">
      <c r="A76" s="141"/>
      <c r="B76" s="137" t="s">
        <v>151</v>
      </c>
      <c r="F76" s="137">
        <f>SUM(J76:L76)</f>
        <v>17.37</v>
      </c>
      <c r="G76" s="137">
        <v>50</v>
      </c>
      <c r="H76" s="137">
        <f>G76-F76</f>
        <v>32.629999999999995</v>
      </c>
      <c r="J76" s="163"/>
      <c r="K76" s="163">
        <f>2.56+2.78+7.99+4.04</f>
        <v>17.37</v>
      </c>
      <c r="L76" s="163"/>
    </row>
    <row r="77" spans="1:13" ht="12.75">
      <c r="A77" s="141"/>
      <c r="B77" s="141"/>
      <c r="J77" s="163"/>
      <c r="K77" s="163"/>
      <c r="L77" s="163"/>
    </row>
    <row r="78" spans="1:13" ht="12.75">
      <c r="A78" s="141" t="s">
        <v>152</v>
      </c>
      <c r="B78" s="141">
        <f>SUM(F79:F82)</f>
        <v>190.88</v>
      </c>
      <c r="C78" s="141">
        <f>SUM(G79:G82)</f>
        <v>290</v>
      </c>
      <c r="D78" s="141">
        <f>C78-B78</f>
        <v>99.12</v>
      </c>
      <c r="J78" s="163"/>
      <c r="K78" s="163"/>
      <c r="L78" s="163"/>
    </row>
    <row r="79" spans="1:13" ht="12.75">
      <c r="A79" s="137"/>
      <c r="B79" s="137" t="s">
        <v>153</v>
      </c>
      <c r="D79" s="137" t="s">
        <v>154</v>
      </c>
      <c r="F79" s="137">
        <f>SUM(J79:L79)</f>
        <v>0</v>
      </c>
      <c r="G79" s="137">
        <f>1200/12</f>
        <v>100</v>
      </c>
      <c r="H79" s="137">
        <f>G79-F79</f>
        <v>100</v>
      </c>
      <c r="J79" s="163"/>
      <c r="K79" s="163"/>
      <c r="L79" s="163"/>
    </row>
    <row r="80" spans="1:13" ht="12.75">
      <c r="A80" s="137"/>
      <c r="B80" s="137" t="s">
        <v>155</v>
      </c>
      <c r="D80" s="137" t="s">
        <v>156</v>
      </c>
      <c r="F80" s="137">
        <f>SUM(J80:L80)</f>
        <v>5.88</v>
      </c>
      <c r="G80" s="137">
        <v>10</v>
      </c>
      <c r="H80" s="137">
        <f>G80-F80</f>
        <v>4.12</v>
      </c>
      <c r="J80" s="163"/>
      <c r="K80" s="163"/>
      <c r="L80" s="163">
        <v>5.88</v>
      </c>
      <c r="M80" s="137" t="s">
        <v>497</v>
      </c>
    </row>
    <row r="81" spans="1:13" ht="12.75">
      <c r="A81" s="141"/>
      <c r="B81" s="137" t="s">
        <v>157</v>
      </c>
      <c r="F81" s="137">
        <f>SUM(J81:L81)</f>
        <v>150</v>
      </c>
      <c r="G81" s="137">
        <f>150</f>
        <v>150</v>
      </c>
      <c r="H81" s="137">
        <f>G81-F81</f>
        <v>0</v>
      </c>
      <c r="J81" s="163">
        <v>150</v>
      </c>
      <c r="K81" s="163"/>
      <c r="L81" s="163"/>
    </row>
    <row r="82" spans="1:13" ht="12.75">
      <c r="A82" s="141"/>
      <c r="B82" s="137" t="s">
        <v>498</v>
      </c>
      <c r="F82" s="137">
        <f>SUM(J82:L82)</f>
        <v>35</v>
      </c>
      <c r="G82" s="137">
        <v>30</v>
      </c>
      <c r="H82" s="137">
        <f>G82-F82</f>
        <v>-5</v>
      </c>
      <c r="J82" s="163"/>
      <c r="K82" s="163"/>
      <c r="L82" s="163">
        <v>35</v>
      </c>
      <c r="M82" s="137" t="s">
        <v>499</v>
      </c>
    </row>
    <row r="83" spans="1:13" ht="12.75">
      <c r="A83" s="141"/>
      <c r="B83" s="141"/>
      <c r="J83" s="163"/>
      <c r="K83" s="163"/>
      <c r="L83" s="163"/>
    </row>
    <row r="84" spans="1:13" ht="12.75">
      <c r="A84" s="141" t="s">
        <v>159</v>
      </c>
      <c r="B84" s="141">
        <f>SUM(F85:F88)</f>
        <v>1519.5</v>
      </c>
      <c r="C84" s="141">
        <f>SUM(G85:G88)</f>
        <v>120</v>
      </c>
      <c r="D84" s="141">
        <f>C84-B84</f>
        <v>-1399.5</v>
      </c>
      <c r="J84" s="163"/>
      <c r="K84" s="163"/>
      <c r="L84" s="163"/>
    </row>
    <row r="85" spans="1:13" ht="12.75">
      <c r="A85" s="141"/>
      <c r="B85" s="137" t="s">
        <v>473</v>
      </c>
      <c r="F85" s="137">
        <f>SUM(J85:L85)</f>
        <v>98.929999999999978</v>
      </c>
      <c r="G85" s="137">
        <v>50</v>
      </c>
      <c r="H85" s="137">
        <f>G85-F85</f>
        <v>-48.929999999999978</v>
      </c>
      <c r="J85" s="163"/>
      <c r="K85" s="163">
        <f>6.39+23.02+22+8.72+10.88+6.07</f>
        <v>77.079999999999984</v>
      </c>
      <c r="L85" s="163">
        <v>21.85</v>
      </c>
      <c r="M85" s="137" t="s">
        <v>500</v>
      </c>
    </row>
    <row r="86" spans="1:13" ht="12.75">
      <c r="A86" s="141"/>
      <c r="B86" s="137" t="s">
        <v>162</v>
      </c>
      <c r="F86" s="137">
        <f>SUM(J86:L86)</f>
        <v>0</v>
      </c>
      <c r="G86" s="137">
        <v>20</v>
      </c>
      <c r="H86" s="137">
        <f>G86-F86</f>
        <v>20</v>
      </c>
      <c r="J86" s="163"/>
      <c r="K86" s="163"/>
      <c r="L86" s="163"/>
    </row>
    <row r="87" spans="1:13" ht="12.75">
      <c r="A87" s="141"/>
      <c r="B87" s="137" t="s">
        <v>164</v>
      </c>
      <c r="F87" s="137">
        <f>SUM(J87:L87)</f>
        <v>1360</v>
      </c>
      <c r="G87" s="137">
        <v>30</v>
      </c>
      <c r="H87" s="137">
        <f>G87-F87</f>
        <v>-1330</v>
      </c>
      <c r="J87" s="163">
        <f>680+680</f>
        <v>1360</v>
      </c>
      <c r="K87" s="163"/>
      <c r="L87" s="163"/>
      <c r="M87" s="137" t="s">
        <v>501</v>
      </c>
    </row>
    <row r="88" spans="1:13" ht="12.75">
      <c r="A88" s="141"/>
      <c r="B88" s="137" t="s">
        <v>165</v>
      </c>
      <c r="F88" s="137">
        <f>SUM(J88:L88)</f>
        <v>60.57</v>
      </c>
      <c r="G88" s="137">
        <v>20</v>
      </c>
      <c r="H88" s="137">
        <f>G88-F88</f>
        <v>-40.57</v>
      </c>
      <c r="J88" s="163">
        <v>50</v>
      </c>
      <c r="K88" s="163">
        <v>10.57</v>
      </c>
      <c r="L88" s="163"/>
      <c r="M88" s="137" t="s">
        <v>502</v>
      </c>
    </row>
    <row r="89" spans="1:13" ht="12.75">
      <c r="A89" s="141"/>
      <c r="J89" s="163"/>
      <c r="K89" s="163"/>
      <c r="L89" s="163"/>
    </row>
    <row r="90" spans="1:13" ht="12.75">
      <c r="A90" s="141" t="s">
        <v>166</v>
      </c>
      <c r="B90" s="141">
        <f>SUM(F91:F92)</f>
        <v>102.99000000000001</v>
      </c>
      <c r="C90" s="141">
        <f>SUM(G91:G92)</f>
        <v>70</v>
      </c>
      <c r="D90" s="141">
        <f>C90-B90</f>
        <v>-32.990000000000009</v>
      </c>
      <c r="J90" s="163"/>
      <c r="K90" s="163"/>
      <c r="L90" s="163"/>
    </row>
    <row r="91" spans="1:13" ht="12.75">
      <c r="A91" s="141"/>
      <c r="B91" s="137" t="s">
        <v>167</v>
      </c>
      <c r="F91" s="137">
        <f>SUM(J91:L91)</f>
        <v>52.99</v>
      </c>
      <c r="G91" s="137">
        <v>40</v>
      </c>
      <c r="H91" s="137">
        <f>G91-F91</f>
        <v>-12.990000000000002</v>
      </c>
      <c r="J91" s="163"/>
      <c r="K91" s="163">
        <v>49.99</v>
      </c>
      <c r="L91" s="163">
        <v>3</v>
      </c>
      <c r="M91" s="137" t="s">
        <v>503</v>
      </c>
    </row>
    <row r="92" spans="1:13" ht="12.75">
      <c r="A92" s="141"/>
      <c r="B92" s="137" t="s">
        <v>168</v>
      </c>
      <c r="D92" s="137" t="s">
        <v>169</v>
      </c>
      <c r="F92" s="137">
        <f>SUM(J92:L92)</f>
        <v>50</v>
      </c>
      <c r="G92" s="137">
        <v>30</v>
      </c>
      <c r="H92" s="137">
        <f>G92-F92</f>
        <v>-20</v>
      </c>
      <c r="J92" s="163">
        <v>30</v>
      </c>
      <c r="K92" s="163"/>
      <c r="L92" s="163">
        <v>20</v>
      </c>
      <c r="M92" s="137" t="s">
        <v>504</v>
      </c>
    </row>
    <row r="93" spans="1:13" ht="12.75">
      <c r="A93" s="141"/>
      <c r="J93" s="163"/>
      <c r="K93" s="163"/>
      <c r="L93" s="163"/>
    </row>
    <row r="94" spans="1:13" ht="12.75">
      <c r="A94" s="141" t="s">
        <v>170</v>
      </c>
      <c r="B94" s="141">
        <f>F95</f>
        <v>7.92</v>
      </c>
      <c r="C94" s="141">
        <f>G95</f>
        <v>20</v>
      </c>
      <c r="D94" s="141">
        <f>C94-B94</f>
        <v>12.08</v>
      </c>
      <c r="J94" s="163"/>
      <c r="K94" s="163"/>
      <c r="L94" s="163"/>
    </row>
    <row r="95" spans="1:13" ht="12.75">
      <c r="A95" s="141"/>
      <c r="B95" s="137" t="s">
        <v>505</v>
      </c>
      <c r="F95" s="137">
        <f>SUM(J95:L95)</f>
        <v>7.92</v>
      </c>
      <c r="G95" s="137">
        <v>20</v>
      </c>
      <c r="H95" s="137">
        <f>G95-F95</f>
        <v>12.08</v>
      </c>
      <c r="J95" s="163"/>
      <c r="K95" s="163"/>
      <c r="L95" s="163">
        <v>7.92</v>
      </c>
    </row>
    <row r="96" spans="1:13" ht="12.75">
      <c r="A96" s="141"/>
      <c r="J96" s="163"/>
      <c r="K96" s="163"/>
      <c r="L96" s="163"/>
    </row>
    <row r="97" spans="1:13" ht="12.75">
      <c r="A97" s="141" t="s">
        <v>172</v>
      </c>
      <c r="B97" s="141">
        <f>F98</f>
        <v>4.09</v>
      </c>
      <c r="C97" s="141">
        <f>G98</f>
        <v>10</v>
      </c>
      <c r="D97" s="141">
        <f>C97-B97</f>
        <v>5.91</v>
      </c>
      <c r="J97" s="163"/>
      <c r="K97" s="163"/>
      <c r="L97" s="163"/>
    </row>
    <row r="98" spans="1:13" ht="12.75">
      <c r="A98" s="137"/>
      <c r="B98" s="137" t="s">
        <v>173</v>
      </c>
      <c r="F98" s="137">
        <f>SUM(J98:L98)</f>
        <v>4.09</v>
      </c>
      <c r="G98" s="137">
        <v>10</v>
      </c>
      <c r="H98" s="137">
        <f>G98-F98</f>
        <v>5.91</v>
      </c>
      <c r="J98" s="165"/>
      <c r="K98" s="165">
        <f>1.2+1.2+0.49+1.2</f>
        <v>4.09</v>
      </c>
      <c r="L98" s="165"/>
      <c r="M98" s="137" t="s">
        <v>506</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dimension ref="A1:S98"/>
  <sheetViews>
    <sheetView workbookViewId="0">
      <pane ySplit="1" activePane="bottomLeft"/>
      <selection activeCell="B13" sqref="B13"/>
      <selection pane="bottomLeft" activeCell="B25" sqref="B25"/>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449</v>
      </c>
      <c r="L1" s="137">
        <f>N2+N3+N4</f>
        <v>2311.41</v>
      </c>
    </row>
    <row r="2" spans="1:16">
      <c r="A2" s="138" t="s">
        <v>331</v>
      </c>
      <c r="B2" s="138" t="s">
        <v>17</v>
      </c>
      <c r="C2" s="141"/>
      <c r="J2" s="137" t="s">
        <v>507</v>
      </c>
      <c r="N2" s="137">
        <v>439.31</v>
      </c>
    </row>
    <row r="3" spans="1:16" ht="12.75">
      <c r="A3" s="137"/>
      <c r="J3" s="137" t="s">
        <v>508</v>
      </c>
      <c r="N3" s="137">
        <f>1033.1+50</f>
        <v>1083.0999999999999</v>
      </c>
    </row>
    <row r="4" spans="1:16">
      <c r="A4" s="138" t="s">
        <v>9</v>
      </c>
      <c r="B4" s="143">
        <f>SUM(G5:G9)</f>
        <v>10099</v>
      </c>
      <c r="C4" s="143"/>
      <c r="G4" s="137" t="s">
        <v>185</v>
      </c>
      <c r="J4" s="137" t="s">
        <v>509</v>
      </c>
      <c r="N4" s="137">
        <v>789</v>
      </c>
      <c r="O4" s="142"/>
    </row>
    <row r="5" spans="1:16" ht="12.75">
      <c r="A5" s="137"/>
      <c r="B5" s="137" t="s">
        <v>34</v>
      </c>
      <c r="D5" s="137">
        <v>3104.76</v>
      </c>
      <c r="E5" s="137">
        <v>3162.38</v>
      </c>
      <c r="F5" s="137">
        <v>0</v>
      </c>
      <c r="G5" s="144">
        <f>SUM(D5:F5)</f>
        <v>6267.14</v>
      </c>
      <c r="H5" s="144"/>
      <c r="I5" s="144"/>
      <c r="J5" s="144"/>
      <c r="O5" s="142"/>
    </row>
    <row r="6" spans="1:16" ht="12.75">
      <c r="A6" s="137"/>
      <c r="B6" s="137" t="s">
        <v>36</v>
      </c>
      <c r="D6" s="142"/>
      <c r="E6" s="137">
        <v>0</v>
      </c>
      <c r="G6" s="144">
        <f>SUM(D6:F6)</f>
        <v>0</v>
      </c>
      <c r="H6" s="144"/>
      <c r="I6" s="144"/>
      <c r="J6" s="144"/>
      <c r="O6" s="142"/>
    </row>
    <row r="7" spans="1:16" ht="12.75">
      <c r="A7" s="137"/>
      <c r="B7" s="137" t="s">
        <v>397</v>
      </c>
      <c r="D7" s="137">
        <v>1915.93</v>
      </c>
      <c r="E7" s="137">
        <v>1915.93</v>
      </c>
      <c r="G7" s="144">
        <f>SUM(D7:F7)</f>
        <v>3831.86</v>
      </c>
      <c r="H7" s="144"/>
      <c r="I7" s="144"/>
      <c r="J7" s="144"/>
      <c r="O7" s="142"/>
    </row>
    <row r="8" spans="1:16" ht="12.75">
      <c r="A8" s="137"/>
      <c r="B8" s="137" t="s">
        <v>37</v>
      </c>
      <c r="D8" s="137">
        <v>0</v>
      </c>
      <c r="G8" s="144">
        <f>SUM(D8:F8)</f>
        <v>0</v>
      </c>
      <c r="H8" s="144"/>
      <c r="I8" s="144"/>
      <c r="J8" s="144" t="s">
        <v>484</v>
      </c>
      <c r="O8" s="142"/>
    </row>
    <row r="9" spans="1:16" ht="12.75">
      <c r="A9" s="137"/>
      <c r="J9" s="137" t="s">
        <v>510</v>
      </c>
      <c r="P9" s="142"/>
    </row>
    <row r="10" spans="1:16" ht="12.75">
      <c r="A10" s="137"/>
    </row>
    <row r="11" spans="1:16">
      <c r="A11" s="138" t="s">
        <v>11</v>
      </c>
      <c r="B11" s="143">
        <f>Tithe!D9</f>
        <v>1070</v>
      </c>
      <c r="C11" s="143"/>
      <c r="D11" s="137" t="s">
        <v>187</v>
      </c>
      <c r="E11" s="145">
        <f>B11/B4</f>
        <v>0.10595108426576889</v>
      </c>
    </row>
    <row r="12" spans="1:16" ht="12.75">
      <c r="A12" s="137"/>
    </row>
    <row r="13" spans="1:16">
      <c r="A13" s="138" t="s">
        <v>403</v>
      </c>
      <c r="B13" s="146">
        <f>SUM(D14:D17)+SUM(E14:E17)</f>
        <v>1050</v>
      </c>
      <c r="E13" s="137" t="s">
        <v>404</v>
      </c>
      <c r="J13" s="167" t="s">
        <v>511</v>
      </c>
      <c r="L13" s="137">
        <f>L14+L15+L16+L17</f>
        <v>5532.09</v>
      </c>
    </row>
    <row r="14" spans="1:16" ht="12.75">
      <c r="A14" s="137"/>
      <c r="B14" s="141" t="s">
        <v>405</v>
      </c>
      <c r="C14" s="141"/>
      <c r="D14" s="146">
        <v>750</v>
      </c>
      <c r="J14" s="137" t="s">
        <v>512</v>
      </c>
      <c r="L14" s="137">
        <v>1033.0999999999999</v>
      </c>
    </row>
    <row r="15" spans="1:16" ht="12.75">
      <c r="A15" s="141"/>
      <c r="B15" s="141" t="s">
        <v>406</v>
      </c>
      <c r="C15" s="141"/>
      <c r="D15" s="146">
        <v>100</v>
      </c>
      <c r="F15" s="137" t="s">
        <v>739</v>
      </c>
      <c r="J15" s="137" t="s">
        <v>513</v>
      </c>
      <c r="L15" s="137">
        <v>50</v>
      </c>
    </row>
    <row r="16" spans="1:16" ht="12.75">
      <c r="A16" s="141"/>
      <c r="B16" s="141" t="s">
        <v>407</v>
      </c>
      <c r="C16" s="141"/>
      <c r="D16" s="146">
        <v>100</v>
      </c>
      <c r="J16" s="137" t="s">
        <v>514</v>
      </c>
      <c r="L16" s="137">
        <f>399+49.99</f>
        <v>448.99</v>
      </c>
      <c r="M16" s="137" t="s">
        <v>515</v>
      </c>
    </row>
    <row r="17" spans="1:19" ht="12.75">
      <c r="A17" s="141"/>
      <c r="B17" s="141" t="s">
        <v>408</v>
      </c>
      <c r="C17" s="141"/>
      <c r="D17" s="146">
        <v>100</v>
      </c>
      <c r="J17" s="137" t="s">
        <v>516</v>
      </c>
      <c r="L17" s="137">
        <v>4000</v>
      </c>
      <c r="M17" s="137" t="s">
        <v>517</v>
      </c>
    </row>
    <row r="18" spans="1:19" ht="12.75">
      <c r="A18" s="141"/>
      <c r="B18" s="141"/>
      <c r="C18" s="141"/>
      <c r="D18" s="146"/>
    </row>
    <row r="19" spans="1:19">
      <c r="A19" s="138" t="s">
        <v>409</v>
      </c>
    </row>
    <row r="20" spans="1:19" ht="12.75">
      <c r="A20" s="137"/>
      <c r="B20" s="141"/>
    </row>
    <row r="21" spans="1:19">
      <c r="A21" s="138" t="s">
        <v>410</v>
      </c>
      <c r="B21" s="137">
        <f>SUM(E21:E22)</f>
        <v>5900.0162</v>
      </c>
      <c r="C21" s="137" t="s">
        <v>411</v>
      </c>
      <c r="D21" s="144"/>
      <c r="E21" s="137">
        <f>0.33*G5</f>
        <v>2068.1562000000004</v>
      </c>
      <c r="F21" s="137" t="s">
        <v>412</v>
      </c>
    </row>
    <row r="22" spans="1:19" ht="12.75">
      <c r="A22" s="137"/>
      <c r="C22" s="137" t="s">
        <v>413</v>
      </c>
      <c r="D22" s="144"/>
      <c r="E22" s="137">
        <f>SUM(G6:G8)</f>
        <v>3831.86</v>
      </c>
      <c r="F22" s="137" t="s">
        <v>458</v>
      </c>
    </row>
    <row r="23" spans="1:19" ht="12.75">
      <c r="A23" s="137"/>
      <c r="E23" s="144"/>
    </row>
    <row r="24" spans="1:19">
      <c r="A24" s="147" t="s">
        <v>415</v>
      </c>
      <c r="B24" s="148"/>
      <c r="C24" s="148"/>
      <c r="E24" s="149">
        <f>B4-B11-B13+D19-E21-E22</f>
        <v>2078.9837999999995</v>
      </c>
      <c r="F24" s="137" t="s">
        <v>416</v>
      </c>
      <c r="G24" s="146">
        <f>E24-D27</f>
        <v>-1889.6161999999999</v>
      </c>
    </row>
    <row r="25" spans="1:19">
      <c r="A25" s="147" t="s">
        <v>417</v>
      </c>
      <c r="B25" s="148"/>
      <c r="C25" s="148"/>
      <c r="E25" s="149">
        <f>SUM(E21:E22)+G24</f>
        <v>4010.4</v>
      </c>
      <c r="F25" s="137" t="s">
        <v>418</v>
      </c>
      <c r="G25" s="150">
        <f>E25/B4</f>
        <v>0.39710862461629864</v>
      </c>
      <c r="H25" s="137" t="s">
        <v>419</v>
      </c>
    </row>
    <row r="26" spans="1:19" ht="12.75">
      <c r="A26" s="141"/>
      <c r="B26" s="148"/>
      <c r="C26" s="148"/>
      <c r="E26" s="149"/>
      <c r="K26" s="137">
        <v>3499.71</v>
      </c>
      <c r="L26" s="137">
        <f>K27+L27</f>
        <v>3499.7099999999996</v>
      </c>
    </row>
    <row r="27" spans="1:19">
      <c r="A27" s="138" t="s">
        <v>420</v>
      </c>
      <c r="D27" s="146">
        <f>J27+K27+L27</f>
        <v>3968.5999999999995</v>
      </c>
      <c r="E27" s="38">
        <f>D27/B4</f>
        <v>0.39296960095058914</v>
      </c>
      <c r="F27" s="137">
        <f>SUM(F30:F98)</f>
        <v>3968.6</v>
      </c>
      <c r="G27" s="137">
        <f>SUM(G30:G98)</f>
        <v>2350</v>
      </c>
      <c r="H27" s="137">
        <f>SUM(H30:H98)</f>
        <v>-1618.6</v>
      </c>
      <c r="J27" s="137">
        <f>SUM(J30:J98)</f>
        <v>468.89</v>
      </c>
      <c r="K27" s="137">
        <f>SUM(K30:K98)</f>
        <v>2858.9399999999996</v>
      </c>
      <c r="L27" s="137">
        <f>SUM(L30:L98)</f>
        <v>640.77</v>
      </c>
    </row>
    <row r="28" spans="1:19" ht="12.75">
      <c r="A28" s="141"/>
      <c r="B28" s="141"/>
      <c r="D28" s="144"/>
    </row>
    <row r="29" spans="1:19" ht="12.75">
      <c r="A29" s="141"/>
      <c r="B29" s="143"/>
      <c r="F29" s="154" t="s">
        <v>426</v>
      </c>
      <c r="G29" s="137" t="s">
        <v>427</v>
      </c>
      <c r="H29" s="154" t="s">
        <v>487</v>
      </c>
      <c r="J29" s="155" t="s">
        <v>428</v>
      </c>
      <c r="K29" s="156" t="s">
        <v>429</v>
      </c>
      <c r="L29" s="156" t="s">
        <v>430</v>
      </c>
      <c r="S29" s="154"/>
    </row>
    <row r="30" spans="1:19" ht="12.75">
      <c r="A30" s="141" t="s">
        <v>105</v>
      </c>
      <c r="B30" s="141">
        <f>F30</f>
        <v>0</v>
      </c>
      <c r="C30" s="137" t="s">
        <v>106</v>
      </c>
      <c r="F30" s="137">
        <f>SUM(J30:L30)</f>
        <v>0</v>
      </c>
      <c r="G30" s="137">
        <f>0</f>
        <v>0</v>
      </c>
      <c r="H30" s="137">
        <f>G30-F30</f>
        <v>0</v>
      </c>
      <c r="J30" s="157"/>
      <c r="K30" s="157"/>
      <c r="L30" s="157"/>
    </row>
    <row r="31" spans="1:19" ht="12.75">
      <c r="A31" s="137"/>
      <c r="J31" s="157"/>
      <c r="K31" s="157"/>
      <c r="L31" s="157"/>
    </row>
    <row r="32" spans="1:19" ht="12.75">
      <c r="A32" s="141" t="s">
        <v>107</v>
      </c>
      <c r="B32" s="141">
        <f>SUM(F33:F36)</f>
        <v>218.89</v>
      </c>
      <c r="C32" s="141">
        <f>SUM(G33:G36)</f>
        <v>340</v>
      </c>
      <c r="D32" s="141">
        <f>C32-B32</f>
        <v>121.11000000000001</v>
      </c>
      <c r="J32" s="157"/>
      <c r="K32" s="157"/>
      <c r="L32" s="157"/>
    </row>
    <row r="33" spans="1:12" ht="12.75">
      <c r="A33" s="137"/>
      <c r="B33" s="137" t="s">
        <v>54</v>
      </c>
      <c r="C33" s="137" t="s">
        <v>55</v>
      </c>
      <c r="F33" s="137">
        <f>SUM(J33:L33)</f>
        <v>94.68</v>
      </c>
      <c r="G33" s="137">
        <v>115</v>
      </c>
      <c r="H33" s="137">
        <f>G33-F33</f>
        <v>20.319999999999993</v>
      </c>
      <c r="J33" s="157">
        <v>94.68</v>
      </c>
      <c r="K33" s="157"/>
      <c r="L33" s="157"/>
    </row>
    <row r="34" spans="1:12" ht="12.75">
      <c r="A34" s="137"/>
      <c r="B34" s="137" t="s">
        <v>56</v>
      </c>
      <c r="C34" s="137" t="s">
        <v>57</v>
      </c>
      <c r="F34" s="137">
        <f>SUM(J34:L34)</f>
        <v>0</v>
      </c>
      <c r="G34" s="137">
        <v>40</v>
      </c>
      <c r="H34" s="137">
        <f>G34-F34</f>
        <v>40</v>
      </c>
      <c r="J34" s="157"/>
      <c r="K34" s="157"/>
      <c r="L34" s="157"/>
    </row>
    <row r="35" spans="1:12" ht="12.75">
      <c r="A35" s="137"/>
      <c r="B35" s="137" t="s">
        <v>108</v>
      </c>
      <c r="C35" s="137" t="s">
        <v>109</v>
      </c>
      <c r="D35" s="137" t="s">
        <v>432</v>
      </c>
      <c r="F35" s="137">
        <f>SUM(J35:L35)</f>
        <v>0</v>
      </c>
      <c r="G35" s="137">
        <v>85</v>
      </c>
      <c r="H35" s="137">
        <f>G35-F35</f>
        <v>85</v>
      </c>
      <c r="J35" s="157"/>
      <c r="K35" s="157"/>
      <c r="L35" s="157"/>
    </row>
    <row r="36" spans="1:12" ht="12.75">
      <c r="A36" s="137"/>
      <c r="B36" s="137" t="s">
        <v>111</v>
      </c>
      <c r="C36" s="137" t="s">
        <v>112</v>
      </c>
      <c r="D36" s="137" t="s">
        <v>113</v>
      </c>
      <c r="F36" s="137">
        <f>SUM(J36:L36)</f>
        <v>124.21</v>
      </c>
      <c r="G36" s="137">
        <v>100</v>
      </c>
      <c r="H36" s="137">
        <f>G36-F36</f>
        <v>-24.209999999999994</v>
      </c>
      <c r="J36" s="157">
        <v>124.21</v>
      </c>
      <c r="K36" s="157"/>
      <c r="L36" s="157"/>
    </row>
    <row r="37" spans="1:12" ht="12.75">
      <c r="A37" s="137"/>
      <c r="J37" s="157"/>
      <c r="K37" s="157"/>
      <c r="L37" s="157"/>
    </row>
    <row r="38" spans="1:12" ht="12.75">
      <c r="A38" s="141" t="s">
        <v>518</v>
      </c>
      <c r="B38" s="141">
        <f>SUM(F39:F40)</f>
        <v>73.28</v>
      </c>
      <c r="C38" s="141">
        <f>SUM(G39:G40)</f>
        <v>138</v>
      </c>
      <c r="D38" s="141">
        <f>C38-B38</f>
        <v>64.72</v>
      </c>
      <c r="J38" s="157"/>
      <c r="K38" s="157"/>
      <c r="L38" s="157"/>
    </row>
    <row r="39" spans="1:12" ht="12.75">
      <c r="A39" s="137" t="s">
        <v>460</v>
      </c>
      <c r="B39" s="137" t="s">
        <v>64</v>
      </c>
      <c r="C39" s="137" t="s">
        <v>65</v>
      </c>
      <c r="F39" s="137">
        <f>SUM(J39:L39)</f>
        <v>0</v>
      </c>
      <c r="G39" s="137">
        <v>63</v>
      </c>
      <c r="H39" s="137">
        <f>G39-F39</f>
        <v>63</v>
      </c>
      <c r="J39" s="157"/>
      <c r="K39" s="157"/>
      <c r="L39" s="157"/>
    </row>
    <row r="40" spans="1:12" ht="12.75">
      <c r="A40" s="137"/>
      <c r="B40" s="137" t="s">
        <v>115</v>
      </c>
      <c r="C40" s="137" t="s">
        <v>116</v>
      </c>
      <c r="F40" s="137">
        <f>SUM(J40:L40)</f>
        <v>73.28</v>
      </c>
      <c r="G40" s="137">
        <v>75</v>
      </c>
      <c r="H40" s="137">
        <f>G40-F40</f>
        <v>1.7199999999999989</v>
      </c>
      <c r="J40" s="157"/>
      <c r="K40" s="157">
        <v>73.28</v>
      </c>
      <c r="L40" s="157"/>
    </row>
    <row r="41" spans="1:12" ht="12.75">
      <c r="A41" s="137"/>
      <c r="J41" s="157"/>
      <c r="K41" s="157"/>
      <c r="L41" s="157"/>
    </row>
    <row r="42" spans="1:12" ht="12.75">
      <c r="A42" s="141" t="s">
        <v>117</v>
      </c>
      <c r="B42" s="141">
        <f>SUM(F43:F45)</f>
        <v>0</v>
      </c>
      <c r="C42" s="141">
        <f>SUM(G43:G45)</f>
        <v>177</v>
      </c>
      <c r="D42" s="141">
        <f>C42-B42</f>
        <v>177</v>
      </c>
      <c r="J42" s="157"/>
      <c r="K42" s="157"/>
      <c r="L42" s="157"/>
    </row>
    <row r="43" spans="1:12" ht="12.75">
      <c r="A43" s="137"/>
      <c r="B43" s="137" t="s">
        <v>118</v>
      </c>
      <c r="C43" s="137" t="s">
        <v>119</v>
      </c>
      <c r="F43" s="137">
        <f>SUM(J43:L43)</f>
        <v>0</v>
      </c>
      <c r="G43" s="137">
        <v>56.5</v>
      </c>
      <c r="H43" s="137">
        <f>G43-F43</f>
        <v>56.5</v>
      </c>
      <c r="J43" s="157"/>
      <c r="K43" s="157"/>
      <c r="L43" s="157"/>
    </row>
    <row r="44" spans="1:12" ht="12.75">
      <c r="A44" s="137"/>
      <c r="B44" s="137" t="s">
        <v>120</v>
      </c>
      <c r="C44" s="137" t="s">
        <v>119</v>
      </c>
      <c r="F44" s="137">
        <f>SUM(J44:L44)</f>
        <v>0</v>
      </c>
      <c r="G44" s="137">
        <v>84.5</v>
      </c>
      <c r="H44" s="137">
        <f>G44-F44</f>
        <v>84.5</v>
      </c>
      <c r="J44" s="157"/>
      <c r="K44" s="157"/>
      <c r="L44" s="157"/>
    </row>
    <row r="45" spans="1:12" ht="12.75">
      <c r="A45" s="137"/>
      <c r="B45" s="137" t="s">
        <v>121</v>
      </c>
      <c r="F45" s="137">
        <f>SUM(J45:L45)</f>
        <v>0</v>
      </c>
      <c r="G45" s="137">
        <v>36</v>
      </c>
      <c r="H45" s="137">
        <f>G45-F45</f>
        <v>36</v>
      </c>
      <c r="J45" s="157"/>
      <c r="K45" s="157"/>
      <c r="L45" s="157"/>
    </row>
    <row r="46" spans="1:12" ht="12.75">
      <c r="A46" s="137"/>
      <c r="D46" s="141"/>
      <c r="J46" s="157"/>
      <c r="K46" s="157"/>
      <c r="L46" s="157"/>
    </row>
    <row r="47" spans="1:12" ht="12.75">
      <c r="A47" s="141" t="s">
        <v>122</v>
      </c>
      <c r="B47" s="141">
        <f>SUM(F48:F51)</f>
        <v>439.30999999999995</v>
      </c>
      <c r="C47" s="141">
        <f>SUM(G48:G51)</f>
        <v>130</v>
      </c>
      <c r="D47" s="141">
        <f>C47-B47</f>
        <v>-309.30999999999995</v>
      </c>
      <c r="J47" s="157"/>
      <c r="K47" s="157"/>
      <c r="L47" s="157"/>
    </row>
    <row r="48" spans="1:12" ht="12.75">
      <c r="A48" s="137"/>
      <c r="B48" s="137" t="s">
        <v>124</v>
      </c>
      <c r="F48" s="137">
        <f>SUM(J48:L48)</f>
        <v>0</v>
      </c>
      <c r="G48" s="137">
        <v>20</v>
      </c>
      <c r="H48" s="137">
        <f>G48-F48</f>
        <v>20</v>
      </c>
      <c r="J48" s="157"/>
      <c r="K48" s="157"/>
      <c r="L48" s="157"/>
    </row>
    <row r="49" spans="1:13" ht="12.75">
      <c r="A49" s="137"/>
      <c r="B49" s="137" t="s">
        <v>125</v>
      </c>
      <c r="F49" s="137">
        <f>SUM(J49:L49)</f>
        <v>0</v>
      </c>
      <c r="G49" s="137">
        <v>10</v>
      </c>
      <c r="H49" s="137">
        <f>G49-F49</f>
        <v>10</v>
      </c>
      <c r="J49" s="157"/>
      <c r="K49" s="157"/>
      <c r="L49" s="157"/>
    </row>
    <row r="50" spans="1:13" ht="12.75">
      <c r="A50" s="137"/>
      <c r="B50" s="137" t="s">
        <v>126</v>
      </c>
      <c r="F50" s="137">
        <f>SUM(J50:L50)</f>
        <v>439.30999999999995</v>
      </c>
      <c r="G50" s="137">
        <v>50</v>
      </c>
      <c r="H50" s="137">
        <f>G50-F50</f>
        <v>-389.30999999999995</v>
      </c>
      <c r="J50" s="157"/>
      <c r="K50" s="157">
        <f>119.98+155.85-84.89+1.9+11.7+172.88+21.94+19.98+19.97</f>
        <v>439.30999999999995</v>
      </c>
      <c r="L50" s="157"/>
      <c r="M50" s="137" t="s">
        <v>519</v>
      </c>
    </row>
    <row r="51" spans="1:13" ht="12.75">
      <c r="A51" s="137"/>
      <c r="B51" s="137" t="s">
        <v>127</v>
      </c>
      <c r="F51" s="137">
        <f>SUM(J51:L51)</f>
        <v>0</v>
      </c>
      <c r="G51" s="137">
        <v>50</v>
      </c>
      <c r="H51" s="137">
        <f>G51-F51</f>
        <v>50</v>
      </c>
      <c r="J51" s="157"/>
      <c r="K51" s="157"/>
      <c r="L51" s="157"/>
    </row>
    <row r="52" spans="1:13" ht="12.75">
      <c r="A52" s="137"/>
      <c r="J52" s="157"/>
      <c r="K52" s="157"/>
      <c r="L52" s="157"/>
    </row>
    <row r="53" spans="1:13" ht="12.75">
      <c r="A53" s="141" t="s">
        <v>436</v>
      </c>
      <c r="B53" s="141">
        <f>SUM(F54:F56)</f>
        <v>17</v>
      </c>
      <c r="C53" s="141">
        <f>SUM(G54:G56)</f>
        <v>80</v>
      </c>
      <c r="D53" s="141">
        <f>C53-B53</f>
        <v>63</v>
      </c>
      <c r="J53" s="157"/>
      <c r="K53" s="157"/>
      <c r="L53" s="157"/>
    </row>
    <row r="54" spans="1:13" ht="12.75">
      <c r="A54" s="137"/>
      <c r="B54" s="137" t="s">
        <v>520</v>
      </c>
      <c r="F54" s="137">
        <f>SUM(J54:L54)</f>
        <v>0</v>
      </c>
      <c r="G54" s="137">
        <f>50</f>
        <v>50</v>
      </c>
      <c r="H54" s="137">
        <f>G54-F54</f>
        <v>50</v>
      </c>
      <c r="J54" s="157"/>
      <c r="K54" s="157"/>
      <c r="L54" s="157"/>
    </row>
    <row r="55" spans="1:13" ht="12.75">
      <c r="A55" s="137"/>
      <c r="B55" s="137" t="s">
        <v>131</v>
      </c>
      <c r="F55" s="137">
        <f>SUM(J55:L55)</f>
        <v>0</v>
      </c>
      <c r="G55" s="137">
        <v>20</v>
      </c>
      <c r="H55" s="137">
        <f>G55-F55</f>
        <v>20</v>
      </c>
      <c r="J55" s="157"/>
      <c r="K55" s="157"/>
      <c r="L55" s="157"/>
    </row>
    <row r="56" spans="1:13" ht="12.75">
      <c r="A56" s="137"/>
      <c r="B56" s="137" t="s">
        <v>132</v>
      </c>
      <c r="D56" s="137" t="s">
        <v>438</v>
      </c>
      <c r="F56" s="137">
        <f>SUM(J56:L56)</f>
        <v>17</v>
      </c>
      <c r="G56" s="137">
        <v>10</v>
      </c>
      <c r="H56" s="137">
        <f>G56-F56</f>
        <v>-7</v>
      </c>
      <c r="J56" s="157"/>
      <c r="K56" s="157"/>
      <c r="L56" s="157">
        <f>29-12</f>
        <v>17</v>
      </c>
      <c r="M56" s="137" t="s">
        <v>521</v>
      </c>
    </row>
    <row r="57" spans="1:13" ht="12.75">
      <c r="A57" s="137"/>
      <c r="J57" s="157"/>
      <c r="K57" s="157"/>
      <c r="L57" s="157"/>
    </row>
    <row r="58" spans="1:13" ht="12.75">
      <c r="A58" s="141" t="s">
        <v>133</v>
      </c>
      <c r="B58" s="141">
        <f>SUM(F59:F64)</f>
        <v>608.33000000000004</v>
      </c>
      <c r="C58" s="141">
        <f>SUM(G59:G64)</f>
        <v>500</v>
      </c>
      <c r="D58" s="141">
        <f>C58-B58</f>
        <v>-108.33000000000004</v>
      </c>
      <c r="J58" s="157"/>
      <c r="K58" s="157"/>
      <c r="L58" s="157"/>
    </row>
    <row r="59" spans="1:13" ht="12.75">
      <c r="A59" s="137"/>
      <c r="B59" s="137" t="s">
        <v>134</v>
      </c>
      <c r="F59" s="137">
        <f t="shared" ref="F59:F64" si="0">SUM(J59:L59)</f>
        <v>100</v>
      </c>
      <c r="G59" s="137">
        <v>100</v>
      </c>
      <c r="H59" s="137">
        <f t="shared" ref="H59:H64" si="1">G59-F59</f>
        <v>0</v>
      </c>
      <c r="J59" s="157">
        <v>100</v>
      </c>
      <c r="K59" s="157"/>
      <c r="L59" s="157"/>
      <c r="M59" s="137" t="s">
        <v>522</v>
      </c>
    </row>
    <row r="60" spans="1:13" ht="12.75">
      <c r="A60" s="137"/>
      <c r="B60" s="137" t="s">
        <v>135</v>
      </c>
      <c r="F60" s="137">
        <f t="shared" si="0"/>
        <v>341.78000000000003</v>
      </c>
      <c r="G60" s="137">
        <v>300</v>
      </c>
      <c r="H60" s="137">
        <f t="shared" si="1"/>
        <v>-41.78000000000003</v>
      </c>
      <c r="J60" s="157"/>
      <c r="K60" s="157"/>
      <c r="L60" s="157">
        <f>52+52.62+(71.58-3.64)+(34.62-11.38)+(56.26-3.49*2)+(47.39-5.96-14.96)+18.87+38.88+12.48</f>
        <v>341.78000000000003</v>
      </c>
      <c r="M60" s="167" t="s">
        <v>491</v>
      </c>
    </row>
    <row r="61" spans="1:13" ht="12.75">
      <c r="A61" s="137"/>
      <c r="B61" s="137" t="s">
        <v>136</v>
      </c>
      <c r="F61" s="137">
        <f t="shared" si="0"/>
        <v>26.000000000000007</v>
      </c>
      <c r="G61" s="137">
        <v>30</v>
      </c>
      <c r="H61" s="137">
        <f t="shared" si="1"/>
        <v>3.9999999999999929</v>
      </c>
      <c r="J61" s="157"/>
      <c r="K61" s="157"/>
      <c r="L61" s="157">
        <f>(80.45-52.62-16.85)+11.38+3.64</f>
        <v>26.000000000000007</v>
      </c>
      <c r="M61" s="167"/>
    </row>
    <row r="62" spans="1:13" ht="12.75">
      <c r="A62" s="137"/>
      <c r="B62" s="137" t="s">
        <v>138</v>
      </c>
      <c r="F62" s="137">
        <f t="shared" si="0"/>
        <v>59.59</v>
      </c>
      <c r="G62" s="137">
        <v>30</v>
      </c>
      <c r="H62" s="137">
        <f t="shared" si="1"/>
        <v>-29.590000000000003</v>
      </c>
      <c r="J62" s="157"/>
      <c r="K62" s="157"/>
      <c r="L62" s="157">
        <f>16.85+22.94+19.8</f>
        <v>59.59</v>
      </c>
      <c r="M62" s="137" t="s">
        <v>523</v>
      </c>
    </row>
    <row r="63" spans="1:13" ht="12.75">
      <c r="A63" s="137"/>
      <c r="B63" s="137" t="s">
        <v>139</v>
      </c>
      <c r="F63" s="137">
        <f t="shared" si="0"/>
        <v>66</v>
      </c>
      <c r="G63" s="137">
        <v>30</v>
      </c>
      <c r="H63" s="137">
        <f t="shared" si="1"/>
        <v>-36</v>
      </c>
      <c r="J63" s="157"/>
      <c r="K63" s="157">
        <v>66</v>
      </c>
      <c r="L63" s="157"/>
      <c r="M63" s="137" t="s">
        <v>524</v>
      </c>
    </row>
    <row r="64" spans="1:13" ht="12.75">
      <c r="A64" s="137"/>
      <c r="B64" s="137" t="s">
        <v>140</v>
      </c>
      <c r="F64" s="137">
        <f t="shared" si="0"/>
        <v>14.96</v>
      </c>
      <c r="G64" s="137">
        <v>10</v>
      </c>
      <c r="H64" s="137">
        <f t="shared" si="1"/>
        <v>-4.9600000000000009</v>
      </c>
      <c r="J64" s="157"/>
      <c r="K64" s="157"/>
      <c r="L64" s="157">
        <v>14.96</v>
      </c>
    </row>
    <row r="65" spans="1:12" ht="12.75">
      <c r="A65" s="137"/>
      <c r="J65" s="157"/>
      <c r="K65" s="157"/>
      <c r="L65" s="157"/>
    </row>
    <row r="66" spans="1:12" ht="12.75">
      <c r="A66" s="141" t="s">
        <v>141</v>
      </c>
      <c r="B66" s="141">
        <f>SUM(F67:F69)</f>
        <v>58.2</v>
      </c>
      <c r="C66" s="141">
        <f>SUM(G67:G69)</f>
        <v>105</v>
      </c>
      <c r="D66" s="141">
        <f>C66-B66</f>
        <v>46.8</v>
      </c>
      <c r="J66" s="157"/>
      <c r="K66" s="157"/>
      <c r="L66" s="157"/>
    </row>
    <row r="67" spans="1:12" ht="12.75">
      <c r="A67" s="137"/>
      <c r="B67" s="137" t="s">
        <v>142</v>
      </c>
      <c r="F67" s="137">
        <f>SUM(J67:L67)</f>
        <v>0</v>
      </c>
      <c r="G67" s="137">
        <v>25</v>
      </c>
      <c r="H67" s="137">
        <f>G67-F67</f>
        <v>25</v>
      </c>
      <c r="J67" s="157"/>
      <c r="K67" s="157"/>
      <c r="L67" s="157"/>
    </row>
    <row r="68" spans="1:12" ht="12.75">
      <c r="A68" s="137"/>
      <c r="B68" s="137" t="s">
        <v>143</v>
      </c>
      <c r="F68" s="137">
        <f>SUM(J68:L68)</f>
        <v>0</v>
      </c>
      <c r="G68" s="137">
        <v>20</v>
      </c>
      <c r="H68" s="137">
        <f>G68-F68</f>
        <v>20</v>
      </c>
      <c r="J68" s="157"/>
      <c r="K68" s="157"/>
      <c r="L68" s="157"/>
    </row>
    <row r="69" spans="1:12" ht="12.75">
      <c r="A69" s="137"/>
      <c r="B69" s="137" t="s">
        <v>144</v>
      </c>
      <c r="F69" s="137">
        <f>SUM(J69:L69)</f>
        <v>58.2</v>
      </c>
      <c r="G69" s="137">
        <v>60</v>
      </c>
      <c r="H69" s="137">
        <f>G69-F69</f>
        <v>1.7999999999999972</v>
      </c>
      <c r="J69" s="157"/>
      <c r="K69" s="157"/>
      <c r="L69" s="157">
        <v>58.2</v>
      </c>
    </row>
    <row r="70" spans="1:12" ht="12.75">
      <c r="A70" s="137"/>
      <c r="J70" s="157"/>
      <c r="K70" s="157"/>
      <c r="L70" s="157"/>
    </row>
    <row r="71" spans="1:12" ht="12.75">
      <c r="A71" s="141" t="s">
        <v>145</v>
      </c>
      <c r="B71" s="141">
        <f>SUM(F72:F76)</f>
        <v>154.51</v>
      </c>
      <c r="C71" s="141">
        <f>SUM(G72:G76)</f>
        <v>370</v>
      </c>
      <c r="D71" s="141">
        <f>C71-B71</f>
        <v>215.49</v>
      </c>
      <c r="J71" s="157"/>
      <c r="K71" s="157"/>
      <c r="L71" s="157"/>
    </row>
    <row r="72" spans="1:12" ht="12.75">
      <c r="A72" s="137"/>
      <c r="B72" s="137" t="s">
        <v>146</v>
      </c>
      <c r="F72" s="137">
        <f>SUM(J72:L72)</f>
        <v>40.46</v>
      </c>
      <c r="G72" s="137">
        <v>100</v>
      </c>
      <c r="H72" s="137">
        <f>G72-F72</f>
        <v>59.54</v>
      </c>
      <c r="J72" s="157"/>
      <c r="K72" s="157">
        <v>40.46</v>
      </c>
      <c r="L72" s="157"/>
    </row>
    <row r="73" spans="1:12" ht="12.75">
      <c r="A73" s="137"/>
      <c r="B73" s="137" t="s">
        <v>147</v>
      </c>
      <c r="D73" s="137" t="s">
        <v>148</v>
      </c>
      <c r="F73" s="137">
        <f>SUM(J73:L73)</f>
        <v>85</v>
      </c>
      <c r="G73" s="137">
        <f>85*2</f>
        <v>170</v>
      </c>
      <c r="H73" s="137">
        <f>G73-F73</f>
        <v>85</v>
      </c>
      <c r="J73" s="157"/>
      <c r="K73" s="157">
        <v>85</v>
      </c>
      <c r="L73" s="157"/>
    </row>
    <row r="74" spans="1:12" ht="12.75">
      <c r="A74" s="137"/>
      <c r="B74" s="137" t="s">
        <v>149</v>
      </c>
      <c r="F74" s="137">
        <f>SUM(J74:L74)</f>
        <v>0</v>
      </c>
      <c r="G74" s="137">
        <v>30</v>
      </c>
      <c r="H74" s="137">
        <f>G74-F74</f>
        <v>30</v>
      </c>
      <c r="J74" s="157"/>
      <c r="K74" s="157"/>
      <c r="L74" s="157"/>
    </row>
    <row r="75" spans="1:12" ht="12.75">
      <c r="A75" s="141"/>
      <c r="B75" s="137" t="s">
        <v>150</v>
      </c>
      <c r="F75" s="137">
        <f>SUM(J75:L75)</f>
        <v>0</v>
      </c>
      <c r="G75" s="137">
        <v>20</v>
      </c>
      <c r="H75" s="137">
        <f>G75-F75</f>
        <v>20</v>
      </c>
      <c r="J75" s="157"/>
      <c r="K75" s="157"/>
      <c r="L75" s="157"/>
    </row>
    <row r="76" spans="1:12" ht="12.75">
      <c r="A76" s="141"/>
      <c r="B76" s="137" t="s">
        <v>151</v>
      </c>
      <c r="F76" s="137">
        <f>SUM(J76:L76)</f>
        <v>29.049999999999997</v>
      </c>
      <c r="G76" s="137">
        <v>50</v>
      </c>
      <c r="H76" s="137">
        <f>G76-F76</f>
        <v>20.950000000000003</v>
      </c>
      <c r="J76" s="157"/>
      <c r="K76" s="157">
        <f>2.56+4.99+15.64+1.15+3.42+1.29</f>
        <v>29.049999999999997</v>
      </c>
      <c r="L76" s="157"/>
    </row>
    <row r="77" spans="1:12" ht="12.75">
      <c r="A77" s="141"/>
      <c r="B77" s="141"/>
      <c r="J77" s="157"/>
      <c r="K77" s="157"/>
      <c r="L77" s="157"/>
    </row>
    <row r="78" spans="1:12" ht="12.75">
      <c r="A78" s="141" t="s">
        <v>152</v>
      </c>
      <c r="B78" s="141">
        <f>SUM(F79:F82)</f>
        <v>150</v>
      </c>
      <c r="C78" s="141">
        <f>SUM(G79:G82)</f>
        <v>290</v>
      </c>
      <c r="D78" s="141">
        <f>C78-B78</f>
        <v>140</v>
      </c>
      <c r="J78" s="157"/>
      <c r="K78" s="157"/>
      <c r="L78" s="157"/>
    </row>
    <row r="79" spans="1:12" ht="12.75">
      <c r="A79" s="137"/>
      <c r="B79" s="137" t="s">
        <v>153</v>
      </c>
      <c r="D79" s="137" t="s">
        <v>154</v>
      </c>
      <c r="F79" s="137">
        <f>SUM(J79:L79)</f>
        <v>0</v>
      </c>
      <c r="G79" s="137">
        <f>1200/12</f>
        <v>100</v>
      </c>
      <c r="H79" s="137">
        <f>G79-F79</f>
        <v>100</v>
      </c>
      <c r="J79" s="157"/>
      <c r="K79" s="157"/>
      <c r="L79" s="157"/>
    </row>
    <row r="80" spans="1:12" ht="12.75">
      <c r="A80" s="137"/>
      <c r="B80" s="137" t="s">
        <v>155</v>
      </c>
      <c r="D80" s="137" t="s">
        <v>156</v>
      </c>
      <c r="F80" s="137">
        <f>SUM(J80:L80)</f>
        <v>0</v>
      </c>
      <c r="G80" s="137">
        <v>10</v>
      </c>
      <c r="H80" s="137">
        <f>G80-F80</f>
        <v>10</v>
      </c>
      <c r="J80" s="157"/>
      <c r="K80" s="157"/>
      <c r="L80" s="157"/>
    </row>
    <row r="81" spans="1:13" ht="12.75">
      <c r="A81" s="141"/>
      <c r="B81" s="137" t="s">
        <v>157</v>
      </c>
      <c r="F81" s="137">
        <f>SUM(J81:L81)</f>
        <v>150</v>
      </c>
      <c r="G81" s="137">
        <f>150</f>
        <v>150</v>
      </c>
      <c r="H81" s="137">
        <f>G81-F81</f>
        <v>0</v>
      </c>
      <c r="J81" s="157">
        <v>150</v>
      </c>
      <c r="K81" s="157"/>
      <c r="L81" s="157"/>
    </row>
    <row r="82" spans="1:13" ht="12.75">
      <c r="A82" s="141"/>
      <c r="B82" s="137" t="s">
        <v>158</v>
      </c>
      <c r="F82" s="137">
        <f>SUM(J82:L82)</f>
        <v>0</v>
      </c>
      <c r="G82" s="137">
        <v>30</v>
      </c>
      <c r="H82" s="137">
        <f>G82-F82</f>
        <v>30</v>
      </c>
      <c r="J82" s="157"/>
      <c r="K82" s="157"/>
      <c r="L82" s="157"/>
    </row>
    <row r="83" spans="1:13" ht="12.75">
      <c r="A83" s="141"/>
      <c r="B83" s="141"/>
      <c r="J83" s="157"/>
      <c r="K83" s="157"/>
      <c r="L83" s="157"/>
    </row>
    <row r="84" spans="1:13" ht="12.75">
      <c r="A84" s="141" t="s">
        <v>159</v>
      </c>
      <c r="B84" s="141">
        <f>SUM(F85:F88)</f>
        <v>1360.27</v>
      </c>
      <c r="C84" s="141">
        <f>SUM(G85:G88)</f>
        <v>120</v>
      </c>
      <c r="D84" s="141">
        <f>C84-B84</f>
        <v>-1240.27</v>
      </c>
      <c r="J84" s="157"/>
      <c r="K84" s="157"/>
      <c r="L84" s="157"/>
    </row>
    <row r="85" spans="1:13" ht="12.75">
      <c r="A85" s="141"/>
      <c r="B85" s="137" t="s">
        <v>473</v>
      </c>
      <c r="F85" s="137">
        <f>SUM(J85:L85)</f>
        <v>292.18</v>
      </c>
      <c r="G85" s="137">
        <v>50</v>
      </c>
      <c r="H85" s="137">
        <f>G85-F85</f>
        <v>-242.18</v>
      </c>
      <c r="J85" s="157"/>
      <c r="K85" s="157">
        <f>25.66+25.07+22.18+40+27+25+5.45+37.6+25.03+44</f>
        <v>276.99</v>
      </c>
      <c r="L85" s="157">
        <v>15.19</v>
      </c>
    </row>
    <row r="86" spans="1:13" ht="12.75">
      <c r="A86" s="141"/>
      <c r="B86" s="137" t="s">
        <v>162</v>
      </c>
      <c r="F86" s="137">
        <f>SUM(J86:L86)</f>
        <v>1033.0999999999999</v>
      </c>
      <c r="G86" s="137">
        <v>20</v>
      </c>
      <c r="H86" s="137">
        <f>G86-F86</f>
        <v>-1013.0999999999999</v>
      </c>
      <c r="J86" s="157"/>
      <c r="K86" s="157">
        <f>1028.1+5</f>
        <v>1033.0999999999999</v>
      </c>
      <c r="L86" s="157"/>
      <c r="M86" s="137" t="s">
        <v>525</v>
      </c>
    </row>
    <row r="87" spans="1:13" ht="12.75">
      <c r="A87" s="141"/>
      <c r="B87" s="137" t="s">
        <v>164</v>
      </c>
      <c r="F87" s="137">
        <f>SUM(J87:L87)</f>
        <v>34.99</v>
      </c>
      <c r="G87" s="137">
        <v>30</v>
      </c>
      <c r="H87" s="137">
        <f>G87-F87</f>
        <v>-4.990000000000002</v>
      </c>
      <c r="J87" s="157"/>
      <c r="K87" s="157"/>
      <c r="L87" s="157">
        <f>9.99+25</f>
        <v>34.99</v>
      </c>
      <c r="M87" s="137" t="s">
        <v>526</v>
      </c>
    </row>
    <row r="88" spans="1:13" ht="12.75">
      <c r="A88" s="141"/>
      <c r="B88" s="137" t="s">
        <v>165</v>
      </c>
      <c r="F88" s="137">
        <f>SUM(J88:L88)</f>
        <v>0</v>
      </c>
      <c r="G88" s="137">
        <v>20</v>
      </c>
      <c r="H88" s="137">
        <f>G88-F88</f>
        <v>20</v>
      </c>
      <c r="J88" s="157"/>
      <c r="K88" s="157"/>
      <c r="L88" s="157"/>
    </row>
    <row r="89" spans="1:13" ht="12.75">
      <c r="A89" s="141"/>
      <c r="J89" s="157"/>
      <c r="K89" s="157"/>
      <c r="L89" s="157"/>
    </row>
    <row r="90" spans="1:13" ht="12.75">
      <c r="A90" s="141" t="s">
        <v>166</v>
      </c>
      <c r="B90" s="141">
        <f>SUM(F91:F92)</f>
        <v>0</v>
      </c>
      <c r="C90" s="141">
        <f>SUM(G91:G92)</f>
        <v>70</v>
      </c>
      <c r="D90" s="141">
        <f>C90-B90</f>
        <v>70</v>
      </c>
      <c r="J90" s="157"/>
      <c r="K90" s="157"/>
      <c r="L90" s="157"/>
    </row>
    <row r="91" spans="1:13" ht="12.75">
      <c r="A91" s="141"/>
      <c r="B91" s="137" t="s">
        <v>167</v>
      </c>
      <c r="F91" s="137">
        <f>SUM(J91:L91)</f>
        <v>0</v>
      </c>
      <c r="G91" s="137">
        <v>40</v>
      </c>
      <c r="H91" s="137">
        <f>G91-F91</f>
        <v>40</v>
      </c>
      <c r="J91" s="157"/>
      <c r="K91" s="157"/>
      <c r="L91" s="157"/>
    </row>
    <row r="92" spans="1:13" ht="12.75">
      <c r="A92" s="141"/>
      <c r="B92" s="137" t="s">
        <v>168</v>
      </c>
      <c r="D92" s="137" t="s">
        <v>169</v>
      </c>
      <c r="F92" s="137">
        <f>SUM(J92:L92)</f>
        <v>0</v>
      </c>
      <c r="G92" s="137">
        <v>30</v>
      </c>
      <c r="H92" s="137">
        <f>G92-F92</f>
        <v>30</v>
      </c>
      <c r="J92" s="157"/>
      <c r="K92" s="157"/>
      <c r="L92" s="157"/>
    </row>
    <row r="93" spans="1:13" ht="12.75">
      <c r="A93" s="141"/>
      <c r="J93" s="157"/>
      <c r="K93" s="157"/>
      <c r="L93" s="157"/>
    </row>
    <row r="94" spans="1:13" ht="12.75">
      <c r="A94" s="141" t="s">
        <v>170</v>
      </c>
      <c r="B94" s="141">
        <f>F95</f>
        <v>862.06</v>
      </c>
      <c r="C94" s="141">
        <f>G95</f>
        <v>20</v>
      </c>
      <c r="D94" s="141">
        <f>C94-B94</f>
        <v>-842.06</v>
      </c>
      <c r="J94" s="157"/>
      <c r="K94" s="157"/>
      <c r="L94" s="157"/>
    </row>
    <row r="95" spans="1:13" ht="12.75">
      <c r="A95" s="141"/>
      <c r="B95" s="137" t="s">
        <v>171</v>
      </c>
      <c r="F95" s="137">
        <f>SUM(J95:L95)</f>
        <v>862.06</v>
      </c>
      <c r="G95" s="137">
        <v>20</v>
      </c>
      <c r="H95" s="137">
        <f>G95-F95</f>
        <v>-842.06</v>
      </c>
      <c r="J95" s="157"/>
      <c r="K95" s="157">
        <v>789</v>
      </c>
      <c r="L95" s="157">
        <f>47-12.36+38.42</f>
        <v>73.06</v>
      </c>
      <c r="M95" s="137" t="s">
        <v>527</v>
      </c>
    </row>
    <row r="96" spans="1:13" ht="12.75">
      <c r="A96" s="141"/>
      <c r="J96" s="157"/>
      <c r="K96" s="157"/>
      <c r="L96" s="157"/>
    </row>
    <row r="97" spans="1:12" ht="12.75">
      <c r="A97" s="141" t="s">
        <v>172</v>
      </c>
      <c r="B97" s="141">
        <f>F98</f>
        <v>26.75</v>
      </c>
      <c r="C97" s="141">
        <f>G98</f>
        <v>10</v>
      </c>
      <c r="D97" s="141">
        <f>C97-B97</f>
        <v>-16.75</v>
      </c>
      <c r="J97" s="157"/>
      <c r="K97" s="157"/>
      <c r="L97" s="157"/>
    </row>
    <row r="98" spans="1:12" ht="12.75">
      <c r="A98" s="137"/>
      <c r="B98" s="137" t="s">
        <v>173</v>
      </c>
      <c r="F98" s="137">
        <f>SUM(J98:L98)</f>
        <v>26.75</v>
      </c>
      <c r="G98" s="137">
        <v>10</v>
      </c>
      <c r="H98" s="137">
        <f>G98-F98</f>
        <v>-16.75</v>
      </c>
      <c r="J98" s="157"/>
      <c r="K98" s="157">
        <f>3.27+3.48+20</f>
        <v>26.75</v>
      </c>
      <c r="L98" s="157"/>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dimension ref="A1:S98"/>
  <sheetViews>
    <sheetView topLeftCell="A17" zoomScale="84" zoomScaleNormal="84" workbookViewId="0">
      <pane ySplit="1" activePane="bottomLeft"/>
      <selection activeCell="D19" sqref="D19"/>
      <selection pane="bottomLeft" activeCell="S71" sqref="S71"/>
    </sheetView>
  </sheetViews>
  <sheetFormatPr defaultColWidth="9" defaultRowHeight="15.75"/>
  <cols>
    <col min="1" max="1" width="21.85546875" style="136" customWidth="1"/>
    <col min="2" max="2" width="18" style="137" customWidth="1"/>
    <col min="3" max="3" width="10.28515625" style="137" customWidth="1"/>
    <col min="4" max="4" width="16.5703125" style="137" customWidth="1"/>
    <col min="5" max="5" width="16.42578125" style="137" customWidth="1"/>
    <col min="6" max="6" width="15.28515625" style="137" customWidth="1"/>
    <col min="7" max="7" width="13.5703125" style="137" customWidth="1"/>
    <col min="8" max="8" width="12.85546875" style="137" customWidth="1"/>
    <col min="9" max="9" width="1.5703125" style="137" customWidth="1"/>
    <col min="10" max="10" width="10.5703125" style="137" customWidth="1"/>
    <col min="11" max="11" width="11.85546875" style="137" customWidth="1"/>
    <col min="12" max="13" width="11.5703125" style="137" customWidth="1"/>
    <col min="14" max="14" width="11.7109375" style="137" customWidth="1"/>
    <col min="15" max="15" width="11.5703125" style="137" customWidth="1"/>
    <col min="16" max="16" width="1.7109375" style="137" customWidth="1"/>
    <col min="17" max="17" width="11.7109375" style="137" customWidth="1"/>
    <col min="18" max="18" width="11.5703125" style="137" customWidth="1"/>
    <col min="19" max="16384" width="9" style="137"/>
  </cols>
  <sheetData>
    <row r="1" spans="1:16">
      <c r="A1" s="138" t="s">
        <v>344</v>
      </c>
      <c r="B1" s="139">
        <v>2012</v>
      </c>
      <c r="C1" s="139"/>
      <c r="J1" s="137" t="s">
        <v>449</v>
      </c>
      <c r="L1" s="137">
        <f>M2+O3+N4+M5</f>
        <v>2324.5400000000004</v>
      </c>
    </row>
    <row r="2" spans="1:16">
      <c r="A2" s="138" t="s">
        <v>331</v>
      </c>
      <c r="B2" s="141" t="s">
        <v>18</v>
      </c>
      <c r="C2" s="141"/>
      <c r="J2" s="137" t="s">
        <v>528</v>
      </c>
      <c r="M2" s="137">
        <f>399+49.99+60</f>
        <v>508.99</v>
      </c>
    </row>
    <row r="3" spans="1:16">
      <c r="J3" s="137" t="s">
        <v>529</v>
      </c>
      <c r="O3" s="137">
        <f>230+98</f>
        <v>328</v>
      </c>
    </row>
    <row r="4" spans="1:16">
      <c r="A4" s="138" t="s">
        <v>9</v>
      </c>
      <c r="B4" s="143">
        <f>SUM(G5:G9)</f>
        <v>6324.75</v>
      </c>
      <c r="C4" s="143"/>
      <c r="G4" s="137" t="s">
        <v>185</v>
      </c>
      <c r="J4" s="137" t="s">
        <v>530</v>
      </c>
      <c r="N4" s="137">
        <f>1224.65</f>
        <v>1224.6500000000001</v>
      </c>
      <c r="O4" s="142"/>
    </row>
    <row r="5" spans="1:16">
      <c r="B5" s="137" t="s">
        <v>34</v>
      </c>
      <c r="D5" s="137">
        <v>3162.37</v>
      </c>
      <c r="E5" s="137">
        <v>3162.38</v>
      </c>
      <c r="F5" s="137">
        <v>0</v>
      </c>
      <c r="G5" s="144">
        <f>SUM(D5:F5)</f>
        <v>6324.75</v>
      </c>
      <c r="H5" s="144"/>
      <c r="I5" s="144"/>
      <c r="J5" s="144" t="s">
        <v>531</v>
      </c>
      <c r="M5" s="137">
        <f>F63</f>
        <v>262.89999999999998</v>
      </c>
      <c r="O5" s="142"/>
    </row>
    <row r="6" spans="1:16">
      <c r="B6" s="137" t="s">
        <v>36</v>
      </c>
      <c r="D6" s="142"/>
      <c r="E6" s="137">
        <v>0</v>
      </c>
      <c r="G6" s="144">
        <f>SUM(D6:F6)</f>
        <v>0</v>
      </c>
      <c r="H6" s="144"/>
      <c r="I6" s="144"/>
      <c r="J6" s="144"/>
      <c r="O6" s="142"/>
    </row>
    <row r="7" spans="1:16">
      <c r="B7" s="137" t="s">
        <v>397</v>
      </c>
      <c r="G7" s="144">
        <f>SUM(D7:F7)</f>
        <v>0</v>
      </c>
      <c r="H7" s="144"/>
      <c r="I7" s="144"/>
      <c r="J7" s="144"/>
      <c r="O7" s="142"/>
    </row>
    <row r="8" spans="1:16">
      <c r="B8" s="137" t="s">
        <v>37</v>
      </c>
      <c r="D8" s="137">
        <v>0</v>
      </c>
      <c r="G8" s="144">
        <f>SUM(D8:F8)</f>
        <v>0</v>
      </c>
      <c r="H8" s="144"/>
      <c r="I8" s="144"/>
      <c r="J8" s="144" t="s">
        <v>532</v>
      </c>
      <c r="O8" s="142"/>
    </row>
    <row r="9" spans="1:16">
      <c r="J9" s="137" t="s">
        <v>533</v>
      </c>
      <c r="P9" s="142"/>
    </row>
    <row r="10" spans="1:16">
      <c r="J10" s="137" t="s">
        <v>534</v>
      </c>
    </row>
    <row r="11" spans="1:16">
      <c r="A11" s="138" t="s">
        <v>11</v>
      </c>
      <c r="B11" s="143">
        <f>Tithe!D10</f>
        <v>890</v>
      </c>
      <c r="C11" s="143"/>
      <c r="D11" s="137" t="s">
        <v>187</v>
      </c>
      <c r="E11" s="145">
        <f>B11/B4</f>
        <v>0.14071702438831574</v>
      </c>
    </row>
    <row r="12" spans="1:16">
      <c r="A12" s="138"/>
      <c r="B12" s="143"/>
      <c r="C12" s="143"/>
      <c r="E12" s="145"/>
    </row>
    <row r="13" spans="1:16">
      <c r="A13" s="138" t="s">
        <v>403</v>
      </c>
      <c r="B13" s="146">
        <f>SUM(D14:D17)+SUM(E14:E17)</f>
        <v>1050</v>
      </c>
      <c r="E13" s="137" t="s">
        <v>404</v>
      </c>
    </row>
    <row r="14" spans="1:16" ht="12.75">
      <c r="A14" s="137"/>
      <c r="B14" s="141" t="s">
        <v>405</v>
      </c>
      <c r="C14" s="141"/>
      <c r="D14" s="146">
        <v>750</v>
      </c>
    </row>
    <row r="15" spans="1:16">
      <c r="A15" s="138"/>
      <c r="B15" s="141" t="s">
        <v>406</v>
      </c>
      <c r="C15" s="141"/>
      <c r="D15" s="146">
        <v>100</v>
      </c>
      <c r="F15" s="137" t="s">
        <v>535</v>
      </c>
    </row>
    <row r="16" spans="1:16">
      <c r="A16" s="138"/>
      <c r="B16" s="141" t="s">
        <v>407</v>
      </c>
      <c r="C16" s="141"/>
      <c r="D16" s="146">
        <v>100</v>
      </c>
    </row>
    <row r="17" spans="1:19">
      <c r="A17" s="138"/>
      <c r="B17" s="141" t="s">
        <v>408</v>
      </c>
      <c r="C17" s="141"/>
      <c r="D17" s="146">
        <v>100</v>
      </c>
    </row>
    <row r="18" spans="1:19">
      <c r="A18" s="138"/>
      <c r="B18" s="141"/>
      <c r="C18" s="141"/>
      <c r="D18" s="146"/>
    </row>
    <row r="19" spans="1:19">
      <c r="A19" s="138" t="s">
        <v>409</v>
      </c>
      <c r="D19" s="168">
        <f>7259+1078</f>
        <v>8337</v>
      </c>
      <c r="E19" s="137" t="s">
        <v>536</v>
      </c>
    </row>
    <row r="20" spans="1:19">
      <c r="B20" s="141"/>
    </row>
    <row r="21" spans="1:19">
      <c r="A21" s="138" t="s">
        <v>410</v>
      </c>
      <c r="B21" s="137">
        <f>SUM(E21:E22)</f>
        <v>2087.1675</v>
      </c>
      <c r="C21" s="137" t="s">
        <v>411</v>
      </c>
      <c r="D21" s="144"/>
      <c r="E21" s="137">
        <f>0.33*G5</f>
        <v>2087.1675</v>
      </c>
      <c r="F21" s="137" t="s">
        <v>412</v>
      </c>
    </row>
    <row r="22" spans="1:19">
      <c r="C22" s="137" t="s">
        <v>413</v>
      </c>
      <c r="D22" s="144"/>
      <c r="E22" s="137">
        <f>SUM(G6:G8)</f>
        <v>0</v>
      </c>
      <c r="F22" s="137" t="s">
        <v>458</v>
      </c>
    </row>
    <row r="23" spans="1:19">
      <c r="E23" s="144"/>
    </row>
    <row r="24" spans="1:19">
      <c r="A24" s="147" t="s">
        <v>415</v>
      </c>
      <c r="B24" s="148"/>
      <c r="C24" s="148"/>
      <c r="E24" s="149">
        <f>B4-B11-B13+D19-E21-E22</f>
        <v>10634.5825</v>
      </c>
      <c r="F24" s="137" t="s">
        <v>416</v>
      </c>
      <c r="G24" s="146">
        <f>E24-D27</f>
        <v>6165.3425000000007</v>
      </c>
      <c r="K24" s="137">
        <f>K25-K26</f>
        <v>0</v>
      </c>
    </row>
    <row r="25" spans="1:19">
      <c r="A25" s="147" t="s">
        <v>417</v>
      </c>
      <c r="B25" s="148"/>
      <c r="C25" s="148"/>
      <c r="E25" s="149">
        <f>SUM(E21:E22)+G24</f>
        <v>8252.51</v>
      </c>
      <c r="F25" s="137" t="s">
        <v>418</v>
      </c>
      <c r="G25" s="150">
        <f>E25/B4</f>
        <v>1.3047962370054154</v>
      </c>
      <c r="H25" s="137" t="s">
        <v>419</v>
      </c>
      <c r="K25" s="137">
        <v>2272.25</v>
      </c>
    </row>
    <row r="26" spans="1:19">
      <c r="A26" s="138"/>
      <c r="B26" s="148"/>
      <c r="C26" s="148"/>
      <c r="E26" s="149"/>
      <c r="K26" s="137">
        <f>K27+L27</f>
        <v>2272.25</v>
      </c>
    </row>
    <row r="27" spans="1:19">
      <c r="A27" s="138" t="s">
        <v>420</v>
      </c>
      <c r="D27" s="146">
        <f>J27+K27+L27</f>
        <v>4469.24</v>
      </c>
      <c r="F27" s="137">
        <f>SUM(F30:F98)</f>
        <v>4469.24</v>
      </c>
      <c r="G27" s="137">
        <f>SUM(G30:G98)</f>
        <v>2350</v>
      </c>
      <c r="H27" s="137">
        <f>SUM(H30:H98)</f>
        <v>-2119.2400000000002</v>
      </c>
      <c r="J27" s="137">
        <f>SUM(J30:J98)</f>
        <v>2196.9899999999998</v>
      </c>
      <c r="K27" s="137">
        <f>SUM(K30:K98)</f>
        <v>1333.3899999999999</v>
      </c>
      <c r="L27" s="137">
        <f>SUM(L30:L98)</f>
        <v>938.86</v>
      </c>
    </row>
    <row r="28" spans="1:19">
      <c r="A28" s="138"/>
      <c r="B28" s="141"/>
      <c r="D28" s="144"/>
    </row>
    <row r="29" spans="1:19" ht="12.75">
      <c r="A29" s="141"/>
      <c r="B29" s="143"/>
      <c r="F29" s="154" t="s">
        <v>426</v>
      </c>
      <c r="G29" s="137" t="s">
        <v>427</v>
      </c>
      <c r="H29" s="154" t="s">
        <v>487</v>
      </c>
      <c r="J29" s="155" t="s">
        <v>428</v>
      </c>
      <c r="K29" s="156" t="s">
        <v>429</v>
      </c>
      <c r="L29" s="156" t="s">
        <v>430</v>
      </c>
      <c r="S29" s="154"/>
    </row>
    <row r="30" spans="1:19" ht="12.75">
      <c r="A30" s="141" t="s">
        <v>105</v>
      </c>
      <c r="B30" s="141">
        <f>F30</f>
        <v>0</v>
      </c>
      <c r="C30" s="137" t="s">
        <v>106</v>
      </c>
      <c r="F30" s="137">
        <f>SUM(J30:L30)</f>
        <v>0</v>
      </c>
      <c r="G30" s="137">
        <f>0</f>
        <v>0</v>
      </c>
      <c r="H30" s="137">
        <f>G30-F30</f>
        <v>0</v>
      </c>
      <c r="J30" s="157"/>
      <c r="K30" s="157"/>
      <c r="L30" s="157"/>
    </row>
    <row r="31" spans="1:19" ht="12.75">
      <c r="A31" s="137"/>
      <c r="J31" s="157"/>
      <c r="K31" s="157"/>
      <c r="L31" s="157"/>
    </row>
    <row r="32" spans="1:19" ht="12.75">
      <c r="A32" s="141" t="s">
        <v>107</v>
      </c>
      <c r="B32" s="141">
        <f>SUM(F33:F36)</f>
        <v>1288.92</v>
      </c>
      <c r="C32" s="141">
        <f>SUM(G33:G36)</f>
        <v>340</v>
      </c>
      <c r="D32" s="141">
        <f>C32-B32</f>
        <v>-948.92000000000007</v>
      </c>
      <c r="J32" s="157"/>
      <c r="K32" s="157"/>
      <c r="L32" s="157"/>
    </row>
    <row r="33" spans="1:13">
      <c r="B33" s="137" t="s">
        <v>54</v>
      </c>
      <c r="C33" s="137" t="s">
        <v>55</v>
      </c>
      <c r="F33" s="137">
        <f>SUM(J33:L33)</f>
        <v>64.27</v>
      </c>
      <c r="G33" s="137">
        <v>115</v>
      </c>
      <c r="H33" s="137">
        <f>G33-F33</f>
        <v>50.730000000000004</v>
      </c>
      <c r="J33" s="157">
        <v>64.27</v>
      </c>
      <c r="K33" s="157"/>
      <c r="L33" s="157"/>
    </row>
    <row r="34" spans="1:13">
      <c r="B34" s="137" t="s">
        <v>56</v>
      </c>
      <c r="C34" s="137" t="s">
        <v>57</v>
      </c>
      <c r="F34" s="137">
        <f>SUM(J34:L34)</f>
        <v>0</v>
      </c>
      <c r="G34" s="137">
        <v>40</v>
      </c>
      <c r="H34" s="137">
        <f>G34-F34</f>
        <v>40</v>
      </c>
      <c r="J34" s="157"/>
      <c r="K34" s="157"/>
      <c r="L34" s="157"/>
    </row>
    <row r="35" spans="1:13">
      <c r="B35" s="137" t="s">
        <v>108</v>
      </c>
      <c r="C35" s="137" t="s">
        <v>109</v>
      </c>
      <c r="D35" s="137" t="s">
        <v>432</v>
      </c>
      <c r="F35" s="137">
        <f>SUM(J35:L35)</f>
        <v>0</v>
      </c>
      <c r="G35" s="137">
        <v>85</v>
      </c>
      <c r="H35" s="137">
        <f>G35-F35</f>
        <v>85</v>
      </c>
      <c r="J35" s="157"/>
      <c r="K35" s="157"/>
      <c r="L35" s="157"/>
    </row>
    <row r="36" spans="1:13">
      <c r="B36" s="137" t="s">
        <v>111</v>
      </c>
      <c r="C36" s="137" t="s">
        <v>112</v>
      </c>
      <c r="D36" s="137" t="s">
        <v>113</v>
      </c>
      <c r="F36" s="137">
        <f>SUM(J36:L36)</f>
        <v>1224.6500000000001</v>
      </c>
      <c r="G36" s="137">
        <v>100</v>
      </c>
      <c r="H36" s="137">
        <f>G36-F36</f>
        <v>-1124.6500000000001</v>
      </c>
      <c r="J36" s="157">
        <v>1224.6500000000001</v>
      </c>
      <c r="K36" s="157"/>
      <c r="L36" s="157"/>
      <c r="M36" s="137" t="s">
        <v>537</v>
      </c>
    </row>
    <row r="37" spans="1:13">
      <c r="J37" s="157"/>
      <c r="K37" s="157"/>
      <c r="L37" s="157"/>
    </row>
    <row r="38" spans="1:13" ht="12.75">
      <c r="A38" s="141" t="s">
        <v>518</v>
      </c>
      <c r="B38" s="141">
        <f>SUM(F39:F40)</f>
        <v>202.35</v>
      </c>
      <c r="C38" s="141">
        <f>SUM(G39:G40)</f>
        <v>138</v>
      </c>
      <c r="D38" s="141">
        <f>C38-B38</f>
        <v>-64.349999999999994</v>
      </c>
      <c r="J38" s="157"/>
      <c r="K38" s="157"/>
      <c r="L38" s="157"/>
    </row>
    <row r="39" spans="1:13" ht="12.75">
      <c r="A39" s="137" t="s">
        <v>460</v>
      </c>
      <c r="B39" s="137" t="s">
        <v>64</v>
      </c>
      <c r="C39" s="137" t="s">
        <v>65</v>
      </c>
      <c r="F39" s="137">
        <f>SUM(J39:L39)</f>
        <v>130.28</v>
      </c>
      <c r="G39" s="137">
        <v>63</v>
      </c>
      <c r="H39" s="137">
        <f>G39-F39</f>
        <v>-67.28</v>
      </c>
      <c r="J39" s="157"/>
      <c r="K39" s="157"/>
      <c r="L39" s="157">
        <v>130.28</v>
      </c>
      <c r="M39" s="137" t="s">
        <v>538</v>
      </c>
    </row>
    <row r="40" spans="1:13">
      <c r="B40" s="137" t="s">
        <v>115</v>
      </c>
      <c r="C40" s="137" t="s">
        <v>116</v>
      </c>
      <c r="F40" s="137">
        <f>SUM(J40:L40)</f>
        <v>72.069999999999993</v>
      </c>
      <c r="G40" s="137">
        <v>75</v>
      </c>
      <c r="H40" s="137">
        <f>G40-F40</f>
        <v>2.9300000000000068</v>
      </c>
      <c r="J40" s="157"/>
      <c r="K40" s="157">
        <v>72.069999999999993</v>
      </c>
      <c r="L40" s="157"/>
    </row>
    <row r="41" spans="1:13">
      <c r="J41" s="157"/>
      <c r="K41" s="157"/>
      <c r="L41" s="157"/>
    </row>
    <row r="42" spans="1:13" ht="12.75">
      <c r="A42" s="141" t="s">
        <v>117</v>
      </c>
      <c r="B42" s="141">
        <f>SUM(F43:F45)</f>
        <v>0</v>
      </c>
      <c r="C42" s="141">
        <f>SUM(G43:G45)</f>
        <v>177</v>
      </c>
      <c r="D42" s="141">
        <f>C42-B42</f>
        <v>177</v>
      </c>
      <c r="J42" s="157"/>
      <c r="K42" s="157"/>
      <c r="L42" s="157"/>
    </row>
    <row r="43" spans="1:13" ht="12.75">
      <c r="A43" s="137"/>
      <c r="B43" s="137" t="s">
        <v>118</v>
      </c>
      <c r="C43" s="137" t="s">
        <v>119</v>
      </c>
      <c r="F43" s="137">
        <f>SUM(J43:L43)</f>
        <v>0</v>
      </c>
      <c r="G43" s="137">
        <v>56.5</v>
      </c>
      <c r="H43" s="137">
        <f>G43-F43</f>
        <v>56.5</v>
      </c>
      <c r="J43" s="157"/>
      <c r="K43" s="157"/>
      <c r="L43" s="157"/>
    </row>
    <row r="44" spans="1:13" ht="12.75">
      <c r="A44" s="137"/>
      <c r="B44" s="137" t="s">
        <v>120</v>
      </c>
      <c r="C44" s="137" t="s">
        <v>119</v>
      </c>
      <c r="F44" s="137">
        <f>SUM(J44:L44)</f>
        <v>0</v>
      </c>
      <c r="G44" s="137">
        <v>84.5</v>
      </c>
      <c r="H44" s="137">
        <f>G44-F44</f>
        <v>84.5</v>
      </c>
      <c r="J44" s="157"/>
      <c r="K44" s="157"/>
      <c r="L44" s="157"/>
    </row>
    <row r="45" spans="1:13" ht="12.75">
      <c r="A45" s="137"/>
      <c r="B45" s="137" t="s">
        <v>121</v>
      </c>
      <c r="F45" s="137">
        <f>SUM(J45:L45)</f>
        <v>0</v>
      </c>
      <c r="G45" s="137">
        <v>36</v>
      </c>
      <c r="H45" s="137">
        <f>G45-F45</f>
        <v>36</v>
      </c>
      <c r="J45" s="157"/>
      <c r="K45" s="157"/>
      <c r="L45" s="157"/>
    </row>
    <row r="46" spans="1:13" ht="12.75">
      <c r="A46" s="137"/>
      <c r="D46" s="141"/>
      <c r="J46" s="157"/>
      <c r="K46" s="157"/>
      <c r="L46" s="157"/>
    </row>
    <row r="47" spans="1:13" ht="12.75">
      <c r="A47" s="141" t="s">
        <v>122</v>
      </c>
      <c r="B47" s="141">
        <f>SUM(F48:F51)</f>
        <v>320.2</v>
      </c>
      <c r="C47" s="141">
        <f>SUM(G48:G51)</f>
        <v>130</v>
      </c>
      <c r="D47" s="141">
        <f>C47-B47</f>
        <v>-190.2</v>
      </c>
      <c r="J47" s="157"/>
      <c r="K47" s="157"/>
      <c r="L47" s="157"/>
    </row>
    <row r="48" spans="1:13" ht="12.75">
      <c r="A48" s="137"/>
      <c r="B48" s="137" t="s">
        <v>124</v>
      </c>
      <c r="F48" s="137">
        <f>SUM(J48:L48)</f>
        <v>0</v>
      </c>
      <c r="G48" s="137">
        <v>20</v>
      </c>
      <c r="H48" s="137">
        <f>G48-F48</f>
        <v>20</v>
      </c>
      <c r="J48" s="157"/>
      <c r="K48" s="157"/>
      <c r="L48" s="157"/>
    </row>
    <row r="49" spans="1:13">
      <c r="B49" s="137" t="s">
        <v>125</v>
      </c>
      <c r="F49" s="137">
        <f>SUM(J49:L49)</f>
        <v>0</v>
      </c>
      <c r="G49" s="137">
        <v>10</v>
      </c>
      <c r="H49" s="137">
        <f>G49-F49</f>
        <v>10</v>
      </c>
      <c r="J49" s="157"/>
      <c r="K49" s="157"/>
      <c r="L49" s="157"/>
    </row>
    <row r="50" spans="1:13">
      <c r="B50" s="137" t="s">
        <v>126</v>
      </c>
      <c r="F50" s="137">
        <f>SUM(J50:L50)</f>
        <v>194.20999999999998</v>
      </c>
      <c r="G50" s="137">
        <v>50</v>
      </c>
      <c r="H50" s="137">
        <f>G50-F50</f>
        <v>-144.20999999999998</v>
      </c>
      <c r="J50" s="157"/>
      <c r="K50" s="157">
        <v>123.27</v>
      </c>
      <c r="L50" s="157">
        <v>70.94</v>
      </c>
      <c r="M50" s="137" t="s">
        <v>539</v>
      </c>
    </row>
    <row r="51" spans="1:13">
      <c r="B51" s="137" t="s">
        <v>127</v>
      </c>
      <c r="F51" s="137">
        <f>SUM(J51:L51)</f>
        <v>125.99</v>
      </c>
      <c r="G51" s="137">
        <v>50</v>
      </c>
      <c r="H51" s="137">
        <f>G51-F51</f>
        <v>-75.989999999999995</v>
      </c>
      <c r="J51" s="157">
        <f>125.99</f>
        <v>125.99</v>
      </c>
      <c r="K51" s="157"/>
      <c r="L51" s="157"/>
    </row>
    <row r="52" spans="1:13">
      <c r="J52" s="157"/>
      <c r="K52" s="157"/>
      <c r="L52" s="157"/>
    </row>
    <row r="53" spans="1:13" ht="12.75">
      <c r="A53" s="141" t="s">
        <v>436</v>
      </c>
      <c r="B53" s="141">
        <f>SUM(F54:F56)</f>
        <v>0</v>
      </c>
      <c r="C53" s="141">
        <f>SUM(G54:G56)</f>
        <v>80</v>
      </c>
      <c r="D53" s="141">
        <f>C53-B53</f>
        <v>80</v>
      </c>
      <c r="J53" s="157"/>
      <c r="K53" s="157"/>
      <c r="L53" s="157"/>
    </row>
    <row r="54" spans="1:13">
      <c r="B54" s="137" t="s">
        <v>520</v>
      </c>
      <c r="F54" s="137">
        <f>SUM(J54:L54)</f>
        <v>0</v>
      </c>
      <c r="G54" s="137">
        <f>50</f>
        <v>50</v>
      </c>
      <c r="H54" s="137">
        <f>G54-F54</f>
        <v>50</v>
      </c>
      <c r="J54" s="157"/>
      <c r="K54" s="157"/>
      <c r="L54" s="157"/>
    </row>
    <row r="55" spans="1:13">
      <c r="B55" s="137" t="s">
        <v>131</v>
      </c>
      <c r="F55" s="137">
        <f>SUM(J55:L55)</f>
        <v>0</v>
      </c>
      <c r="G55" s="137">
        <v>20</v>
      </c>
      <c r="H55" s="137">
        <f>G55-F55</f>
        <v>20</v>
      </c>
      <c r="J55" s="157"/>
      <c r="K55" s="157"/>
      <c r="L55" s="157"/>
    </row>
    <row r="56" spans="1:13">
      <c r="B56" s="137" t="s">
        <v>132</v>
      </c>
      <c r="D56" s="137" t="s">
        <v>438</v>
      </c>
      <c r="F56" s="137">
        <f>SUM(J56:L56)</f>
        <v>0</v>
      </c>
      <c r="G56" s="137">
        <v>10</v>
      </c>
      <c r="H56" s="137">
        <f>G56-F56</f>
        <v>10</v>
      </c>
      <c r="J56" s="157"/>
      <c r="K56" s="157"/>
      <c r="L56" s="157"/>
    </row>
    <row r="57" spans="1:13">
      <c r="J57" s="157"/>
      <c r="K57" s="157"/>
      <c r="L57" s="157"/>
    </row>
    <row r="58" spans="1:13" ht="12.75">
      <c r="A58" s="141" t="s">
        <v>133</v>
      </c>
      <c r="B58" s="141">
        <f>SUM(F59:F64)</f>
        <v>1010.0399999999998</v>
      </c>
      <c r="C58" s="141">
        <f>SUM(G59:G64)</f>
        <v>500</v>
      </c>
      <c r="D58" s="141">
        <f>C58-B58</f>
        <v>-510.03999999999985</v>
      </c>
      <c r="J58" s="157"/>
      <c r="K58" s="157"/>
      <c r="L58" s="157"/>
    </row>
    <row r="59" spans="1:13" ht="12.75">
      <c r="A59" s="137"/>
      <c r="B59" s="137" t="s">
        <v>134</v>
      </c>
      <c r="F59" s="137">
        <f t="shared" ref="F59:F64" si="0">SUM(J59:L59)</f>
        <v>272</v>
      </c>
      <c r="G59" s="137">
        <v>100</v>
      </c>
      <c r="H59" s="137">
        <f t="shared" ref="H59:H64" si="1">G59-F59</f>
        <v>-172</v>
      </c>
      <c r="J59" s="157">
        <v>272</v>
      </c>
      <c r="K59" s="157"/>
      <c r="L59" s="157"/>
    </row>
    <row r="60" spans="1:13">
      <c r="B60" s="137" t="s">
        <v>135</v>
      </c>
      <c r="F60" s="137">
        <f t="shared" si="0"/>
        <v>371.69999999999993</v>
      </c>
      <c r="G60" s="137">
        <v>300</v>
      </c>
      <c r="H60" s="137">
        <f t="shared" si="1"/>
        <v>-71.699999999999932</v>
      </c>
      <c r="J60" s="157"/>
      <c r="K60" s="157"/>
      <c r="L60" s="157">
        <f>80.56+19.58+90.38+26.44+17.72+53.18+83.84</f>
        <v>371.69999999999993</v>
      </c>
      <c r="M60" s="167" t="s">
        <v>491</v>
      </c>
    </row>
    <row r="61" spans="1:13">
      <c r="B61" s="137" t="s">
        <v>136</v>
      </c>
      <c r="F61" s="137">
        <f t="shared" si="0"/>
        <v>48.42</v>
      </c>
      <c r="G61" s="137">
        <v>30</v>
      </c>
      <c r="H61" s="137">
        <f t="shared" si="1"/>
        <v>-18.420000000000002</v>
      </c>
      <c r="J61" s="157"/>
      <c r="K61" s="157"/>
      <c r="L61" s="157">
        <v>48.42</v>
      </c>
      <c r="M61" s="167" t="s">
        <v>540</v>
      </c>
    </row>
    <row r="62" spans="1:13">
      <c r="B62" s="137" t="s">
        <v>138</v>
      </c>
      <c r="F62" s="137">
        <f t="shared" si="0"/>
        <v>55.019999999999996</v>
      </c>
      <c r="G62" s="137">
        <v>30</v>
      </c>
      <c r="H62" s="137">
        <f t="shared" si="1"/>
        <v>-25.019999999999996</v>
      </c>
      <c r="J62" s="157"/>
      <c r="K62" s="157"/>
      <c r="L62" s="157">
        <f>25.98+29.04</f>
        <v>55.019999999999996</v>
      </c>
    </row>
    <row r="63" spans="1:13">
      <c r="B63" s="137" t="s">
        <v>139</v>
      </c>
      <c r="F63" s="137">
        <f t="shared" si="0"/>
        <v>262.89999999999998</v>
      </c>
      <c r="G63" s="137">
        <v>30</v>
      </c>
      <c r="H63" s="137">
        <f t="shared" si="1"/>
        <v>-232.89999999999998</v>
      </c>
      <c r="J63" s="157"/>
      <c r="K63" s="157">
        <f>99+47.94-22.97</f>
        <v>123.97</v>
      </c>
      <c r="L63" s="157">
        <f>26.96+65+24+22.97</f>
        <v>138.93</v>
      </c>
      <c r="M63" s="137" t="s">
        <v>541</v>
      </c>
    </row>
    <row r="64" spans="1:13">
      <c r="B64" s="137" t="s">
        <v>140</v>
      </c>
      <c r="F64" s="137">
        <f t="shared" si="0"/>
        <v>0</v>
      </c>
      <c r="G64" s="137">
        <v>10</v>
      </c>
      <c r="H64" s="137">
        <f t="shared" si="1"/>
        <v>10</v>
      </c>
      <c r="J64" s="157"/>
      <c r="K64" s="157"/>
      <c r="L64" s="157"/>
    </row>
    <row r="65" spans="1:13">
      <c r="J65" s="157"/>
      <c r="K65" s="157"/>
      <c r="L65" s="157"/>
    </row>
    <row r="66" spans="1:13" ht="12.75">
      <c r="A66" s="141" t="s">
        <v>141</v>
      </c>
      <c r="B66" s="141">
        <f>SUM(F67:F69)</f>
        <v>54.57</v>
      </c>
      <c r="C66" s="141">
        <f>SUM(G67:G69)</f>
        <v>105</v>
      </c>
      <c r="D66" s="141">
        <f>C66-B66</f>
        <v>50.43</v>
      </c>
      <c r="J66" s="157"/>
      <c r="K66" s="157"/>
      <c r="L66" s="157"/>
    </row>
    <row r="67" spans="1:13">
      <c r="B67" s="137" t="s">
        <v>142</v>
      </c>
      <c r="F67" s="137">
        <f>SUM(J67:L67)</f>
        <v>0</v>
      </c>
      <c r="G67" s="137">
        <v>25</v>
      </c>
      <c r="H67" s="137">
        <f>G67-F67</f>
        <v>25</v>
      </c>
      <c r="J67" s="157"/>
      <c r="K67" s="157"/>
      <c r="L67" s="157"/>
    </row>
    <row r="68" spans="1:13">
      <c r="B68" s="137" t="s">
        <v>143</v>
      </c>
      <c r="F68" s="137">
        <f>SUM(J68:L68)</f>
        <v>0</v>
      </c>
      <c r="G68" s="137">
        <v>20</v>
      </c>
      <c r="H68" s="137">
        <f>G68-F68</f>
        <v>20</v>
      </c>
      <c r="J68" s="157"/>
      <c r="K68" s="157"/>
      <c r="L68" s="157"/>
    </row>
    <row r="69" spans="1:13">
      <c r="B69" s="137" t="s">
        <v>144</v>
      </c>
      <c r="F69" s="137">
        <f>SUM(J69:L69)</f>
        <v>54.57</v>
      </c>
      <c r="G69" s="137">
        <v>60</v>
      </c>
      <c r="H69" s="137">
        <f>G69-F69</f>
        <v>5.43</v>
      </c>
      <c r="J69" s="157"/>
      <c r="K69" s="157"/>
      <c r="L69" s="157">
        <v>54.57</v>
      </c>
    </row>
    <row r="70" spans="1:13">
      <c r="J70" s="157"/>
      <c r="K70" s="157"/>
      <c r="L70" s="157"/>
    </row>
    <row r="71" spans="1:13" ht="12.75">
      <c r="A71" s="141" t="s">
        <v>145</v>
      </c>
      <c r="B71" s="141">
        <f>SUM(F72:F76)</f>
        <v>75.419999999999987</v>
      </c>
      <c r="C71" s="141">
        <f>SUM(G72:G76)</f>
        <v>370</v>
      </c>
      <c r="D71" s="141">
        <f>C71-B71</f>
        <v>294.58000000000004</v>
      </c>
      <c r="J71" s="157"/>
      <c r="K71" s="157"/>
      <c r="L71" s="157"/>
    </row>
    <row r="72" spans="1:13">
      <c r="B72" s="137" t="s">
        <v>146</v>
      </c>
      <c r="F72" s="137">
        <f>SUM(J72:L72)</f>
        <v>0</v>
      </c>
      <c r="G72" s="137">
        <v>100</v>
      </c>
      <c r="H72" s="137">
        <f>G72-F72</f>
        <v>100</v>
      </c>
      <c r="J72" s="157"/>
      <c r="K72" s="157"/>
      <c r="L72" s="157"/>
    </row>
    <row r="73" spans="1:13">
      <c r="B73" s="137" t="s">
        <v>147</v>
      </c>
      <c r="D73" s="137" t="s">
        <v>148</v>
      </c>
      <c r="F73" s="137">
        <f>SUM(J73:L73)</f>
        <v>139.69999999999999</v>
      </c>
      <c r="G73" s="137">
        <f>85*2</f>
        <v>170</v>
      </c>
      <c r="H73" s="137">
        <f>G73-F73</f>
        <v>30.300000000000011</v>
      </c>
      <c r="J73" s="157">
        <v>10</v>
      </c>
      <c r="K73" s="157">
        <f>22+30+77.7</f>
        <v>129.69999999999999</v>
      </c>
      <c r="L73" s="157"/>
      <c r="M73" s="137" t="s">
        <v>542</v>
      </c>
    </row>
    <row r="74" spans="1:13">
      <c r="B74" s="137" t="s">
        <v>149</v>
      </c>
      <c r="F74" s="137">
        <f>SUM(J74:L74)</f>
        <v>-106.99000000000001</v>
      </c>
      <c r="G74" s="137">
        <v>30</v>
      </c>
      <c r="H74" s="137">
        <f>G74-F74</f>
        <v>136.99</v>
      </c>
      <c r="J74" s="157">
        <f>-129+11.08</f>
        <v>-117.92</v>
      </c>
      <c r="K74" s="157">
        <v>10.93</v>
      </c>
      <c r="L74" s="157"/>
      <c r="M74" s="137" t="s">
        <v>543</v>
      </c>
    </row>
    <row r="75" spans="1:13" ht="12.75">
      <c r="A75" s="141"/>
      <c r="B75" s="137" t="s">
        <v>150</v>
      </c>
      <c r="F75" s="137">
        <f>SUM(J75:L75)</f>
        <v>10</v>
      </c>
      <c r="G75" s="137">
        <v>20</v>
      </c>
      <c r="H75" s="137">
        <f>G75-F75</f>
        <v>10</v>
      </c>
      <c r="J75" s="157"/>
      <c r="K75" s="157">
        <v>10</v>
      </c>
      <c r="L75" s="157"/>
    </row>
    <row r="76" spans="1:13" ht="12.75">
      <c r="A76" s="141"/>
      <c r="B76" s="137" t="s">
        <v>151</v>
      </c>
      <c r="F76" s="137">
        <f>SUM(J76:L76)</f>
        <v>32.71</v>
      </c>
      <c r="G76" s="137">
        <v>50</v>
      </c>
      <c r="H76" s="137">
        <f>G76-F76</f>
        <v>17.29</v>
      </c>
      <c r="J76" s="157"/>
      <c r="K76" s="157">
        <f>7.16+7.21+8.55+9.79</f>
        <v>32.71</v>
      </c>
      <c r="L76" s="157"/>
    </row>
    <row r="77" spans="1:13" ht="12.75">
      <c r="A77" s="141"/>
      <c r="B77" s="141"/>
      <c r="J77" s="157"/>
      <c r="K77" s="157"/>
      <c r="L77" s="157"/>
    </row>
    <row r="78" spans="1:13" ht="12.75">
      <c r="A78" s="141" t="s">
        <v>152</v>
      </c>
      <c r="B78" s="141">
        <f>SUM(F79:F82)</f>
        <v>290</v>
      </c>
      <c r="C78" s="141">
        <f>SUM(G79:G82)</f>
        <v>290</v>
      </c>
      <c r="D78" s="141">
        <f>C78-B78</f>
        <v>0</v>
      </c>
      <c r="J78" s="157"/>
      <c r="K78" s="157"/>
      <c r="L78" s="157"/>
    </row>
    <row r="79" spans="1:13" ht="12.75">
      <c r="A79" s="137"/>
      <c r="B79" s="137" t="s">
        <v>153</v>
      </c>
      <c r="D79" s="137" t="s">
        <v>154</v>
      </c>
      <c r="F79" s="137">
        <f>SUM(J79:L79)</f>
        <v>0</v>
      </c>
      <c r="G79" s="137">
        <f>1200/12</f>
        <v>100</v>
      </c>
      <c r="H79" s="137">
        <f>G79-F79</f>
        <v>100</v>
      </c>
      <c r="J79" s="157"/>
      <c r="K79" s="157"/>
      <c r="L79" s="157"/>
    </row>
    <row r="80" spans="1:13">
      <c r="B80" s="137" t="s">
        <v>155</v>
      </c>
      <c r="D80" s="137" t="s">
        <v>156</v>
      </c>
      <c r="F80" s="137">
        <f>SUM(J80:L80)</f>
        <v>0</v>
      </c>
      <c r="G80" s="137">
        <v>10</v>
      </c>
      <c r="H80" s="137">
        <f>G80-F80</f>
        <v>10</v>
      </c>
      <c r="J80" s="157"/>
      <c r="K80" s="157"/>
      <c r="L80" s="157"/>
    </row>
    <row r="81" spans="1:13" ht="12.75">
      <c r="A81" s="141"/>
      <c r="B81" s="137" t="s">
        <v>157</v>
      </c>
      <c r="F81" s="137">
        <f>SUM(J81:L81)</f>
        <v>290</v>
      </c>
      <c r="G81" s="137">
        <f>150</f>
        <v>150</v>
      </c>
      <c r="H81" s="137">
        <f>G81-F81</f>
        <v>-140</v>
      </c>
      <c r="J81" s="157">
        <f>150+140</f>
        <v>290</v>
      </c>
      <c r="K81" s="157"/>
      <c r="L81" s="157"/>
      <c r="M81" s="137" t="s">
        <v>544</v>
      </c>
    </row>
    <row r="82" spans="1:13" ht="12.75">
      <c r="A82" s="141"/>
      <c r="B82" s="137" t="s">
        <v>158</v>
      </c>
      <c r="F82" s="137">
        <f>SUM(J82:L82)</f>
        <v>0</v>
      </c>
      <c r="G82" s="137">
        <v>30</v>
      </c>
      <c r="H82" s="137">
        <f>G82-F82</f>
        <v>30</v>
      </c>
      <c r="J82" s="157"/>
      <c r="K82" s="157"/>
      <c r="L82" s="157"/>
    </row>
    <row r="83" spans="1:13" ht="12.75">
      <c r="A83" s="141"/>
      <c r="B83" s="141"/>
      <c r="J83" s="157"/>
      <c r="K83" s="157"/>
      <c r="L83" s="157"/>
    </row>
    <row r="84" spans="1:13" ht="12.75">
      <c r="A84" s="141" t="s">
        <v>159</v>
      </c>
      <c r="B84" s="141">
        <f>SUM(F85:F88)</f>
        <v>494.75</v>
      </c>
      <c r="C84" s="141">
        <f>SUM(G85:G88)</f>
        <v>120</v>
      </c>
      <c r="D84" s="141">
        <f>C84-B84</f>
        <v>-374.75</v>
      </c>
      <c r="J84" s="157"/>
      <c r="K84" s="157"/>
      <c r="L84" s="157"/>
    </row>
    <row r="85" spans="1:13" ht="12.75">
      <c r="A85" s="141"/>
      <c r="B85" s="137" t="s">
        <v>473</v>
      </c>
      <c r="F85" s="137">
        <f>SUM(J85:L85)</f>
        <v>81.75</v>
      </c>
      <c r="G85" s="137">
        <v>50</v>
      </c>
      <c r="H85" s="137">
        <f>G85-F85</f>
        <v>-31.75</v>
      </c>
      <c r="J85" s="157"/>
      <c r="K85" s="157">
        <f>29.41+12.34+40</f>
        <v>81.75</v>
      </c>
      <c r="L85" s="157"/>
    </row>
    <row r="86" spans="1:13" ht="12.75">
      <c r="A86" s="141"/>
      <c r="B86" s="137" t="s">
        <v>162</v>
      </c>
      <c r="F86" s="137">
        <f>SUM(J86:L86)</f>
        <v>85</v>
      </c>
      <c r="G86" s="137">
        <v>20</v>
      </c>
      <c r="H86" s="137">
        <f>G86-F86</f>
        <v>-65</v>
      </c>
      <c r="J86" s="157"/>
      <c r="K86" s="157">
        <f>25+60</f>
        <v>85</v>
      </c>
      <c r="L86" s="157"/>
    </row>
    <row r="87" spans="1:13" ht="12.75">
      <c r="A87" s="141"/>
      <c r="B87" s="137" t="s">
        <v>164</v>
      </c>
      <c r="D87" s="137" t="s">
        <v>545</v>
      </c>
      <c r="F87" s="137">
        <f>SUM(J87:L87)</f>
        <v>98</v>
      </c>
      <c r="G87" s="137">
        <v>30</v>
      </c>
      <c r="H87" s="137">
        <f>G87-F87</f>
        <v>-68</v>
      </c>
      <c r="J87" s="157">
        <f>98</f>
        <v>98</v>
      </c>
      <c r="K87" s="157"/>
      <c r="L87" s="157"/>
    </row>
    <row r="88" spans="1:13" ht="12.75">
      <c r="A88" s="141"/>
      <c r="B88" s="137" t="s">
        <v>165</v>
      </c>
      <c r="D88" s="137" t="s">
        <v>546</v>
      </c>
      <c r="F88" s="137">
        <f>SUM(J88:L88)</f>
        <v>230</v>
      </c>
      <c r="G88" s="137">
        <v>20</v>
      </c>
      <c r="H88" s="137">
        <f>G88-F88</f>
        <v>-210</v>
      </c>
      <c r="J88" s="157">
        <f>230</f>
        <v>230</v>
      </c>
      <c r="K88" s="157"/>
      <c r="L88" s="157"/>
    </row>
    <row r="89" spans="1:13" ht="12.75">
      <c r="A89" s="141"/>
      <c r="J89" s="157"/>
      <c r="K89" s="157"/>
      <c r="L89" s="157"/>
    </row>
    <row r="90" spans="1:13" ht="12.75">
      <c r="A90" s="141" t="s">
        <v>166</v>
      </c>
      <c r="B90" s="141">
        <f>SUM(F91:F92)</f>
        <v>723.99</v>
      </c>
      <c r="C90" s="141">
        <f>SUM(G91:G92)</f>
        <v>70</v>
      </c>
      <c r="D90" s="141">
        <f>C90-B90</f>
        <v>-653.99</v>
      </c>
      <c r="J90" s="157"/>
      <c r="K90" s="157"/>
      <c r="L90" s="157"/>
    </row>
    <row r="91" spans="1:13" ht="12.75">
      <c r="A91" s="141"/>
      <c r="B91" s="137" t="s">
        <v>167</v>
      </c>
      <c r="F91" s="137">
        <f>SUM(J91:L91)</f>
        <v>215</v>
      </c>
      <c r="G91" s="137">
        <v>40</v>
      </c>
      <c r="H91" s="137">
        <f>G91-F91</f>
        <v>-175</v>
      </c>
      <c r="J91" s="157"/>
      <c r="K91" s="157">
        <f>125+90</f>
        <v>215</v>
      </c>
      <c r="L91" s="157"/>
      <c r="M91" s="137" t="s">
        <v>547</v>
      </c>
    </row>
    <row r="92" spans="1:13" ht="12.75">
      <c r="A92" s="141"/>
      <c r="B92" s="137" t="s">
        <v>168</v>
      </c>
      <c r="D92" s="137" t="s">
        <v>169</v>
      </c>
      <c r="F92" s="137">
        <f>SUM(J92:L92)</f>
        <v>508.99</v>
      </c>
      <c r="G92" s="137">
        <v>30</v>
      </c>
      <c r="H92" s="137">
        <f>G92-F92</f>
        <v>-478.99</v>
      </c>
      <c r="J92" s="157"/>
      <c r="K92" s="157">
        <f>49.99+399</f>
        <v>448.99</v>
      </c>
      <c r="L92" s="157">
        <f>40+20</f>
        <v>60</v>
      </c>
      <c r="M92" s="137" t="s">
        <v>548</v>
      </c>
    </row>
    <row r="93" spans="1:13" ht="12.75">
      <c r="A93" s="141"/>
      <c r="J93" s="157"/>
      <c r="K93" s="157"/>
      <c r="L93" s="157"/>
    </row>
    <row r="94" spans="1:13" ht="12.75">
      <c r="A94" s="141" t="s">
        <v>170</v>
      </c>
      <c r="B94" s="141">
        <f>F95</f>
        <v>0</v>
      </c>
      <c r="C94" s="141">
        <f>G95</f>
        <v>20</v>
      </c>
      <c r="D94" s="141">
        <f>C94-B94</f>
        <v>20</v>
      </c>
      <c r="J94" s="157"/>
      <c r="K94" s="157"/>
      <c r="L94" s="157"/>
    </row>
    <row r="95" spans="1:13" ht="12.75">
      <c r="A95" s="141"/>
      <c r="B95" s="137" t="s">
        <v>171</v>
      </c>
      <c r="F95" s="137">
        <f>SUM(J95:L95)</f>
        <v>0</v>
      </c>
      <c r="G95" s="137">
        <v>20</v>
      </c>
      <c r="H95" s="137">
        <f>G95-F95</f>
        <v>20</v>
      </c>
      <c r="J95" s="157"/>
      <c r="K95" s="157"/>
      <c r="L95" s="157"/>
    </row>
    <row r="96" spans="1:13" ht="12.75">
      <c r="A96" s="141"/>
      <c r="J96" s="157"/>
      <c r="K96" s="157"/>
      <c r="L96" s="157"/>
    </row>
    <row r="97" spans="1:12" ht="12.75">
      <c r="A97" s="141" t="s">
        <v>172</v>
      </c>
      <c r="B97" s="141">
        <f>F98</f>
        <v>9</v>
      </c>
      <c r="C97" s="141">
        <f>G98</f>
        <v>10</v>
      </c>
      <c r="D97" s="141">
        <f>C97-B97</f>
        <v>1</v>
      </c>
      <c r="J97" s="157"/>
      <c r="K97" s="157"/>
      <c r="L97" s="157"/>
    </row>
    <row r="98" spans="1:12">
      <c r="B98" s="137" t="s">
        <v>173</v>
      </c>
      <c r="F98" s="137">
        <f>SUM(J98:L98)</f>
        <v>9</v>
      </c>
      <c r="G98" s="137">
        <v>10</v>
      </c>
      <c r="H98" s="137">
        <f>G98-F98</f>
        <v>1</v>
      </c>
      <c r="J98" s="157"/>
      <c r="K98" s="157"/>
      <c r="L98" s="157">
        <v>9</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Summary</vt:lpstr>
      <vt:lpstr>Budgeting</vt:lpstr>
      <vt:lpstr>Tithe</vt:lpstr>
      <vt:lpstr>Utilities</vt:lpstr>
      <vt:lpstr>Jan</vt:lpstr>
      <vt:lpstr>Feb</vt:lpstr>
      <vt:lpstr>Mar</vt:lpstr>
      <vt:lpstr>Apr</vt:lpstr>
      <vt:lpstr>May</vt:lpstr>
      <vt:lpstr>Jun</vt:lpstr>
      <vt:lpstr>July</vt:lpstr>
      <vt:lpstr>Aug</vt:lpstr>
      <vt:lpstr>Sep</vt:lpstr>
      <vt:lpstr>Oct</vt:lpstr>
      <vt:lpstr>Nov</vt:lpstr>
      <vt:lpstr>Dec</vt:lpstr>
      <vt:lpstr>Saving</vt:lpstr>
      <vt:lpstr>Tax 2106-EZ</vt:lpstr>
      <vt:lpstr>Sheet2</vt:lpstr>
      <vt:lpstr>Tithe!Print_Area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Franes</dc:creator>
  <cp:lastModifiedBy>frances</cp:lastModifiedBy>
  <cp:lastPrinted>2013-04-13T03:13:24Z</cp:lastPrinted>
  <dcterms:created xsi:type="dcterms:W3CDTF">2012-08-12T19:52:52Z</dcterms:created>
  <dcterms:modified xsi:type="dcterms:W3CDTF">2013-12-06T16:51:06Z</dcterms:modified>
</cp:coreProperties>
</file>