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chris\Downloads\Finance\Home Finance\"/>
    </mc:Choice>
  </mc:AlternateContent>
  <bookViews>
    <workbookView xWindow="0" yWindow="0" windowWidth="24000" windowHeight="9735" tabRatio="544" activeTab="1"/>
  </bookViews>
  <sheets>
    <sheet name="Overview" sheetId="22" r:id="rId1"/>
    <sheet name="Summary" sheetId="1" r:id="rId2"/>
    <sheet name="Budgeting" sheetId="2" r:id="rId3"/>
    <sheet name="Tithe" sheetId="3" r:id="rId4"/>
    <sheet name="Utilities" sheetId="4" r:id="rId5"/>
    <sheet name="Jan" sheetId="5" r:id="rId6"/>
    <sheet name="Feb" sheetId="6" r:id="rId7"/>
    <sheet name="Mar" sheetId="7" r:id="rId8"/>
    <sheet name="Apr" sheetId="8" r:id="rId9"/>
    <sheet name="May" sheetId="9" r:id="rId10"/>
    <sheet name="Jun" sheetId="10" r:id="rId11"/>
    <sheet name="July" sheetId="11" r:id="rId12"/>
    <sheet name="Aug" sheetId="12" r:id="rId13"/>
    <sheet name="Sep" sheetId="13" r:id="rId14"/>
    <sheet name="Oct" sheetId="14" r:id="rId15"/>
    <sheet name="Nov" sheetId="15" r:id="rId16"/>
    <sheet name="Dec" sheetId="16" r:id="rId17"/>
    <sheet name="Saving" sheetId="17" r:id="rId18"/>
    <sheet name="2106-EZ" sheetId="18" r:id="rId19"/>
    <sheet name="Adams Street" sheetId="21" r:id="rId20"/>
  </sheets>
  <definedNames>
    <definedName name="_xlnm.Print_Area" localSheetId="18">'2106-EZ'!$A$1:$J$226</definedName>
    <definedName name="_xlnm.Print_Area" localSheetId="3">Tithe!$A$26:$F$46</definedName>
  </definedNames>
  <calcPr calcId="152511"/>
</workbook>
</file>

<file path=xl/calcChain.xml><?xml version="1.0" encoding="utf-8"?>
<calcChain xmlns="http://schemas.openxmlformats.org/spreadsheetml/2006/main">
  <c r="D26" i="1" l="1"/>
  <c r="D25" i="1"/>
  <c r="D24" i="1"/>
  <c r="D23" i="1"/>
  <c r="D22" i="1"/>
  <c r="D21" i="1"/>
  <c r="D20" i="1"/>
  <c r="D18" i="1"/>
  <c r="D17" i="1"/>
  <c r="D16" i="1"/>
  <c r="E57" i="18"/>
  <c r="B57" i="18"/>
  <c r="E150" i="18"/>
  <c r="E114" i="18"/>
  <c r="E9" i="18"/>
  <c r="E12" i="18"/>
  <c r="C25" i="18"/>
  <c r="C24" i="18"/>
  <c r="B29" i="18"/>
  <c r="C176" i="18"/>
  <c r="E176" i="18" l="1"/>
  <c r="E97" i="18"/>
  <c r="E80" i="18"/>
  <c r="C76" i="18"/>
  <c r="C56" i="18"/>
  <c r="E11" i="18"/>
  <c r="B30" i="18" s="1"/>
  <c r="E168" i="18"/>
  <c r="C79" i="18" l="1"/>
  <c r="E47" i="1" l="1"/>
  <c r="F47" i="1"/>
  <c r="G47" i="1"/>
  <c r="H47" i="1"/>
  <c r="D47" i="1"/>
  <c r="I40" i="1"/>
  <c r="I44" i="1"/>
  <c r="I43" i="1"/>
  <c r="I47" i="1" l="1"/>
  <c r="L104" i="16"/>
  <c r="N109" i="16"/>
  <c r="O85" i="17"/>
  <c r="B43" i="1"/>
  <c r="E26" i="18"/>
  <c r="L23" i="18"/>
  <c r="E7" i="16"/>
  <c r="N105" i="16"/>
  <c r="M94" i="16"/>
  <c r="M88" i="16"/>
  <c r="M137" i="16"/>
  <c r="M135" i="16"/>
  <c r="M128" i="16"/>
  <c r="AQ27" i="4"/>
  <c r="BB29" i="4"/>
  <c r="L25" i="18" l="1"/>
  <c r="F59" i="17"/>
  <c r="L22" i="18"/>
  <c r="M127" i="16" l="1"/>
  <c r="M91" i="16"/>
  <c r="M105" i="16"/>
  <c r="M92" i="16"/>
  <c r="N117" i="16"/>
  <c r="N110" i="16"/>
  <c r="P27" i="17" l="1"/>
  <c r="H39" i="3"/>
  <c r="M95" i="16"/>
  <c r="M120" i="16"/>
  <c r="P56" i="17"/>
  <c r="K7" i="22"/>
  <c r="K9" i="22"/>
  <c r="K11" i="22"/>
  <c r="K5" i="22"/>
  <c r="I7" i="22"/>
  <c r="I9" i="22"/>
  <c r="I11" i="22"/>
  <c r="I5" i="22"/>
  <c r="F7" i="22"/>
  <c r="F9" i="22"/>
  <c r="F11" i="22"/>
  <c r="F5" i="22"/>
  <c r="B183" i="3"/>
  <c r="D37" i="1"/>
  <c r="H29" i="1" s="1"/>
  <c r="G102" i="2"/>
  <c r="M44" i="16"/>
  <c r="M109" i="16"/>
  <c r="L100" i="16"/>
  <c r="M75" i="16"/>
  <c r="M93" i="16"/>
  <c r="N105" i="15"/>
  <c r="M107" i="16" l="1"/>
  <c r="T24" i="4" l="1"/>
  <c r="R27" i="4"/>
  <c r="M91" i="15" l="1"/>
  <c r="M88" i="15"/>
  <c r="M109" i="15"/>
  <c r="M120" i="15"/>
  <c r="M108" i="15"/>
  <c r="M127" i="15"/>
  <c r="N108" i="15"/>
  <c r="N82" i="15"/>
  <c r="M50" i="15"/>
  <c r="M93" i="15"/>
  <c r="M99" i="15"/>
  <c r="M105" i="15"/>
  <c r="M92" i="15"/>
  <c r="M43" i="15"/>
  <c r="M95" i="15"/>
  <c r="N72" i="14"/>
  <c r="N109" i="14"/>
  <c r="N108" i="14"/>
  <c r="N105" i="14"/>
  <c r="L21" i="18"/>
  <c r="F32" i="3"/>
  <c r="U53" i="4"/>
  <c r="R56" i="4"/>
  <c r="N82" i="14"/>
  <c r="P45" i="17"/>
  <c r="P46" i="17"/>
  <c r="P48" i="17"/>
  <c r="B59" i="17"/>
  <c r="H46" i="10"/>
  <c r="N46" i="14"/>
  <c r="L46" i="14"/>
  <c r="H46" i="14"/>
  <c r="M94" i="15"/>
  <c r="L54" i="14"/>
  <c r="M135" i="13"/>
  <c r="M105" i="13"/>
  <c r="H46" i="11"/>
  <c r="L92" i="12"/>
  <c r="M93" i="13"/>
  <c r="M124" i="13"/>
  <c r="M95" i="13"/>
  <c r="M88" i="13"/>
  <c r="M136" i="13"/>
  <c r="M74" i="13"/>
  <c r="M76" i="13"/>
  <c r="M82" i="13"/>
  <c r="M117" i="13"/>
  <c r="M91" i="13"/>
  <c r="M86" i="13"/>
  <c r="M120" i="13"/>
  <c r="M50" i="13"/>
  <c r="M128" i="13"/>
  <c r="L128" i="12"/>
  <c r="N127" i="12"/>
  <c r="M128" i="12"/>
  <c r="M108" i="12"/>
  <c r="M93" i="12"/>
  <c r="M95" i="12"/>
  <c r="M92" i="12"/>
  <c r="M91" i="12"/>
  <c r="M109" i="12"/>
  <c r="M120" i="12"/>
  <c r="M105" i="12"/>
  <c r="P57" i="17"/>
  <c r="M105" i="14"/>
  <c r="M108" i="14"/>
  <c r="M127" i="14"/>
  <c r="M74" i="14"/>
  <c r="M46" i="14" s="1"/>
  <c r="M93" i="14"/>
  <c r="M95" i="14"/>
  <c r="M91" i="14"/>
  <c r="M92" i="14"/>
  <c r="M120" i="14"/>
  <c r="BI18" i="4"/>
  <c r="AX25" i="4"/>
  <c r="AH106" i="4"/>
  <c r="AV26" i="4"/>
  <c r="T23" i="4"/>
  <c r="N88" i="13"/>
  <c r="N108" i="13"/>
  <c r="N105" i="13"/>
  <c r="N92" i="13"/>
  <c r="N109" i="13"/>
  <c r="M124" i="14"/>
  <c r="M135" i="14"/>
  <c r="G153" i="2"/>
  <c r="M76" i="14"/>
  <c r="N120" i="13"/>
  <c r="N99" i="13"/>
  <c r="N137" i="13"/>
  <c r="N135" i="13"/>
  <c r="O83" i="17"/>
  <c r="N83" i="17"/>
  <c r="M83" i="17"/>
  <c r="L83" i="17"/>
  <c r="K83" i="17"/>
  <c r="J83" i="17"/>
  <c r="I83" i="17"/>
  <c r="H83" i="17"/>
  <c r="G83" i="17"/>
  <c r="E83" i="17"/>
  <c r="D83" i="17"/>
  <c r="C83" i="17"/>
  <c r="O82" i="17"/>
  <c r="N82" i="17"/>
  <c r="M82" i="17"/>
  <c r="L82" i="17"/>
  <c r="K82" i="17"/>
  <c r="J82" i="17"/>
  <c r="I82" i="17"/>
  <c r="H82" i="17"/>
  <c r="G82" i="17"/>
  <c r="E82" i="17"/>
  <c r="D82" i="17"/>
  <c r="C82" i="17"/>
  <c r="L98" i="13"/>
  <c r="N8" i="12"/>
  <c r="N105" i="12"/>
  <c r="L24" i="18"/>
  <c r="L20" i="18"/>
  <c r="L19" i="18"/>
  <c r="L18" i="18"/>
  <c r="L17" i="18"/>
  <c r="T21" i="4"/>
  <c r="T22" i="4"/>
  <c r="P70" i="17"/>
  <c r="P71" i="17"/>
  <c r="H46" i="12"/>
  <c r="N46" i="12"/>
  <c r="L109" i="12"/>
  <c r="M137" i="12"/>
  <c r="M136" i="12"/>
  <c r="M135" i="12"/>
  <c r="M127" i="12"/>
  <c r="M75" i="12"/>
  <c r="M74" i="12"/>
  <c r="M99" i="12"/>
  <c r="N7" i="12"/>
  <c r="N5" i="12"/>
  <c r="O4" i="12" s="1"/>
  <c r="N6" i="12"/>
  <c r="L100" i="12"/>
  <c r="L46" i="12" s="1"/>
  <c r="M82" i="12"/>
  <c r="M110" i="12"/>
  <c r="M73" i="12"/>
  <c r="M124" i="12"/>
  <c r="M94" i="12"/>
  <c r="M72" i="12"/>
  <c r="M46" i="12" s="1"/>
  <c r="N106" i="11"/>
  <c r="N105" i="11"/>
  <c r="N46" i="11" s="1"/>
  <c r="J85" i="17"/>
  <c r="U50" i="4"/>
  <c r="M105" i="11"/>
  <c r="L100" i="11"/>
  <c r="F25" i="18"/>
  <c r="F24" i="18"/>
  <c r="M19" i="18" l="1"/>
  <c r="B31" i="18"/>
  <c r="B32" i="18" s="1"/>
  <c r="C32" i="18" s="1"/>
  <c r="M120" i="11"/>
  <c r="M92" i="11"/>
  <c r="M81" i="11"/>
  <c r="Q6" i="11" s="1"/>
  <c r="T20" i="4"/>
  <c r="M74" i="11"/>
  <c r="M95" i="11"/>
  <c r="M88" i="11"/>
  <c r="M117" i="11"/>
  <c r="O4" i="11" s="1"/>
  <c r="M83" i="11"/>
  <c r="M110" i="11"/>
  <c r="M109" i="11"/>
  <c r="M124" i="11"/>
  <c r="M86" i="11"/>
  <c r="O3" i="11" s="1"/>
  <c r="M75" i="11"/>
  <c r="M93" i="11"/>
  <c r="M127" i="11"/>
  <c r="L54" i="11"/>
  <c r="L46" i="11" s="1"/>
  <c r="T19" i="4"/>
  <c r="L49" i="9"/>
  <c r="L100" i="10"/>
  <c r="F28" i="3"/>
  <c r="H33" i="3"/>
  <c r="N105" i="10"/>
  <c r="M50" i="11"/>
  <c r="M46" i="11" s="1"/>
  <c r="N108" i="10"/>
  <c r="M91" i="10"/>
  <c r="M88" i="10"/>
  <c r="M127" i="10"/>
  <c r="M95" i="10"/>
  <c r="M99" i="10"/>
  <c r="M92" i="10"/>
  <c r="M121" i="10"/>
  <c r="M108" i="10"/>
  <c r="M105" i="10"/>
  <c r="M120" i="10"/>
  <c r="L49" i="10"/>
  <c r="L46" i="10" s="1"/>
  <c r="L101" i="9"/>
  <c r="M110" i="10"/>
  <c r="M109" i="10"/>
  <c r="M50" i="10"/>
  <c r="M46" i="10" s="1"/>
  <c r="N42" i="11"/>
  <c r="N105" i="9"/>
  <c r="N74" i="9"/>
  <c r="N109" i="9"/>
  <c r="N108" i="9"/>
  <c r="N73" i="10"/>
  <c r="N46" i="10" s="1"/>
  <c r="G6" i="12"/>
  <c r="G7" i="12"/>
  <c r="G8" i="12"/>
  <c r="G6" i="13"/>
  <c r="G7" i="13"/>
  <c r="G8" i="13"/>
  <c r="G6" i="15"/>
  <c r="G7" i="15"/>
  <c r="G8" i="15"/>
  <c r="G6" i="14"/>
  <c r="G7" i="14"/>
  <c r="G8" i="14"/>
  <c r="G6" i="16"/>
  <c r="G7" i="16"/>
  <c r="G8" i="16"/>
  <c r="G5" i="16"/>
  <c r="G5" i="14"/>
  <c r="G5" i="15"/>
  <c r="B143" i="3"/>
  <c r="B169" i="3"/>
  <c r="B156" i="3"/>
  <c r="B200" i="3"/>
  <c r="B116" i="3"/>
  <c r="L100" i="9"/>
  <c r="N100" i="9"/>
  <c r="M50" i="9"/>
  <c r="M95" i="9"/>
  <c r="M73" i="10"/>
  <c r="T18" i="4"/>
  <c r="B13" i="21"/>
  <c r="B9" i="21" s="1"/>
  <c r="M92" i="9"/>
  <c r="M120" i="9"/>
  <c r="E4" i="21"/>
  <c r="B7" i="21"/>
  <c r="B6" i="21"/>
  <c r="N85" i="17"/>
  <c r="M85" i="17"/>
  <c r="L85" i="17"/>
  <c r="K85" i="17"/>
  <c r="I85" i="17"/>
  <c r="H85" i="17"/>
  <c r="M74" i="9" l="1"/>
  <c r="M91" i="9"/>
  <c r="M117" i="9"/>
  <c r="N107" i="9"/>
  <c r="U47" i="4" l="1"/>
  <c r="M109" i="9"/>
  <c r="G5" i="13"/>
  <c r="G5" i="12"/>
  <c r="G6" i="11"/>
  <c r="G7" i="11"/>
  <c r="G8" i="11"/>
  <c r="G5" i="11"/>
  <c r="G6" i="10"/>
  <c r="G7" i="10"/>
  <c r="G8" i="10"/>
  <c r="G5" i="10"/>
  <c r="G6" i="9"/>
  <c r="G7" i="9"/>
  <c r="G8" i="9"/>
  <c r="G5" i="9"/>
  <c r="I17" i="10"/>
  <c r="I18" i="10"/>
  <c r="I19" i="10"/>
  <c r="I17" i="9"/>
  <c r="I18" i="9"/>
  <c r="I19" i="9"/>
  <c r="I17" i="8"/>
  <c r="I18" i="8"/>
  <c r="I19" i="8"/>
  <c r="I20" i="8"/>
  <c r="I17" i="7"/>
  <c r="I18" i="7"/>
  <c r="I19" i="7"/>
  <c r="I20" i="7"/>
  <c r="G49" i="11"/>
  <c r="G50" i="11"/>
  <c r="I50" i="11" s="1"/>
  <c r="G51" i="11"/>
  <c r="I51" i="11" s="1"/>
  <c r="G52" i="11"/>
  <c r="G53" i="11"/>
  <c r="G54" i="11"/>
  <c r="I54" i="11" s="1"/>
  <c r="G49" i="12"/>
  <c r="I49" i="12" s="1"/>
  <c r="G50" i="12"/>
  <c r="G51" i="12"/>
  <c r="I51" i="12" s="1"/>
  <c r="G52" i="12"/>
  <c r="I52" i="12" s="1"/>
  <c r="G53" i="12"/>
  <c r="I53" i="12" s="1"/>
  <c r="G54" i="12"/>
  <c r="G49" i="13"/>
  <c r="G50" i="13"/>
  <c r="G51" i="13"/>
  <c r="G52" i="13"/>
  <c r="G53" i="13"/>
  <c r="G54" i="13"/>
  <c r="I49" i="14"/>
  <c r="G49" i="14"/>
  <c r="G50" i="14"/>
  <c r="I50" i="14" s="1"/>
  <c r="G51" i="14"/>
  <c r="I51" i="14" s="1"/>
  <c r="G52" i="14"/>
  <c r="I52" i="14" s="1"/>
  <c r="G53" i="14"/>
  <c r="I53" i="14" s="1"/>
  <c r="G54" i="14"/>
  <c r="I54" i="14" s="1"/>
  <c r="G49" i="15"/>
  <c r="I49" i="15" s="1"/>
  <c r="D48" i="15" s="1"/>
  <c r="G50" i="15"/>
  <c r="I50" i="15" s="1"/>
  <c r="G51" i="15"/>
  <c r="G52" i="15"/>
  <c r="G53" i="15"/>
  <c r="I53" i="15" s="1"/>
  <c r="G54" i="15"/>
  <c r="I54" i="15" s="1"/>
  <c r="I51" i="15"/>
  <c r="I52" i="15"/>
  <c r="M46" i="15"/>
  <c r="M42" i="15" s="1"/>
  <c r="N46" i="15"/>
  <c r="N42" i="15" s="1"/>
  <c r="L46" i="15"/>
  <c r="M42" i="14"/>
  <c r="N42" i="14"/>
  <c r="C48" i="14"/>
  <c r="C48" i="15"/>
  <c r="G49" i="16"/>
  <c r="G50" i="16"/>
  <c r="G51" i="16"/>
  <c r="G52" i="16"/>
  <c r="G53" i="16"/>
  <c r="G54" i="16"/>
  <c r="M46" i="16"/>
  <c r="M42" i="16" s="1"/>
  <c r="N46" i="16"/>
  <c r="N42" i="16" s="1"/>
  <c r="L46" i="16"/>
  <c r="H46" i="16"/>
  <c r="H46" i="15"/>
  <c r="M46" i="13"/>
  <c r="M42" i="13" s="1"/>
  <c r="N46" i="13"/>
  <c r="N42" i="13" s="1"/>
  <c r="L46" i="13"/>
  <c r="H46" i="13"/>
  <c r="I49" i="13"/>
  <c r="I50" i="13"/>
  <c r="I51" i="13"/>
  <c r="I52" i="13"/>
  <c r="I53" i="13"/>
  <c r="I54" i="13"/>
  <c r="C48" i="13"/>
  <c r="M42" i="12"/>
  <c r="N42" i="12"/>
  <c r="I50" i="12"/>
  <c r="I54" i="12"/>
  <c r="M42" i="11"/>
  <c r="I49" i="11"/>
  <c r="I52" i="11"/>
  <c r="I53" i="11"/>
  <c r="M42" i="10"/>
  <c r="N42" i="10"/>
  <c r="C48" i="12"/>
  <c r="C48" i="11"/>
  <c r="C48" i="10"/>
  <c r="G99" i="2"/>
  <c r="G100" i="2"/>
  <c r="D48" i="13" l="1"/>
  <c r="D48" i="14"/>
  <c r="D48" i="12"/>
  <c r="D48" i="11"/>
  <c r="G49" i="10" l="1"/>
  <c r="G50" i="10"/>
  <c r="I50" i="10" s="1"/>
  <c r="G51" i="10"/>
  <c r="I51" i="10" s="1"/>
  <c r="G52" i="10"/>
  <c r="I52" i="10" s="1"/>
  <c r="G53" i="10"/>
  <c r="I53" i="10" s="1"/>
  <c r="G54" i="10"/>
  <c r="I54" i="10" s="1"/>
  <c r="C48" i="9"/>
  <c r="G53" i="9"/>
  <c r="I53" i="9" s="1"/>
  <c r="G54" i="9"/>
  <c r="I54" i="9" s="1"/>
  <c r="C48" i="8"/>
  <c r="G53" i="8"/>
  <c r="I53" i="8" s="1"/>
  <c r="J53" i="8" s="1"/>
  <c r="G54" i="8"/>
  <c r="I54" i="8" s="1"/>
  <c r="G53" i="7"/>
  <c r="C48" i="7"/>
  <c r="C48" i="6"/>
  <c r="G50" i="5"/>
  <c r="G51" i="5"/>
  <c r="G52" i="5"/>
  <c r="G53" i="5"/>
  <c r="F101" i="2" s="1"/>
  <c r="H101" i="2" s="1"/>
  <c r="G54" i="5"/>
  <c r="I54" i="5" s="1"/>
  <c r="J54" i="7" s="1"/>
  <c r="G52" i="6"/>
  <c r="G53" i="6"/>
  <c r="G54" i="6"/>
  <c r="H46" i="5"/>
  <c r="C48" i="5"/>
  <c r="I49" i="16"/>
  <c r="I50" i="16"/>
  <c r="I51" i="16"/>
  <c r="I52" i="16"/>
  <c r="I53" i="16"/>
  <c r="I54" i="16"/>
  <c r="C48" i="16"/>
  <c r="F102" i="2"/>
  <c r="G101" i="2"/>
  <c r="G97" i="2"/>
  <c r="G98" i="2"/>
  <c r="C96" i="2"/>
  <c r="O5" i="7"/>
  <c r="Q3" i="8"/>
  <c r="O4" i="6"/>
  <c r="N105" i="8"/>
  <c r="M59" i="8"/>
  <c r="D15" i="1"/>
  <c r="G31" i="9"/>
  <c r="D19" i="1" s="1"/>
  <c r="O14" i="17"/>
  <c r="N14" i="17"/>
  <c r="M14" i="17"/>
  <c r="L14" i="17"/>
  <c r="K14" i="17"/>
  <c r="J14" i="17"/>
  <c r="I14" i="17"/>
  <c r="H14" i="17"/>
  <c r="G14" i="17"/>
  <c r="G49" i="9"/>
  <c r="I49" i="9" s="1"/>
  <c r="G50" i="9"/>
  <c r="I50" i="9" s="1"/>
  <c r="G51" i="9"/>
  <c r="G52" i="9"/>
  <c r="I52" i="9" s="1"/>
  <c r="H46" i="9"/>
  <c r="L46" i="9"/>
  <c r="N46" i="9"/>
  <c r="N42" i="9" s="1"/>
  <c r="G20" i="18"/>
  <c r="N74" i="8"/>
  <c r="N46" i="8" s="1"/>
  <c r="M108" i="9"/>
  <c r="M88" i="9"/>
  <c r="M46" i="9" s="1"/>
  <c r="M95" i="8"/>
  <c r="L50" i="8"/>
  <c r="T17" i="4"/>
  <c r="T16" i="4"/>
  <c r="M120" i="8"/>
  <c r="M109" i="8"/>
  <c r="M88" i="8"/>
  <c r="M83" i="8"/>
  <c r="M46" i="8" s="1"/>
  <c r="M117" i="8"/>
  <c r="L46" i="8"/>
  <c r="M50" i="8"/>
  <c r="E58" i="17"/>
  <c r="P58" i="17" s="1"/>
  <c r="G6" i="8"/>
  <c r="G7" i="8"/>
  <c r="G8" i="8"/>
  <c r="G5" i="8"/>
  <c r="G50" i="8"/>
  <c r="I50" i="8" s="1"/>
  <c r="G51" i="8"/>
  <c r="I51" i="8" s="1"/>
  <c r="G52" i="8"/>
  <c r="I52" i="8" s="1"/>
  <c r="M91" i="8"/>
  <c r="M105" i="8"/>
  <c r="B48" i="16"/>
  <c r="B48" i="15"/>
  <c r="B48" i="14"/>
  <c r="B48" i="13"/>
  <c r="B48" i="12"/>
  <c r="B48" i="11"/>
  <c r="G50" i="7"/>
  <c r="I50" i="7" s="1"/>
  <c r="G51" i="7"/>
  <c r="I51" i="7" s="1"/>
  <c r="G52" i="7"/>
  <c r="I52" i="7" s="1"/>
  <c r="G54" i="7"/>
  <c r="I54" i="7" s="1"/>
  <c r="I52" i="6"/>
  <c r="I54" i="6"/>
  <c r="G50" i="6"/>
  <c r="I50" i="6" s="1"/>
  <c r="G51" i="6"/>
  <c r="I51" i="6" s="1"/>
  <c r="I50" i="5"/>
  <c r="I51" i="5"/>
  <c r="I52" i="5"/>
  <c r="I94" i="2"/>
  <c r="G49" i="8"/>
  <c r="I49" i="8" s="1"/>
  <c r="H46" i="7"/>
  <c r="H46" i="8"/>
  <c r="M127" i="8"/>
  <c r="M120" i="7"/>
  <c r="G49" i="5"/>
  <c r="B48" i="5" s="1"/>
  <c r="L46" i="7"/>
  <c r="N82" i="7"/>
  <c r="N46" i="7" s="1"/>
  <c r="N128" i="7"/>
  <c r="N105" i="7"/>
  <c r="N120" i="7"/>
  <c r="G49" i="7"/>
  <c r="I49" i="7" s="1"/>
  <c r="G85" i="17"/>
  <c r="E85" i="17"/>
  <c r="I17" i="12"/>
  <c r="I18" i="12"/>
  <c r="I19" i="12"/>
  <c r="I20" i="12"/>
  <c r="O21" i="17"/>
  <c r="N21" i="17"/>
  <c r="M21" i="17"/>
  <c r="L21" i="17"/>
  <c r="K21" i="17"/>
  <c r="J21" i="17"/>
  <c r="I21" i="17"/>
  <c r="H21" i="17"/>
  <c r="G21" i="17"/>
  <c r="E21" i="17"/>
  <c r="D21" i="17"/>
  <c r="P22" i="17"/>
  <c r="AT115" i="4"/>
  <c r="BD25" i="4"/>
  <c r="BD24" i="4"/>
  <c r="BD26" i="4"/>
  <c r="AX26" i="4"/>
  <c r="BD17" i="4"/>
  <c r="BD16" i="4"/>
  <c r="BD15" i="4"/>
  <c r="AJ119" i="4"/>
  <c r="AL119" i="4" s="1"/>
  <c r="M108" i="7"/>
  <c r="M117" i="7"/>
  <c r="B14" i="6"/>
  <c r="M93" i="7"/>
  <c r="M92" i="7"/>
  <c r="M46" i="7" s="1"/>
  <c r="G6" i="7"/>
  <c r="G7" i="7"/>
  <c r="G8" i="7"/>
  <c r="G5" i="7"/>
  <c r="N117" i="6"/>
  <c r="N86" i="7"/>
  <c r="N120" i="6"/>
  <c r="N105" i="6"/>
  <c r="N110" i="6"/>
  <c r="N72" i="6"/>
  <c r="M92" i="6"/>
  <c r="M120" i="6"/>
  <c r="B89" i="17"/>
  <c r="T15" i="4"/>
  <c r="J52" i="8" l="1"/>
  <c r="J51" i="6"/>
  <c r="F99" i="2"/>
  <c r="H99" i="2" s="1"/>
  <c r="I49" i="10"/>
  <c r="J50" i="6"/>
  <c r="D48" i="7"/>
  <c r="B48" i="9"/>
  <c r="B48" i="10"/>
  <c r="J54" i="16"/>
  <c r="J54" i="14"/>
  <c r="J54" i="11"/>
  <c r="J54" i="12"/>
  <c r="J54" i="13"/>
  <c r="J54" i="15"/>
  <c r="B48" i="8"/>
  <c r="D48" i="10"/>
  <c r="J50" i="14"/>
  <c r="J50" i="15"/>
  <c r="J50" i="11"/>
  <c r="J50" i="12"/>
  <c r="J50" i="13"/>
  <c r="J50" i="10"/>
  <c r="J50" i="9"/>
  <c r="F98" i="2"/>
  <c r="H98" i="2" s="1"/>
  <c r="J50" i="16"/>
  <c r="J53" i="12"/>
  <c r="J53" i="11"/>
  <c r="J53" i="13"/>
  <c r="J53" i="14"/>
  <c r="J53" i="15"/>
  <c r="J53" i="10"/>
  <c r="J53" i="9"/>
  <c r="J53" i="16"/>
  <c r="J52" i="12"/>
  <c r="J52" i="11"/>
  <c r="J52" i="14"/>
  <c r="J52" i="13"/>
  <c r="J52" i="15"/>
  <c r="F100" i="2"/>
  <c r="J52" i="16"/>
  <c r="D48" i="16"/>
  <c r="D48" i="8"/>
  <c r="I51" i="9"/>
  <c r="J51" i="9" s="1"/>
  <c r="J54" i="10"/>
  <c r="J52" i="9"/>
  <c r="J52" i="10"/>
  <c r="J54" i="9"/>
  <c r="J52" i="5"/>
  <c r="J50" i="5"/>
  <c r="J52" i="6"/>
  <c r="J50" i="7"/>
  <c r="J52" i="7"/>
  <c r="J54" i="8"/>
  <c r="J51" i="8"/>
  <c r="J54" i="5"/>
  <c r="J51" i="5"/>
  <c r="J54" i="6"/>
  <c r="J51" i="7"/>
  <c r="J50" i="8"/>
  <c r="H102" i="2"/>
  <c r="I49" i="5"/>
  <c r="D48" i="5" s="1"/>
  <c r="B48" i="7"/>
  <c r="M95" i="6"/>
  <c r="P54" i="17"/>
  <c r="P55" i="17"/>
  <c r="P74" i="17"/>
  <c r="M88" i="6"/>
  <c r="G168" i="2"/>
  <c r="M105" i="6"/>
  <c r="N46" i="6"/>
  <c r="R54" i="4"/>
  <c r="U44" i="4"/>
  <c r="P53" i="17"/>
  <c r="G49" i="6"/>
  <c r="F97" i="2" s="1"/>
  <c r="H97" i="2" s="1"/>
  <c r="BB15" i="4"/>
  <c r="L87" i="6"/>
  <c r="L46" i="6" s="1"/>
  <c r="B96" i="2" l="1"/>
  <c r="H100" i="2"/>
  <c r="D96" i="2" s="1"/>
  <c r="D48" i="9"/>
  <c r="J51" i="12"/>
  <c r="J51" i="13"/>
  <c r="J51" i="15"/>
  <c r="J51" i="11"/>
  <c r="J51" i="14"/>
  <c r="J51" i="16"/>
  <c r="J51" i="10"/>
  <c r="B48" i="6"/>
  <c r="I49" i="6"/>
  <c r="J49" i="12" s="1"/>
  <c r="J49" i="5"/>
  <c r="N105" i="5"/>
  <c r="N120" i="5"/>
  <c r="M95" i="5"/>
  <c r="M91" i="6"/>
  <c r="M46" i="6" s="1"/>
  <c r="G5" i="6"/>
  <c r="G7" i="6"/>
  <c r="G8" i="6"/>
  <c r="G6" i="6"/>
  <c r="AL38" i="4"/>
  <c r="AP43" i="4"/>
  <c r="AL43" i="4"/>
  <c r="AH43" i="4"/>
  <c r="J49" i="7" l="1"/>
  <c r="D48" i="6"/>
  <c r="J49" i="14"/>
  <c r="J49" i="11"/>
  <c r="J49" i="16"/>
  <c r="J49" i="9"/>
  <c r="J49" i="13"/>
  <c r="J49" i="15"/>
  <c r="J49" i="8"/>
  <c r="J49" i="10"/>
  <c r="J49" i="6"/>
  <c r="P82" i="17"/>
  <c r="P83" i="17"/>
  <c r="T14" i="4" l="1"/>
  <c r="M92" i="5"/>
  <c r="N72" i="5"/>
  <c r="G94" i="5"/>
  <c r="N108" i="5"/>
  <c r="M93" i="5"/>
  <c r="P67" i="17"/>
  <c r="P72" i="17"/>
  <c r="P85" i="17"/>
  <c r="P81" i="17"/>
  <c r="P84" i="17"/>
  <c r="G6" i="5"/>
  <c r="G7" i="5"/>
  <c r="G8" i="5"/>
  <c r="C44" i="1" s="1"/>
  <c r="J44" i="1" s="1"/>
  <c r="BC27" i="4" l="1"/>
  <c r="B24" i="5"/>
  <c r="B22" i="5"/>
  <c r="B14" i="5"/>
  <c r="AS26" i="4"/>
  <c r="AY18" i="4" l="1"/>
  <c r="AY17" i="4"/>
  <c r="AV29" i="4"/>
  <c r="R25" i="4"/>
  <c r="T13" i="4"/>
  <c r="AX24" i="4"/>
  <c r="AW27" i="4"/>
  <c r="BB18" i="4"/>
  <c r="BF18" i="4" s="1"/>
  <c r="BB16" i="4"/>
  <c r="BE27" i="4"/>
  <c r="BB26" i="4"/>
  <c r="BF26" i="4" s="1"/>
  <c r="BF25" i="4"/>
  <c r="BF23" i="4"/>
  <c r="BF22" i="4"/>
  <c r="BF21" i="4"/>
  <c r="BF20" i="4"/>
  <c r="BF19" i="4"/>
  <c r="BF17" i="4"/>
  <c r="BF16" i="4"/>
  <c r="BF15" i="4"/>
  <c r="P56" i="4"/>
  <c r="BB27" i="4" l="1"/>
  <c r="AT106" i="4" s="1"/>
  <c r="AV106" i="4" s="1"/>
  <c r="BB28" i="4"/>
  <c r="BD27" i="4"/>
  <c r="BF24" i="4"/>
  <c r="BF27" i="4" s="1"/>
  <c r="R55" i="4"/>
  <c r="R28" i="4"/>
  <c r="R26" i="4"/>
  <c r="B16" i="17"/>
  <c r="P51" i="17"/>
  <c r="P49" i="17"/>
  <c r="P50" i="17"/>
  <c r="P52" i="17"/>
  <c r="M36" i="17"/>
  <c r="G36" i="17"/>
  <c r="P15" i="17"/>
  <c r="P27" i="4"/>
  <c r="G140" i="16"/>
  <c r="I140" i="16" s="1"/>
  <c r="G138" i="16"/>
  <c r="I138" i="16" s="1"/>
  <c r="G137" i="16"/>
  <c r="I137" i="16" s="1"/>
  <c r="G136" i="16"/>
  <c r="I136" i="16" s="1"/>
  <c r="G135" i="16"/>
  <c r="G133" i="16"/>
  <c r="I133" i="16" s="1"/>
  <c r="C131" i="16"/>
  <c r="G140" i="15"/>
  <c r="I140" i="15" s="1"/>
  <c r="G138" i="15"/>
  <c r="I138" i="15" s="1"/>
  <c r="G137" i="15"/>
  <c r="I137" i="15" s="1"/>
  <c r="G136" i="15"/>
  <c r="I136" i="15" s="1"/>
  <c r="G135" i="15"/>
  <c r="G133" i="15"/>
  <c r="I133" i="15" s="1"/>
  <c r="C131" i="15"/>
  <c r="B131" i="15"/>
  <c r="G37" i="15" s="1"/>
  <c r="G140" i="14"/>
  <c r="I140" i="14" s="1"/>
  <c r="G138" i="14"/>
  <c r="I138" i="14" s="1"/>
  <c r="G137" i="14"/>
  <c r="I137" i="14" s="1"/>
  <c r="G136" i="14"/>
  <c r="I136" i="14" s="1"/>
  <c r="G135" i="14"/>
  <c r="G133" i="14"/>
  <c r="I133" i="14" s="1"/>
  <c r="C131" i="14"/>
  <c r="G140" i="13"/>
  <c r="I140" i="13" s="1"/>
  <c r="G138" i="13"/>
  <c r="I138" i="13" s="1"/>
  <c r="G137" i="13"/>
  <c r="G136" i="13"/>
  <c r="G135" i="13"/>
  <c r="G133" i="13"/>
  <c r="I133" i="13" s="1"/>
  <c r="C131" i="13"/>
  <c r="G140" i="12"/>
  <c r="I140" i="12" s="1"/>
  <c r="G138" i="12"/>
  <c r="I138" i="12" s="1"/>
  <c r="G137" i="12"/>
  <c r="I137" i="12" s="1"/>
  <c r="G136" i="12"/>
  <c r="I136" i="12" s="1"/>
  <c r="G135" i="12"/>
  <c r="G133" i="12"/>
  <c r="I133" i="12" s="1"/>
  <c r="C131" i="12"/>
  <c r="G140" i="11"/>
  <c r="I140" i="11" s="1"/>
  <c r="G138" i="11"/>
  <c r="I138" i="11" s="1"/>
  <c r="G137" i="11"/>
  <c r="I137" i="11" s="1"/>
  <c r="G136" i="11"/>
  <c r="I136" i="11" s="1"/>
  <c r="G135" i="11"/>
  <c r="G133" i="11"/>
  <c r="I133" i="11" s="1"/>
  <c r="C131" i="11"/>
  <c r="G140" i="10"/>
  <c r="I140" i="10" s="1"/>
  <c r="G138" i="10"/>
  <c r="I138" i="10" s="1"/>
  <c r="G137" i="10"/>
  <c r="I137" i="10" s="1"/>
  <c r="G136" i="10"/>
  <c r="I136" i="10" s="1"/>
  <c r="G135" i="10"/>
  <c r="I135" i="10" s="1"/>
  <c r="G133" i="10"/>
  <c r="I133" i="10" s="1"/>
  <c r="C131" i="10"/>
  <c r="G140" i="9"/>
  <c r="I140" i="9" s="1"/>
  <c r="G138" i="9"/>
  <c r="I138" i="9" s="1"/>
  <c r="G137" i="9"/>
  <c r="I137" i="9" s="1"/>
  <c r="G136" i="9"/>
  <c r="I136" i="9" s="1"/>
  <c r="G135" i="9"/>
  <c r="I135" i="9" s="1"/>
  <c r="G133" i="9"/>
  <c r="I133" i="9" s="1"/>
  <c r="C131" i="9"/>
  <c r="G140" i="8"/>
  <c r="I140" i="8" s="1"/>
  <c r="G138" i="8"/>
  <c r="I138" i="8" s="1"/>
  <c r="G137" i="8"/>
  <c r="I137" i="8" s="1"/>
  <c r="G136" i="8"/>
  <c r="I136" i="8" s="1"/>
  <c r="G135" i="8"/>
  <c r="I135" i="8" s="1"/>
  <c r="G133" i="8"/>
  <c r="I133" i="8" s="1"/>
  <c r="C131" i="8"/>
  <c r="G140" i="7"/>
  <c r="E36" i="17" s="1"/>
  <c r="I138" i="7"/>
  <c r="G138" i="7"/>
  <c r="G137" i="7"/>
  <c r="I137" i="7" s="1"/>
  <c r="I136" i="7"/>
  <c r="G136" i="7"/>
  <c r="G135" i="7"/>
  <c r="I135" i="7" s="1"/>
  <c r="G133" i="7"/>
  <c r="I133" i="7" s="1"/>
  <c r="C131" i="7"/>
  <c r="G140" i="6"/>
  <c r="I140" i="6" s="1"/>
  <c r="G138" i="6"/>
  <c r="I138" i="6" s="1"/>
  <c r="G137" i="6"/>
  <c r="I137" i="6" s="1"/>
  <c r="G136" i="6"/>
  <c r="I136" i="6" s="1"/>
  <c r="G135" i="6"/>
  <c r="I135" i="6" s="1"/>
  <c r="G133" i="6"/>
  <c r="I133" i="6" s="1"/>
  <c r="C131" i="6"/>
  <c r="C131" i="5"/>
  <c r="G181" i="2"/>
  <c r="G188" i="2"/>
  <c r="I17" i="16"/>
  <c r="I18" i="16"/>
  <c r="I19" i="16"/>
  <c r="C126" i="16"/>
  <c r="C123" i="16"/>
  <c r="C119" i="16"/>
  <c r="C116" i="16"/>
  <c r="C112" i="16"/>
  <c r="C103" i="16"/>
  <c r="C97" i="16"/>
  <c r="C90" i="16"/>
  <c r="C85" i="16"/>
  <c r="C80" i="16"/>
  <c r="C71" i="16"/>
  <c r="C66" i="16"/>
  <c r="C62" i="16"/>
  <c r="C56" i="16"/>
  <c r="C126" i="15"/>
  <c r="C123" i="15"/>
  <c r="C119" i="15"/>
  <c r="C116" i="15"/>
  <c r="C112" i="15"/>
  <c r="E105" i="15"/>
  <c r="C103" i="15"/>
  <c r="C97" i="15"/>
  <c r="C90" i="15"/>
  <c r="C85" i="15"/>
  <c r="C80" i="15"/>
  <c r="C71" i="15"/>
  <c r="C66" i="15"/>
  <c r="C62" i="15"/>
  <c r="C56" i="15"/>
  <c r="C126" i="14"/>
  <c r="C123" i="14"/>
  <c r="C119" i="14"/>
  <c r="C116" i="14"/>
  <c r="C112" i="14"/>
  <c r="E105" i="14"/>
  <c r="C103" i="14"/>
  <c r="C97" i="14"/>
  <c r="C90" i="14"/>
  <c r="C85" i="14"/>
  <c r="C80" i="14"/>
  <c r="C71" i="14"/>
  <c r="C66" i="14"/>
  <c r="C62" i="14"/>
  <c r="C56" i="14"/>
  <c r="C126" i="13"/>
  <c r="C123" i="13"/>
  <c r="C119" i="13"/>
  <c r="C116" i="13"/>
  <c r="C112" i="13"/>
  <c r="E105" i="13"/>
  <c r="C103" i="13"/>
  <c r="C97" i="13"/>
  <c r="C90" i="13"/>
  <c r="C85" i="13"/>
  <c r="C80" i="13"/>
  <c r="C71" i="13"/>
  <c r="C66" i="13"/>
  <c r="C62" i="13"/>
  <c r="C56" i="13"/>
  <c r="C126" i="12"/>
  <c r="C123" i="12"/>
  <c r="C119" i="12"/>
  <c r="C116" i="12"/>
  <c r="C112" i="12"/>
  <c r="E105" i="12"/>
  <c r="C103" i="12"/>
  <c r="C97" i="12"/>
  <c r="C90" i="12"/>
  <c r="C85" i="12"/>
  <c r="C80" i="12"/>
  <c r="C71" i="12"/>
  <c r="C66" i="12"/>
  <c r="C62" i="12"/>
  <c r="C56" i="12"/>
  <c r="C126" i="11"/>
  <c r="C123" i="11"/>
  <c r="C119" i="11"/>
  <c r="C116" i="11"/>
  <c r="C112" i="11"/>
  <c r="E105" i="11"/>
  <c r="C103" i="11"/>
  <c r="C97" i="11"/>
  <c r="C90" i="11"/>
  <c r="C85" i="11"/>
  <c r="C80" i="11"/>
  <c r="C71" i="11"/>
  <c r="C66" i="11"/>
  <c r="C62" i="11"/>
  <c r="C56" i="11"/>
  <c r="C126" i="10"/>
  <c r="C123" i="10"/>
  <c r="C119" i="10"/>
  <c r="C116" i="10"/>
  <c r="C112" i="10"/>
  <c r="E105" i="10"/>
  <c r="C103" i="10"/>
  <c r="C97" i="10"/>
  <c r="C90" i="10"/>
  <c r="C85" i="10"/>
  <c r="C80" i="10"/>
  <c r="C71" i="10"/>
  <c r="C66" i="10"/>
  <c r="C62" i="10"/>
  <c r="C56" i="10"/>
  <c r="C126" i="9"/>
  <c r="C123" i="9"/>
  <c r="C119" i="9"/>
  <c r="C116" i="9"/>
  <c r="C112" i="9"/>
  <c r="E105" i="9"/>
  <c r="C103" i="9"/>
  <c r="C97" i="9"/>
  <c r="C90" i="9"/>
  <c r="C85" i="9"/>
  <c r="C80" i="9"/>
  <c r="C71" i="9"/>
  <c r="C66" i="9"/>
  <c r="C62" i="9"/>
  <c r="C56" i="9"/>
  <c r="C126" i="8"/>
  <c r="C123" i="8"/>
  <c r="C119" i="8"/>
  <c r="C116" i="8"/>
  <c r="C112" i="8"/>
  <c r="C103" i="8"/>
  <c r="C97" i="8"/>
  <c r="C90" i="8"/>
  <c r="C85" i="8"/>
  <c r="C80" i="8"/>
  <c r="C71" i="8"/>
  <c r="C66" i="8"/>
  <c r="C62" i="8"/>
  <c r="C56" i="8"/>
  <c r="C126" i="7"/>
  <c r="C123" i="7"/>
  <c r="C119" i="7"/>
  <c r="C116" i="7"/>
  <c r="C112" i="7"/>
  <c r="C103" i="7"/>
  <c r="C97" i="7"/>
  <c r="C90" i="7"/>
  <c r="C85" i="7"/>
  <c r="C80" i="7"/>
  <c r="C71" i="7"/>
  <c r="C66" i="7"/>
  <c r="C62" i="7"/>
  <c r="C56" i="7"/>
  <c r="C126" i="6"/>
  <c r="C123" i="6"/>
  <c r="C119" i="6"/>
  <c r="C116" i="6"/>
  <c r="C112" i="6"/>
  <c r="C103" i="6"/>
  <c r="C97" i="6"/>
  <c r="C90" i="6"/>
  <c r="C85" i="6"/>
  <c r="C80" i="6"/>
  <c r="C71" i="6"/>
  <c r="C66" i="6"/>
  <c r="C62" i="6"/>
  <c r="C56" i="6"/>
  <c r="I17" i="6"/>
  <c r="J17" i="14" s="1"/>
  <c r="I18" i="6"/>
  <c r="I19" i="6"/>
  <c r="I20" i="6"/>
  <c r="G80" i="2"/>
  <c r="G81" i="2"/>
  <c r="G82" i="2"/>
  <c r="G83" i="2"/>
  <c r="F82" i="2"/>
  <c r="H82" i="2" s="1"/>
  <c r="F80" i="2"/>
  <c r="C42" i="16"/>
  <c r="C42" i="15"/>
  <c r="C42" i="14"/>
  <c r="C42" i="13"/>
  <c r="C42" i="12"/>
  <c r="C42" i="11"/>
  <c r="C42" i="10"/>
  <c r="C42" i="9"/>
  <c r="C42" i="8"/>
  <c r="C42" i="7"/>
  <c r="C42" i="6"/>
  <c r="I17" i="5"/>
  <c r="I18" i="5"/>
  <c r="I19" i="5"/>
  <c r="I20" i="5"/>
  <c r="C21" i="17"/>
  <c r="P21" i="17" s="1"/>
  <c r="E14" i="17"/>
  <c r="D14" i="17"/>
  <c r="C14" i="17"/>
  <c r="I17" i="14"/>
  <c r="I18" i="14"/>
  <c r="I19" i="14"/>
  <c r="C42" i="5"/>
  <c r="H30" i="3"/>
  <c r="J20" i="5" l="1"/>
  <c r="J20" i="8"/>
  <c r="J20" i="7"/>
  <c r="L36" i="17"/>
  <c r="I135" i="12"/>
  <c r="K35" i="17"/>
  <c r="I136" i="13"/>
  <c r="O6" i="13"/>
  <c r="O8" i="13" s="1"/>
  <c r="D131" i="15"/>
  <c r="H36" i="17"/>
  <c r="J18" i="9"/>
  <c r="J18" i="10"/>
  <c r="J18" i="8"/>
  <c r="J18" i="7"/>
  <c r="J18" i="12"/>
  <c r="B131" i="7"/>
  <c r="D131" i="7" s="1"/>
  <c r="I140" i="7"/>
  <c r="I135" i="11"/>
  <c r="J35" i="17"/>
  <c r="I137" i="13"/>
  <c r="O7" i="13"/>
  <c r="D36" i="17"/>
  <c r="I36" i="17"/>
  <c r="N36" i="17"/>
  <c r="I135" i="13"/>
  <c r="L35" i="17"/>
  <c r="J19" i="5"/>
  <c r="J19" i="9"/>
  <c r="J19" i="8"/>
  <c r="J19" i="7"/>
  <c r="J19" i="10"/>
  <c r="J19" i="12"/>
  <c r="J17" i="8"/>
  <c r="J17" i="7"/>
  <c r="J17" i="10"/>
  <c r="J17" i="9"/>
  <c r="J17" i="12"/>
  <c r="H80" i="2"/>
  <c r="I135" i="14"/>
  <c r="M35" i="17"/>
  <c r="I135" i="15"/>
  <c r="N35" i="17"/>
  <c r="J36" i="17"/>
  <c r="O36" i="17"/>
  <c r="I135" i="16"/>
  <c r="O35" i="17"/>
  <c r="BB31" i="4"/>
  <c r="F216" i="3"/>
  <c r="AJ106" i="4"/>
  <c r="AL106" i="4" s="1"/>
  <c r="AX106" i="4"/>
  <c r="AZ106" i="4" s="1"/>
  <c r="K36" i="17"/>
  <c r="D112" i="8"/>
  <c r="J17" i="16"/>
  <c r="J18" i="5"/>
  <c r="J18" i="6"/>
  <c r="J19" i="16"/>
  <c r="J19" i="14"/>
  <c r="J19" i="6"/>
  <c r="J17" i="5"/>
  <c r="J17" i="6"/>
  <c r="P14" i="17"/>
  <c r="B131" i="16"/>
  <c r="B131" i="14"/>
  <c r="B131" i="13"/>
  <c r="B131" i="12"/>
  <c r="B131" i="11"/>
  <c r="B131" i="10"/>
  <c r="B131" i="9"/>
  <c r="B131" i="8"/>
  <c r="B131" i="6"/>
  <c r="G175" i="2"/>
  <c r="G176" i="2"/>
  <c r="G5" i="5"/>
  <c r="F78" i="2"/>
  <c r="F79" i="2"/>
  <c r="F81" i="2"/>
  <c r="H81" i="2" s="1"/>
  <c r="F83" i="2"/>
  <c r="H83" i="2" s="1"/>
  <c r="F85" i="2"/>
  <c r="F87" i="2"/>
  <c r="F88" i="2"/>
  <c r="B105" i="17"/>
  <c r="B104" i="17"/>
  <c r="N66" i="17"/>
  <c r="N76" i="17" s="1"/>
  <c r="O66" i="17"/>
  <c r="O76" i="17" s="1"/>
  <c r="M66" i="17"/>
  <c r="M76" i="17" s="1"/>
  <c r="L66" i="17"/>
  <c r="L76" i="17" s="1"/>
  <c r="K66" i="17"/>
  <c r="K76" i="17" s="1"/>
  <c r="J66" i="17"/>
  <c r="J76" i="17" s="1"/>
  <c r="I66" i="17"/>
  <c r="I76" i="17" s="1"/>
  <c r="H66" i="17"/>
  <c r="H76" i="17" s="1"/>
  <c r="G66" i="17"/>
  <c r="G76" i="17" s="1"/>
  <c r="E66" i="17"/>
  <c r="E76" i="17" s="1"/>
  <c r="D66" i="17"/>
  <c r="D76" i="17" s="1"/>
  <c r="O43" i="17"/>
  <c r="N43" i="17"/>
  <c r="M43" i="17"/>
  <c r="L43" i="17"/>
  <c r="K43" i="17"/>
  <c r="J43" i="17"/>
  <c r="I43" i="17"/>
  <c r="H43" i="17"/>
  <c r="G43" i="17"/>
  <c r="E43" i="17"/>
  <c r="D43" i="17"/>
  <c r="C66" i="17"/>
  <c r="C76" i="17" s="1"/>
  <c r="C43" i="17"/>
  <c r="O26" i="17"/>
  <c r="N26" i="17"/>
  <c r="M26" i="17"/>
  <c r="L26" i="17"/>
  <c r="K26" i="17"/>
  <c r="J26" i="17"/>
  <c r="I26" i="17"/>
  <c r="H26" i="17"/>
  <c r="G26" i="17"/>
  <c r="E26" i="17"/>
  <c r="D26" i="17"/>
  <c r="O19" i="17"/>
  <c r="O23" i="17" s="1"/>
  <c r="N19" i="17"/>
  <c r="N23" i="17" s="1"/>
  <c r="M19" i="17"/>
  <c r="M23" i="17" s="1"/>
  <c r="L19" i="17"/>
  <c r="L23" i="17" s="1"/>
  <c r="K19" i="17"/>
  <c r="K23" i="17" s="1"/>
  <c r="J19" i="17"/>
  <c r="J23" i="17" s="1"/>
  <c r="I19" i="17"/>
  <c r="I23" i="17" s="1"/>
  <c r="H19" i="17"/>
  <c r="H23" i="17" s="1"/>
  <c r="G19" i="17"/>
  <c r="G23" i="17" s="1"/>
  <c r="E19" i="17"/>
  <c r="E23" i="17" s="1"/>
  <c r="D19" i="17"/>
  <c r="D23" i="17" s="1"/>
  <c r="O12" i="17"/>
  <c r="O16" i="17" s="1"/>
  <c r="N12" i="17"/>
  <c r="N16" i="17" s="1"/>
  <c r="M12" i="17"/>
  <c r="M16" i="17" s="1"/>
  <c r="L12" i="17"/>
  <c r="L16" i="17" s="1"/>
  <c r="K12" i="17"/>
  <c r="K16" i="17" s="1"/>
  <c r="J12" i="17"/>
  <c r="J16" i="17" s="1"/>
  <c r="I12" i="17"/>
  <c r="I16" i="17" s="1"/>
  <c r="H12" i="17"/>
  <c r="H16" i="17" s="1"/>
  <c r="G12" i="17"/>
  <c r="G16" i="17" s="1"/>
  <c r="E12" i="17"/>
  <c r="E16" i="17" s="1"/>
  <c r="D12" i="17"/>
  <c r="D16" i="17" s="1"/>
  <c r="O7" i="17"/>
  <c r="N7" i="17"/>
  <c r="M7" i="17"/>
  <c r="L7" i="17"/>
  <c r="K7" i="17"/>
  <c r="J7" i="17"/>
  <c r="I7" i="17"/>
  <c r="H7" i="17"/>
  <c r="G7" i="17"/>
  <c r="O31" i="17"/>
  <c r="N31" i="17"/>
  <c r="M31" i="17"/>
  <c r="L31" i="17"/>
  <c r="K31" i="17"/>
  <c r="J31" i="17"/>
  <c r="I31" i="17"/>
  <c r="H31" i="17"/>
  <c r="G31" i="17"/>
  <c r="E31" i="17"/>
  <c r="D31" i="17"/>
  <c r="C31" i="17"/>
  <c r="C12" i="17"/>
  <c r="C16" i="17" s="1"/>
  <c r="C26" i="17"/>
  <c r="C19" i="17"/>
  <c r="C23" i="17" s="1"/>
  <c r="E7" i="17"/>
  <c r="D7" i="17"/>
  <c r="C7" i="17"/>
  <c r="G128" i="16"/>
  <c r="I128" i="16" s="1"/>
  <c r="G127" i="16"/>
  <c r="G124" i="16"/>
  <c r="B123" i="16" s="1"/>
  <c r="D123" i="16" s="1"/>
  <c r="G121" i="16"/>
  <c r="I121" i="16" s="1"/>
  <c r="G120" i="16"/>
  <c r="G117" i="16"/>
  <c r="G113" i="16"/>
  <c r="G110" i="16"/>
  <c r="I110" i="16" s="1"/>
  <c r="G109" i="16"/>
  <c r="G108" i="16"/>
  <c r="I108" i="16" s="1"/>
  <c r="G107" i="16"/>
  <c r="I107" i="16" s="1"/>
  <c r="G106" i="16"/>
  <c r="I106" i="16" s="1"/>
  <c r="G105" i="16"/>
  <c r="I105" i="16" s="1"/>
  <c r="G104" i="16"/>
  <c r="I104" i="16" s="1"/>
  <c r="G101" i="16"/>
  <c r="I101" i="16" s="1"/>
  <c r="G100" i="16"/>
  <c r="B97" i="16" s="1"/>
  <c r="D97" i="16" s="1"/>
  <c r="G99" i="16"/>
  <c r="I99" i="16" s="1"/>
  <c r="I98" i="16"/>
  <c r="G98" i="16"/>
  <c r="G95" i="16"/>
  <c r="I95" i="16" s="1"/>
  <c r="G94" i="16"/>
  <c r="I94" i="16" s="1"/>
  <c r="G93" i="16"/>
  <c r="I93" i="16" s="1"/>
  <c r="G92" i="16"/>
  <c r="G91" i="16"/>
  <c r="I91" i="16" s="1"/>
  <c r="G88" i="16"/>
  <c r="G87" i="16"/>
  <c r="I87" i="16" s="1"/>
  <c r="G86" i="16"/>
  <c r="I86" i="16" s="1"/>
  <c r="G83" i="16"/>
  <c r="I83" i="16" s="1"/>
  <c r="G82" i="16"/>
  <c r="I82" i="16" s="1"/>
  <c r="G81" i="16"/>
  <c r="G78" i="16"/>
  <c r="I78" i="16" s="1"/>
  <c r="I77" i="16"/>
  <c r="G77" i="16"/>
  <c r="G76" i="16"/>
  <c r="I76" i="16" s="1"/>
  <c r="G75" i="16"/>
  <c r="I75" i="16" s="1"/>
  <c r="G74" i="16"/>
  <c r="I74" i="16" s="1"/>
  <c r="I73" i="16"/>
  <c r="G73" i="16"/>
  <c r="G72" i="16"/>
  <c r="I72" i="16" s="1"/>
  <c r="G69" i="16"/>
  <c r="I69" i="16" s="1"/>
  <c r="G68" i="16"/>
  <c r="B66" i="16" s="1"/>
  <c r="D66" i="16" s="1"/>
  <c r="G67" i="16"/>
  <c r="I67" i="16" s="1"/>
  <c r="G64" i="16"/>
  <c r="G63" i="16"/>
  <c r="I63" i="16" s="1"/>
  <c r="G60" i="16"/>
  <c r="I60" i="16" s="1"/>
  <c r="G59" i="16"/>
  <c r="I59" i="16" s="1"/>
  <c r="I58" i="16"/>
  <c r="G58" i="16"/>
  <c r="G57" i="16"/>
  <c r="I57" i="16" s="1"/>
  <c r="H28" i="16"/>
  <c r="I26" i="16"/>
  <c r="I25" i="16"/>
  <c r="I22" i="16"/>
  <c r="I20" i="16"/>
  <c r="I16" i="16"/>
  <c r="I15" i="16"/>
  <c r="B4" i="16"/>
  <c r="G128" i="15"/>
  <c r="I128" i="15" s="1"/>
  <c r="I127" i="15"/>
  <c r="G127" i="15"/>
  <c r="B126" i="15" s="1"/>
  <c r="D126" i="15" s="1"/>
  <c r="I124" i="15"/>
  <c r="G124" i="15"/>
  <c r="B123" i="15" s="1"/>
  <c r="D123" i="15" s="1"/>
  <c r="I121" i="15"/>
  <c r="G121" i="15"/>
  <c r="G120" i="15"/>
  <c r="G117" i="15"/>
  <c r="G113" i="15"/>
  <c r="G110" i="15"/>
  <c r="I110" i="15" s="1"/>
  <c r="G109" i="15"/>
  <c r="I109" i="15" s="1"/>
  <c r="G108" i="15"/>
  <c r="I108" i="15" s="1"/>
  <c r="I107" i="15"/>
  <c r="G107" i="15"/>
  <c r="G106" i="15"/>
  <c r="I106" i="15" s="1"/>
  <c r="G105" i="15"/>
  <c r="G104" i="15"/>
  <c r="I104" i="15" s="1"/>
  <c r="G101" i="15"/>
  <c r="I101" i="15" s="1"/>
  <c r="G100" i="15"/>
  <c r="G99" i="15"/>
  <c r="I99" i="15" s="1"/>
  <c r="I98" i="15"/>
  <c r="G98" i="15"/>
  <c r="I95" i="15"/>
  <c r="G95" i="15"/>
  <c r="G94" i="15"/>
  <c r="I94" i="15" s="1"/>
  <c r="G93" i="15"/>
  <c r="I93" i="15" s="1"/>
  <c r="G92" i="15"/>
  <c r="I92" i="15" s="1"/>
  <c r="G91" i="15"/>
  <c r="I91" i="15" s="1"/>
  <c r="G88" i="15"/>
  <c r="G87" i="15"/>
  <c r="I87" i="15" s="1"/>
  <c r="G86" i="15"/>
  <c r="I86" i="15" s="1"/>
  <c r="G83" i="15"/>
  <c r="I83" i="15" s="1"/>
  <c r="G82" i="15"/>
  <c r="G81" i="15"/>
  <c r="G78" i="15"/>
  <c r="I78" i="15" s="1"/>
  <c r="I77" i="15"/>
  <c r="G77" i="15"/>
  <c r="G76" i="15"/>
  <c r="I76" i="15" s="1"/>
  <c r="G75" i="15"/>
  <c r="I75" i="15" s="1"/>
  <c r="G74" i="15"/>
  <c r="I74" i="15" s="1"/>
  <c r="I73" i="15"/>
  <c r="G73" i="15"/>
  <c r="G72" i="15"/>
  <c r="G69" i="15"/>
  <c r="I69" i="15" s="1"/>
  <c r="I68" i="15"/>
  <c r="G68" i="15"/>
  <c r="G67" i="15"/>
  <c r="G64" i="15"/>
  <c r="I64" i="15" s="1"/>
  <c r="I63" i="15"/>
  <c r="G63" i="15"/>
  <c r="B62" i="15" s="1"/>
  <c r="D62" i="15" s="1"/>
  <c r="I60" i="15"/>
  <c r="G60" i="15"/>
  <c r="G59" i="15"/>
  <c r="I59" i="15" s="1"/>
  <c r="G58" i="15"/>
  <c r="I58" i="15" s="1"/>
  <c r="G57" i="15"/>
  <c r="H28" i="15"/>
  <c r="I26" i="15"/>
  <c r="I25" i="15"/>
  <c r="I22" i="15"/>
  <c r="I20" i="15"/>
  <c r="I18" i="15"/>
  <c r="I16" i="15"/>
  <c r="I15" i="15"/>
  <c r="B4" i="15"/>
  <c r="G128" i="14"/>
  <c r="I128" i="14" s="1"/>
  <c r="G127" i="14"/>
  <c r="G124" i="14"/>
  <c r="G121" i="14"/>
  <c r="I121" i="14" s="1"/>
  <c r="G120" i="14"/>
  <c r="B119" i="14" s="1"/>
  <c r="D119" i="14" s="1"/>
  <c r="G117" i="14"/>
  <c r="B116" i="14" s="1"/>
  <c r="G113" i="14"/>
  <c r="B112" i="14" s="1"/>
  <c r="D112" i="14" s="1"/>
  <c r="I110" i="14"/>
  <c r="G110" i="14"/>
  <c r="G109" i="14"/>
  <c r="I109" i="14" s="1"/>
  <c r="G108" i="14"/>
  <c r="I108" i="14" s="1"/>
  <c r="G107" i="14"/>
  <c r="I107" i="14" s="1"/>
  <c r="G106" i="14"/>
  <c r="I106" i="14" s="1"/>
  <c r="G105" i="14"/>
  <c r="G104" i="14"/>
  <c r="I104" i="14" s="1"/>
  <c r="G101" i="14"/>
  <c r="I101" i="14" s="1"/>
  <c r="G100" i="14"/>
  <c r="G99" i="14"/>
  <c r="I99" i="14" s="1"/>
  <c r="G98" i="14"/>
  <c r="I98" i="14" s="1"/>
  <c r="G95" i="14"/>
  <c r="G94" i="14"/>
  <c r="I94" i="14" s="1"/>
  <c r="G93" i="14"/>
  <c r="I93" i="14" s="1"/>
  <c r="G92" i="14"/>
  <c r="I92" i="14" s="1"/>
  <c r="G91" i="14"/>
  <c r="I91" i="14" s="1"/>
  <c r="G88" i="14"/>
  <c r="G87" i="14"/>
  <c r="I87" i="14" s="1"/>
  <c r="G86" i="14"/>
  <c r="I86" i="14" s="1"/>
  <c r="G83" i="14"/>
  <c r="I83" i="14" s="1"/>
  <c r="G82" i="14"/>
  <c r="I81" i="14"/>
  <c r="G81" i="14"/>
  <c r="I78" i="14"/>
  <c r="G78" i="14"/>
  <c r="G77" i="14"/>
  <c r="I77" i="14" s="1"/>
  <c r="G76" i="14"/>
  <c r="I76" i="14" s="1"/>
  <c r="G75" i="14"/>
  <c r="I75" i="14" s="1"/>
  <c r="G74" i="14"/>
  <c r="I74" i="14" s="1"/>
  <c r="G73" i="14"/>
  <c r="I73" i="14" s="1"/>
  <c r="G72" i="14"/>
  <c r="I72" i="14" s="1"/>
  <c r="I69" i="14"/>
  <c r="G69" i="14"/>
  <c r="G68" i="14"/>
  <c r="I68" i="14" s="1"/>
  <c r="G67" i="14"/>
  <c r="B66" i="14" s="1"/>
  <c r="D66" i="14" s="1"/>
  <c r="G64" i="14"/>
  <c r="I64" i="14" s="1"/>
  <c r="G63" i="14"/>
  <c r="G60" i="14"/>
  <c r="I60" i="14" s="1"/>
  <c r="I59" i="14"/>
  <c r="G59" i="14"/>
  <c r="G58" i="14"/>
  <c r="I58" i="14" s="1"/>
  <c r="G57" i="14"/>
  <c r="H28" i="14"/>
  <c r="I26" i="14"/>
  <c r="I25" i="14"/>
  <c r="I22" i="14"/>
  <c r="I20" i="14"/>
  <c r="I16" i="14"/>
  <c r="I15" i="14"/>
  <c r="B4" i="14"/>
  <c r="G128" i="13"/>
  <c r="G127" i="13"/>
  <c r="I127" i="13" s="1"/>
  <c r="I124" i="13"/>
  <c r="G124" i="13"/>
  <c r="B123" i="13" s="1"/>
  <c r="D123" i="13" s="1"/>
  <c r="I121" i="13"/>
  <c r="G121" i="13"/>
  <c r="G120" i="13"/>
  <c r="G117" i="13"/>
  <c r="G113" i="13"/>
  <c r="G110" i="13"/>
  <c r="I110" i="13" s="1"/>
  <c r="G109" i="13"/>
  <c r="I109" i="13" s="1"/>
  <c r="G108" i="13"/>
  <c r="I108" i="13" s="1"/>
  <c r="I107" i="13"/>
  <c r="G107" i="13"/>
  <c r="G106" i="13"/>
  <c r="I106" i="13" s="1"/>
  <c r="G105" i="13"/>
  <c r="G104" i="13"/>
  <c r="I104" i="13" s="1"/>
  <c r="G101" i="13"/>
  <c r="I101" i="13" s="1"/>
  <c r="I100" i="13"/>
  <c r="G100" i="13"/>
  <c r="G99" i="13"/>
  <c r="I99" i="13" s="1"/>
  <c r="G98" i="13"/>
  <c r="I98" i="13" s="1"/>
  <c r="G95" i="13"/>
  <c r="I95" i="13" s="1"/>
  <c r="G94" i="13"/>
  <c r="I94" i="13" s="1"/>
  <c r="G93" i="13"/>
  <c r="I93" i="13" s="1"/>
  <c r="G92" i="13"/>
  <c r="G91" i="13"/>
  <c r="I91" i="13" s="1"/>
  <c r="G88" i="13"/>
  <c r="G87" i="13"/>
  <c r="I87" i="13" s="1"/>
  <c r="G86" i="13"/>
  <c r="I86" i="13" s="1"/>
  <c r="G83" i="13"/>
  <c r="I83" i="13" s="1"/>
  <c r="G82" i="13"/>
  <c r="G81" i="13"/>
  <c r="G78" i="13"/>
  <c r="I78" i="13" s="1"/>
  <c r="I77" i="13"/>
  <c r="G77" i="13"/>
  <c r="G76" i="13"/>
  <c r="G75" i="13"/>
  <c r="I75" i="13" s="1"/>
  <c r="G74" i="13"/>
  <c r="I74" i="13" s="1"/>
  <c r="I73" i="13"/>
  <c r="G73" i="13"/>
  <c r="G72" i="13"/>
  <c r="I72" i="13" s="1"/>
  <c r="G69" i="13"/>
  <c r="I68" i="13"/>
  <c r="G68" i="13"/>
  <c r="G67" i="13"/>
  <c r="I67" i="13" s="1"/>
  <c r="G64" i="13"/>
  <c r="I64" i="13" s="1"/>
  <c r="G63" i="13"/>
  <c r="B62" i="13" s="1"/>
  <c r="D62" i="13" s="1"/>
  <c r="G60" i="13"/>
  <c r="I60" i="13" s="1"/>
  <c r="G59" i="13"/>
  <c r="I59" i="13" s="1"/>
  <c r="I58" i="13"/>
  <c r="G58" i="13"/>
  <c r="G57" i="13"/>
  <c r="H28" i="13"/>
  <c r="I26" i="13"/>
  <c r="I25" i="13"/>
  <c r="I22" i="13"/>
  <c r="I20" i="13"/>
  <c r="I18" i="13"/>
  <c r="I16" i="13"/>
  <c r="I15" i="13"/>
  <c r="B4" i="13"/>
  <c r="G128" i="12"/>
  <c r="G127" i="12"/>
  <c r="I127" i="12" s="1"/>
  <c r="G124" i="12"/>
  <c r="B123" i="12" s="1"/>
  <c r="D123" i="12" s="1"/>
  <c r="G121" i="12"/>
  <c r="I121" i="12" s="1"/>
  <c r="G120" i="12"/>
  <c r="G117" i="12"/>
  <c r="G113" i="12"/>
  <c r="G110" i="12"/>
  <c r="I110" i="12" s="1"/>
  <c r="G109" i="12"/>
  <c r="I109" i="12" s="1"/>
  <c r="G108" i="12"/>
  <c r="I108" i="12" s="1"/>
  <c r="G107" i="12"/>
  <c r="I107" i="12" s="1"/>
  <c r="G106" i="12"/>
  <c r="I106" i="12" s="1"/>
  <c r="G105" i="12"/>
  <c r="G104" i="12"/>
  <c r="I104" i="12" s="1"/>
  <c r="G101" i="12"/>
  <c r="I101" i="12" s="1"/>
  <c r="G100" i="12"/>
  <c r="G99" i="12"/>
  <c r="I99" i="12" s="1"/>
  <c r="G98" i="12"/>
  <c r="I98" i="12" s="1"/>
  <c r="G95" i="12"/>
  <c r="I95" i="12" s="1"/>
  <c r="G94" i="12"/>
  <c r="I94" i="12" s="1"/>
  <c r="G93" i="12"/>
  <c r="I93" i="12" s="1"/>
  <c r="G92" i="12"/>
  <c r="I92" i="12" s="1"/>
  <c r="G91" i="12"/>
  <c r="I91" i="12" s="1"/>
  <c r="G88" i="12"/>
  <c r="G87" i="12"/>
  <c r="I87" i="12" s="1"/>
  <c r="G86" i="12"/>
  <c r="I86" i="12" s="1"/>
  <c r="I83" i="12"/>
  <c r="G83" i="12"/>
  <c r="G82" i="12"/>
  <c r="G81" i="12"/>
  <c r="G78" i="12"/>
  <c r="I78" i="12" s="1"/>
  <c r="G77" i="12"/>
  <c r="I77" i="12" s="1"/>
  <c r="G76" i="12"/>
  <c r="I76" i="12" s="1"/>
  <c r="G75" i="12"/>
  <c r="I75" i="12" s="1"/>
  <c r="G74" i="12"/>
  <c r="I74" i="12" s="1"/>
  <c r="G73" i="12"/>
  <c r="I73" i="12" s="1"/>
  <c r="G72" i="12"/>
  <c r="G69" i="12"/>
  <c r="I69" i="12" s="1"/>
  <c r="G68" i="12"/>
  <c r="I68" i="12" s="1"/>
  <c r="G67" i="12"/>
  <c r="G64" i="12"/>
  <c r="I64" i="12" s="1"/>
  <c r="G63" i="12"/>
  <c r="G60" i="12"/>
  <c r="I60" i="12" s="1"/>
  <c r="G59" i="12"/>
  <c r="I59" i="12" s="1"/>
  <c r="I58" i="12"/>
  <c r="G58" i="12"/>
  <c r="G57" i="12"/>
  <c r="H28" i="12"/>
  <c r="I26" i="12"/>
  <c r="I25" i="12"/>
  <c r="I22" i="12"/>
  <c r="I16" i="12"/>
  <c r="I15" i="12"/>
  <c r="B4" i="12"/>
  <c r="G128" i="11"/>
  <c r="I128" i="11" s="1"/>
  <c r="G127" i="11"/>
  <c r="G124" i="11"/>
  <c r="B123" i="11" s="1"/>
  <c r="D123" i="11" s="1"/>
  <c r="G121" i="11"/>
  <c r="I121" i="11" s="1"/>
  <c r="G120" i="11"/>
  <c r="G117" i="11"/>
  <c r="G113" i="11"/>
  <c r="G110" i="11"/>
  <c r="I110" i="11" s="1"/>
  <c r="G109" i="11"/>
  <c r="I109" i="11" s="1"/>
  <c r="G108" i="11"/>
  <c r="G107" i="11"/>
  <c r="I107" i="11" s="1"/>
  <c r="G106" i="11"/>
  <c r="I106" i="11" s="1"/>
  <c r="G105" i="11"/>
  <c r="I105" i="11" s="1"/>
  <c r="G104" i="11"/>
  <c r="I104" i="11" s="1"/>
  <c r="G101" i="11"/>
  <c r="I101" i="11" s="1"/>
  <c r="G100" i="11"/>
  <c r="G99" i="11"/>
  <c r="I99" i="11" s="1"/>
  <c r="G98" i="11"/>
  <c r="I98" i="11" s="1"/>
  <c r="G95" i="11"/>
  <c r="I95" i="11" s="1"/>
  <c r="G94" i="11"/>
  <c r="I94" i="11" s="1"/>
  <c r="G93" i="11"/>
  <c r="I93" i="11" s="1"/>
  <c r="G92" i="11"/>
  <c r="I92" i="11" s="1"/>
  <c r="G91" i="11"/>
  <c r="I91" i="11" s="1"/>
  <c r="G88" i="11"/>
  <c r="I88" i="11" s="1"/>
  <c r="G87" i="11"/>
  <c r="I87" i="11" s="1"/>
  <c r="G86" i="11"/>
  <c r="I86" i="11" s="1"/>
  <c r="G83" i="11"/>
  <c r="G82" i="11"/>
  <c r="I82" i="11" s="1"/>
  <c r="G81" i="11"/>
  <c r="G78" i="11"/>
  <c r="I78" i="11" s="1"/>
  <c r="I77" i="11"/>
  <c r="G77" i="11"/>
  <c r="G76" i="11"/>
  <c r="I76" i="11" s="1"/>
  <c r="G75" i="11"/>
  <c r="I75" i="11" s="1"/>
  <c r="G74" i="11"/>
  <c r="G73" i="11"/>
  <c r="I73" i="11" s="1"/>
  <c r="G72" i="11"/>
  <c r="I72" i="11" s="1"/>
  <c r="G69" i="11"/>
  <c r="I69" i="11" s="1"/>
  <c r="G68" i="11"/>
  <c r="I68" i="11" s="1"/>
  <c r="G67" i="11"/>
  <c r="G64" i="11"/>
  <c r="I64" i="11" s="1"/>
  <c r="G63" i="11"/>
  <c r="I60" i="11"/>
  <c r="G60" i="11"/>
  <c r="G59" i="11"/>
  <c r="I59" i="11" s="1"/>
  <c r="G58" i="11"/>
  <c r="I58" i="11" s="1"/>
  <c r="G57" i="11"/>
  <c r="H28" i="11"/>
  <c r="I26" i="11"/>
  <c r="I25" i="11"/>
  <c r="I22" i="11"/>
  <c r="I20" i="11"/>
  <c r="I18" i="11"/>
  <c r="J18" i="16" s="1"/>
  <c r="I16" i="11"/>
  <c r="I15" i="11"/>
  <c r="B4" i="11"/>
  <c r="G128" i="10"/>
  <c r="I128" i="10" s="1"/>
  <c r="G127" i="10"/>
  <c r="B126" i="10" s="1"/>
  <c r="D126" i="10" s="1"/>
  <c r="G124" i="10"/>
  <c r="B123" i="10" s="1"/>
  <c r="D123" i="10" s="1"/>
  <c r="G121" i="10"/>
  <c r="I121" i="10" s="1"/>
  <c r="G120" i="10"/>
  <c r="G117" i="10"/>
  <c r="G113" i="10"/>
  <c r="G110" i="10"/>
  <c r="I110" i="10" s="1"/>
  <c r="G109" i="10"/>
  <c r="I109" i="10" s="1"/>
  <c r="G108" i="10"/>
  <c r="I108" i="10" s="1"/>
  <c r="I107" i="10"/>
  <c r="G107" i="10"/>
  <c r="G106" i="10"/>
  <c r="I106" i="10" s="1"/>
  <c r="G105" i="10"/>
  <c r="I105" i="10" s="1"/>
  <c r="G104" i="10"/>
  <c r="G101" i="10"/>
  <c r="I101" i="10" s="1"/>
  <c r="G100" i="10"/>
  <c r="I100" i="10" s="1"/>
  <c r="G99" i="10"/>
  <c r="G98" i="10"/>
  <c r="I98" i="10" s="1"/>
  <c r="G95" i="10"/>
  <c r="I95" i="10" s="1"/>
  <c r="G94" i="10"/>
  <c r="I94" i="10" s="1"/>
  <c r="G93" i="10"/>
  <c r="I93" i="10" s="1"/>
  <c r="G92" i="10"/>
  <c r="I92" i="10" s="1"/>
  <c r="G91" i="10"/>
  <c r="I91" i="10" s="1"/>
  <c r="G88" i="10"/>
  <c r="B85" i="10" s="1"/>
  <c r="D85" i="10" s="1"/>
  <c r="G87" i="10"/>
  <c r="I87" i="10" s="1"/>
  <c r="I86" i="10"/>
  <c r="G86" i="10"/>
  <c r="I83" i="10"/>
  <c r="G83" i="10"/>
  <c r="G82" i="10"/>
  <c r="I82" i="10" s="1"/>
  <c r="G81" i="10"/>
  <c r="G78" i="10"/>
  <c r="I78" i="10" s="1"/>
  <c r="G77" i="10"/>
  <c r="I77" i="10" s="1"/>
  <c r="G76" i="10"/>
  <c r="I76" i="10" s="1"/>
  <c r="G75" i="10"/>
  <c r="G74" i="10"/>
  <c r="I74" i="10" s="1"/>
  <c r="G73" i="10"/>
  <c r="I73" i="10" s="1"/>
  <c r="G72" i="10"/>
  <c r="I72" i="10" s="1"/>
  <c r="G69" i="10"/>
  <c r="I69" i="10" s="1"/>
  <c r="I68" i="10"/>
  <c r="G68" i="10"/>
  <c r="G67" i="10"/>
  <c r="G64" i="10"/>
  <c r="I64" i="10" s="1"/>
  <c r="G63" i="10"/>
  <c r="G60" i="10"/>
  <c r="I60" i="10" s="1"/>
  <c r="G59" i="10"/>
  <c r="I59" i="10" s="1"/>
  <c r="G58" i="10"/>
  <c r="G57" i="10"/>
  <c r="H28" i="10"/>
  <c r="I26" i="10"/>
  <c r="I25" i="10"/>
  <c r="I22" i="10"/>
  <c r="I20" i="10"/>
  <c r="J20" i="16" s="1"/>
  <c r="I16" i="10"/>
  <c r="I15" i="10"/>
  <c r="C43" i="1"/>
  <c r="B4" i="10"/>
  <c r="G128" i="9"/>
  <c r="I127" i="9"/>
  <c r="G127" i="9"/>
  <c r="G124" i="9"/>
  <c r="B123" i="9" s="1"/>
  <c r="D123" i="9" s="1"/>
  <c r="G121" i="9"/>
  <c r="I121" i="9" s="1"/>
  <c r="G120" i="9"/>
  <c r="G117" i="9"/>
  <c r="G113" i="9"/>
  <c r="G110" i="9"/>
  <c r="I110" i="9" s="1"/>
  <c r="G109" i="9"/>
  <c r="I109" i="9" s="1"/>
  <c r="G108" i="9"/>
  <c r="G107" i="9"/>
  <c r="I107" i="9" s="1"/>
  <c r="G106" i="9"/>
  <c r="I106" i="9" s="1"/>
  <c r="G105" i="9"/>
  <c r="I105" i="9" s="1"/>
  <c r="G104" i="9"/>
  <c r="I104" i="9" s="1"/>
  <c r="G101" i="9"/>
  <c r="I101" i="9" s="1"/>
  <c r="G100" i="9"/>
  <c r="I100" i="9" s="1"/>
  <c r="G99" i="9"/>
  <c r="I99" i="9" s="1"/>
  <c r="G98" i="9"/>
  <c r="G95" i="9"/>
  <c r="G94" i="9"/>
  <c r="I94" i="9" s="1"/>
  <c r="G93" i="9"/>
  <c r="I93" i="9" s="1"/>
  <c r="G92" i="9"/>
  <c r="I92" i="9" s="1"/>
  <c r="I91" i="9"/>
  <c r="G91" i="9"/>
  <c r="G88" i="9"/>
  <c r="B85" i="9" s="1"/>
  <c r="D85" i="9" s="1"/>
  <c r="G87" i="9"/>
  <c r="I87" i="9" s="1"/>
  <c r="I86" i="9"/>
  <c r="G86" i="9"/>
  <c r="I83" i="9"/>
  <c r="G83" i="9"/>
  <c r="G82" i="9"/>
  <c r="I82" i="9" s="1"/>
  <c r="G81" i="9"/>
  <c r="G78" i="9"/>
  <c r="I78" i="9" s="1"/>
  <c r="G77" i="9"/>
  <c r="I77" i="9" s="1"/>
  <c r="G76" i="9"/>
  <c r="I76" i="9" s="1"/>
  <c r="I75" i="9"/>
  <c r="G75" i="9"/>
  <c r="G74" i="9"/>
  <c r="G73" i="9"/>
  <c r="I73" i="9" s="1"/>
  <c r="G72" i="9"/>
  <c r="I72" i="9" s="1"/>
  <c r="G69" i="9"/>
  <c r="I69" i="9" s="1"/>
  <c r="G68" i="9"/>
  <c r="I68" i="9" s="1"/>
  <c r="G67" i="9"/>
  <c r="G64" i="9"/>
  <c r="G63" i="9"/>
  <c r="I63" i="9" s="1"/>
  <c r="G60" i="9"/>
  <c r="I60" i="9" s="1"/>
  <c r="G59" i="9"/>
  <c r="I59" i="9" s="1"/>
  <c r="G58" i="9"/>
  <c r="I58" i="9" s="1"/>
  <c r="G57" i="9"/>
  <c r="I57" i="9" s="1"/>
  <c r="M42" i="9"/>
  <c r="H28" i="9"/>
  <c r="I26" i="9"/>
  <c r="I25" i="9"/>
  <c r="I22" i="9"/>
  <c r="I20" i="9"/>
  <c r="I16" i="9"/>
  <c r="I15" i="9"/>
  <c r="B4" i="9"/>
  <c r="G128" i="8"/>
  <c r="I128" i="8" s="1"/>
  <c r="G127" i="8"/>
  <c r="G124" i="8"/>
  <c r="G121" i="8"/>
  <c r="I121" i="8" s="1"/>
  <c r="G120" i="8"/>
  <c r="B119" i="8" s="1"/>
  <c r="D119" i="8" s="1"/>
  <c r="G117" i="8"/>
  <c r="B116" i="8" s="1"/>
  <c r="I113" i="8"/>
  <c r="G113" i="8"/>
  <c r="B112" i="8" s="1"/>
  <c r="I110" i="8"/>
  <c r="G110" i="8"/>
  <c r="G109" i="8"/>
  <c r="I109" i="8" s="1"/>
  <c r="G108" i="8"/>
  <c r="I108" i="8" s="1"/>
  <c r="G107" i="8"/>
  <c r="I107" i="8" s="1"/>
  <c r="G106" i="8"/>
  <c r="I106" i="8" s="1"/>
  <c r="G105" i="8"/>
  <c r="I104" i="8"/>
  <c r="G104" i="8"/>
  <c r="I101" i="8"/>
  <c r="G101" i="8"/>
  <c r="G100" i="8"/>
  <c r="G99" i="8"/>
  <c r="I99" i="8" s="1"/>
  <c r="G98" i="8"/>
  <c r="I98" i="8" s="1"/>
  <c r="G95" i="8"/>
  <c r="I95" i="8" s="1"/>
  <c r="G94" i="8"/>
  <c r="I94" i="8" s="1"/>
  <c r="G93" i="8"/>
  <c r="I92" i="8"/>
  <c r="G92" i="8"/>
  <c r="G91" i="8"/>
  <c r="I91" i="8" s="1"/>
  <c r="G88" i="8"/>
  <c r="I87" i="8"/>
  <c r="G87" i="8"/>
  <c r="G86" i="8"/>
  <c r="I86" i="8" s="1"/>
  <c r="G83" i="8"/>
  <c r="G82" i="8"/>
  <c r="I82" i="8" s="1"/>
  <c r="G81" i="8"/>
  <c r="I81" i="8" s="1"/>
  <c r="G78" i="8"/>
  <c r="I78" i="8" s="1"/>
  <c r="G77" i="8"/>
  <c r="I77" i="8" s="1"/>
  <c r="I76" i="8"/>
  <c r="G76" i="8"/>
  <c r="G75" i="8"/>
  <c r="I75" i="8" s="1"/>
  <c r="G74" i="8"/>
  <c r="G73" i="8"/>
  <c r="I73" i="8" s="1"/>
  <c r="G72" i="8"/>
  <c r="I72" i="8" s="1"/>
  <c r="I69" i="8"/>
  <c r="G69" i="8"/>
  <c r="G68" i="8"/>
  <c r="I68" i="8" s="1"/>
  <c r="G67" i="8"/>
  <c r="G64" i="8"/>
  <c r="G63" i="8"/>
  <c r="I63" i="8" s="1"/>
  <c r="G60" i="8"/>
  <c r="I60" i="8" s="1"/>
  <c r="G59" i="8"/>
  <c r="G58" i="8"/>
  <c r="I58" i="8" s="1"/>
  <c r="I57" i="8"/>
  <c r="G57" i="8"/>
  <c r="N42" i="8"/>
  <c r="M42" i="8"/>
  <c r="H28" i="8"/>
  <c r="I26" i="8"/>
  <c r="I25" i="8"/>
  <c r="I22" i="8"/>
  <c r="I16" i="8"/>
  <c r="I15" i="8"/>
  <c r="B4" i="8"/>
  <c r="G128" i="7"/>
  <c r="I128" i="7" s="1"/>
  <c r="G127" i="7"/>
  <c r="I127" i="7" s="1"/>
  <c r="G124" i="7"/>
  <c r="G121" i="7"/>
  <c r="I121" i="7" s="1"/>
  <c r="G120" i="7"/>
  <c r="G117" i="7"/>
  <c r="B116" i="7" s="1"/>
  <c r="I113" i="7"/>
  <c r="G113" i="7"/>
  <c r="B112" i="7" s="1"/>
  <c r="D112" i="7" s="1"/>
  <c r="I110" i="7"/>
  <c r="G110" i="7"/>
  <c r="G109" i="7"/>
  <c r="I109" i="7" s="1"/>
  <c r="G108" i="7"/>
  <c r="I108" i="7" s="1"/>
  <c r="G107" i="7"/>
  <c r="I107" i="7" s="1"/>
  <c r="G106" i="7"/>
  <c r="I106" i="7" s="1"/>
  <c r="G105" i="7"/>
  <c r="I105" i="7" s="1"/>
  <c r="G104" i="7"/>
  <c r="I101" i="7"/>
  <c r="G101" i="7"/>
  <c r="G100" i="7"/>
  <c r="I100" i="7" s="1"/>
  <c r="G99" i="7"/>
  <c r="I99" i="7" s="1"/>
  <c r="G98" i="7"/>
  <c r="I98" i="7" s="1"/>
  <c r="G95" i="7"/>
  <c r="I95" i="7" s="1"/>
  <c r="G94" i="7"/>
  <c r="I94" i="7" s="1"/>
  <c r="G93" i="7"/>
  <c r="I93" i="7" s="1"/>
  <c r="G92" i="7"/>
  <c r="G91" i="7"/>
  <c r="I91" i="7" s="1"/>
  <c r="G88" i="7"/>
  <c r="I88" i="7" s="1"/>
  <c r="I87" i="7"/>
  <c r="G87" i="7"/>
  <c r="G86" i="7"/>
  <c r="G83" i="7"/>
  <c r="I83" i="7" s="1"/>
  <c r="G82" i="7"/>
  <c r="B80" i="7" s="1"/>
  <c r="D80" i="7" s="1"/>
  <c r="G81" i="7"/>
  <c r="I81" i="7" s="1"/>
  <c r="G78" i="7"/>
  <c r="I78" i="7" s="1"/>
  <c r="G77" i="7"/>
  <c r="I77" i="7" s="1"/>
  <c r="I76" i="7"/>
  <c r="G76" i="7"/>
  <c r="G75" i="7"/>
  <c r="I75" i="7" s="1"/>
  <c r="G74" i="7"/>
  <c r="I74" i="7" s="1"/>
  <c r="G73" i="7"/>
  <c r="I73" i="7" s="1"/>
  <c r="I72" i="7"/>
  <c r="G72" i="7"/>
  <c r="I69" i="7"/>
  <c r="G69" i="7"/>
  <c r="G68" i="7"/>
  <c r="I68" i="7" s="1"/>
  <c r="G67" i="7"/>
  <c r="G64" i="7"/>
  <c r="G63" i="7"/>
  <c r="I63" i="7" s="1"/>
  <c r="G60" i="7"/>
  <c r="I60" i="7" s="1"/>
  <c r="G59" i="7"/>
  <c r="I59" i="7" s="1"/>
  <c r="G58" i="7"/>
  <c r="I58" i="7" s="1"/>
  <c r="G57" i="7"/>
  <c r="I57" i="7" s="1"/>
  <c r="N42" i="7"/>
  <c r="M42" i="7"/>
  <c r="H28" i="7"/>
  <c r="I26" i="7"/>
  <c r="I25" i="7"/>
  <c r="I22" i="7"/>
  <c r="I16" i="7"/>
  <c r="I15" i="7"/>
  <c r="B4" i="7"/>
  <c r="G128" i="6"/>
  <c r="I128" i="6" s="1"/>
  <c r="G127" i="6"/>
  <c r="G124" i="6"/>
  <c r="B123" i="6" s="1"/>
  <c r="D123" i="6" s="1"/>
  <c r="G121" i="6"/>
  <c r="G120" i="6"/>
  <c r="G117" i="6"/>
  <c r="G113" i="6"/>
  <c r="G110" i="6"/>
  <c r="I110" i="6" s="1"/>
  <c r="G109" i="6"/>
  <c r="I109" i="6" s="1"/>
  <c r="G108" i="6"/>
  <c r="I108" i="6" s="1"/>
  <c r="G107" i="6"/>
  <c r="G106" i="6"/>
  <c r="I106" i="6" s="1"/>
  <c r="G105" i="6"/>
  <c r="G104" i="6"/>
  <c r="I104" i="6" s="1"/>
  <c r="G101" i="6"/>
  <c r="I101" i="6" s="1"/>
  <c r="G100" i="6"/>
  <c r="G99" i="6"/>
  <c r="I99" i="6" s="1"/>
  <c r="G98" i="6"/>
  <c r="I98" i="6" s="1"/>
  <c r="G95" i="6"/>
  <c r="G94" i="6"/>
  <c r="I94" i="6" s="1"/>
  <c r="G93" i="6"/>
  <c r="G92" i="6"/>
  <c r="I92" i="6" s="1"/>
  <c r="G91" i="6"/>
  <c r="I91" i="6" s="1"/>
  <c r="G88" i="6"/>
  <c r="G87" i="6"/>
  <c r="G86" i="6"/>
  <c r="G83" i="6"/>
  <c r="G82" i="6"/>
  <c r="I82" i="6" s="1"/>
  <c r="G81" i="6"/>
  <c r="B80" i="6" s="1"/>
  <c r="D80" i="6" s="1"/>
  <c r="G78" i="6"/>
  <c r="I78" i="6" s="1"/>
  <c r="G77" i="6"/>
  <c r="G76" i="6"/>
  <c r="I76" i="6" s="1"/>
  <c r="I75" i="6"/>
  <c r="G75" i="6"/>
  <c r="G74" i="6"/>
  <c r="I74" i="6" s="1"/>
  <c r="G73" i="6"/>
  <c r="G72" i="6"/>
  <c r="G69" i="6"/>
  <c r="I69" i="6" s="1"/>
  <c r="G68" i="6"/>
  <c r="G67" i="6"/>
  <c r="G64" i="6"/>
  <c r="G63" i="6"/>
  <c r="G60" i="6"/>
  <c r="G59" i="6"/>
  <c r="I59" i="6" s="1"/>
  <c r="G58" i="6"/>
  <c r="G57" i="6"/>
  <c r="N42" i="6"/>
  <c r="M42" i="6"/>
  <c r="H46" i="6"/>
  <c r="H28" i="6"/>
  <c r="I26" i="6"/>
  <c r="I25" i="6"/>
  <c r="I22" i="6"/>
  <c r="I16" i="6"/>
  <c r="I15" i="6"/>
  <c r="B4" i="6"/>
  <c r="C126" i="5"/>
  <c r="C123" i="5"/>
  <c r="C119" i="5"/>
  <c r="C116" i="5"/>
  <c r="C112" i="5"/>
  <c r="C103" i="5"/>
  <c r="C97" i="5"/>
  <c r="C90" i="5"/>
  <c r="C85" i="5"/>
  <c r="C80" i="5"/>
  <c r="C71" i="5"/>
  <c r="C66" i="5"/>
  <c r="C62" i="5"/>
  <c r="C56" i="5"/>
  <c r="G58" i="5"/>
  <c r="I58" i="5" s="1"/>
  <c r="J58" i="5" s="1"/>
  <c r="G59" i="5"/>
  <c r="I59" i="5" s="1"/>
  <c r="J59" i="5" s="1"/>
  <c r="G60" i="5"/>
  <c r="I60" i="5" s="1"/>
  <c r="J60" i="5" s="1"/>
  <c r="G63" i="5"/>
  <c r="I63" i="5" s="1"/>
  <c r="J63" i="5" s="1"/>
  <c r="G64" i="5"/>
  <c r="I64" i="5" s="1"/>
  <c r="J64" i="5" s="1"/>
  <c r="G67" i="5"/>
  <c r="I67" i="5" s="1"/>
  <c r="J67" i="5" s="1"/>
  <c r="G68" i="5"/>
  <c r="I68" i="5" s="1"/>
  <c r="J68" i="5" s="1"/>
  <c r="G69" i="5"/>
  <c r="I69" i="5" s="1"/>
  <c r="J69" i="5" s="1"/>
  <c r="G72" i="5"/>
  <c r="I72" i="5" s="1"/>
  <c r="J72" i="5" s="1"/>
  <c r="G73" i="5"/>
  <c r="I73" i="5" s="1"/>
  <c r="J73" i="5" s="1"/>
  <c r="G74" i="5"/>
  <c r="I74" i="5" s="1"/>
  <c r="J74" i="5" s="1"/>
  <c r="G75" i="5"/>
  <c r="I75" i="5" s="1"/>
  <c r="J75" i="5" s="1"/>
  <c r="G76" i="5"/>
  <c r="I76" i="5" s="1"/>
  <c r="J76" i="5" s="1"/>
  <c r="G77" i="5"/>
  <c r="I77" i="5" s="1"/>
  <c r="J77" i="5" s="1"/>
  <c r="G78" i="5"/>
  <c r="I78" i="5" s="1"/>
  <c r="J78" i="5" s="1"/>
  <c r="G81" i="5"/>
  <c r="G82" i="5"/>
  <c r="I82" i="5" s="1"/>
  <c r="G83" i="5"/>
  <c r="I83" i="5" s="1"/>
  <c r="J83" i="5" s="1"/>
  <c r="G86" i="5"/>
  <c r="G87" i="5"/>
  <c r="G88" i="5"/>
  <c r="I88" i="5" s="1"/>
  <c r="J88" i="5" s="1"/>
  <c r="G91" i="5"/>
  <c r="G92" i="5"/>
  <c r="I92" i="5" s="1"/>
  <c r="J92" i="5" s="1"/>
  <c r="G93" i="5"/>
  <c r="I93" i="5" s="1"/>
  <c r="J93" i="5" s="1"/>
  <c r="G95" i="5"/>
  <c r="I95" i="5" s="1"/>
  <c r="J95" i="5" s="1"/>
  <c r="G98" i="5"/>
  <c r="G99" i="5"/>
  <c r="I99" i="5" s="1"/>
  <c r="G100" i="5"/>
  <c r="I100" i="5" s="1"/>
  <c r="J100" i="5" s="1"/>
  <c r="G101" i="5"/>
  <c r="I101" i="5" s="1"/>
  <c r="J101" i="5" s="1"/>
  <c r="G104" i="5"/>
  <c r="G105" i="5"/>
  <c r="I105" i="5" s="1"/>
  <c r="G106" i="5"/>
  <c r="I106" i="5" s="1"/>
  <c r="G107" i="5"/>
  <c r="I107" i="5" s="1"/>
  <c r="G108" i="5"/>
  <c r="I108" i="5" s="1"/>
  <c r="J108" i="5" s="1"/>
  <c r="G109" i="5"/>
  <c r="I109" i="5" s="1"/>
  <c r="J109" i="5" s="1"/>
  <c r="G110" i="5"/>
  <c r="G113" i="5"/>
  <c r="I113" i="5" s="1"/>
  <c r="G117" i="5"/>
  <c r="G120" i="5"/>
  <c r="G121" i="5"/>
  <c r="I121" i="5" s="1"/>
  <c r="J121" i="5" s="1"/>
  <c r="G124" i="5"/>
  <c r="I124" i="5" s="1"/>
  <c r="J124" i="5" s="1"/>
  <c r="G127" i="5"/>
  <c r="G128" i="5"/>
  <c r="I128" i="5" s="1"/>
  <c r="J128" i="5" s="1"/>
  <c r="G133" i="5"/>
  <c r="I133" i="5" s="1"/>
  <c r="G135" i="5"/>
  <c r="I135" i="5" s="1"/>
  <c r="G136" i="5"/>
  <c r="G137" i="5"/>
  <c r="I137" i="5" s="1"/>
  <c r="J137" i="5" s="1"/>
  <c r="G138" i="5"/>
  <c r="I138" i="5" s="1"/>
  <c r="J138" i="5" s="1"/>
  <c r="G140" i="5"/>
  <c r="I140" i="5" s="1"/>
  <c r="G57" i="5"/>
  <c r="M46" i="5"/>
  <c r="N46" i="5"/>
  <c r="L46" i="5"/>
  <c r="I15" i="5"/>
  <c r="J15" i="5" s="1"/>
  <c r="I16" i="5"/>
  <c r="I22" i="5"/>
  <c r="I25" i="5"/>
  <c r="I26" i="5"/>
  <c r="J131" i="13"/>
  <c r="H28" i="5"/>
  <c r="I81" i="5"/>
  <c r="J81" i="5" s="1"/>
  <c r="I110" i="5"/>
  <c r="I98" i="5"/>
  <c r="J98" i="5" s="1"/>
  <c r="I94" i="5"/>
  <c r="J94" i="5" s="1"/>
  <c r="I91" i="5"/>
  <c r="I87" i="5"/>
  <c r="J87" i="5" s="1"/>
  <c r="B62" i="5"/>
  <c r="G70" i="2"/>
  <c r="G69" i="2"/>
  <c r="I90" i="2"/>
  <c r="G87" i="2"/>
  <c r="G161" i="2"/>
  <c r="G169" i="2"/>
  <c r="G183" i="2"/>
  <c r="G184" i="2"/>
  <c r="G185" i="2"/>
  <c r="G186" i="2"/>
  <c r="G79" i="2"/>
  <c r="G78" i="2"/>
  <c r="G76" i="2"/>
  <c r="G154" i="2"/>
  <c r="G155" i="2"/>
  <c r="G156" i="2"/>
  <c r="G157" i="2"/>
  <c r="G158" i="2"/>
  <c r="G152" i="2"/>
  <c r="G111" i="2"/>
  <c r="G112" i="2"/>
  <c r="G120" i="2"/>
  <c r="G121" i="2"/>
  <c r="G122" i="2"/>
  <c r="G123" i="2"/>
  <c r="G124" i="2"/>
  <c r="G125" i="2"/>
  <c r="G139" i="2"/>
  <c r="G140" i="2"/>
  <c r="G141" i="2"/>
  <c r="G142" i="2"/>
  <c r="G146" i="2"/>
  <c r="G147" i="2"/>
  <c r="G148" i="2"/>
  <c r="G143" i="2"/>
  <c r="I113" i="10" l="1"/>
  <c r="B112" i="10"/>
  <c r="D112" i="10" s="1"/>
  <c r="I67" i="15"/>
  <c r="B66" i="15"/>
  <c r="D66" i="15" s="1"/>
  <c r="D131" i="6"/>
  <c r="G37" i="6"/>
  <c r="G72" i="2"/>
  <c r="B80" i="5"/>
  <c r="D80" i="5" s="1"/>
  <c r="J110" i="13"/>
  <c r="J25" i="16"/>
  <c r="I57" i="5"/>
  <c r="G46" i="5"/>
  <c r="H15" i="1" s="1"/>
  <c r="B126" i="6"/>
  <c r="D126" i="6" s="1"/>
  <c r="B62" i="7"/>
  <c r="D62" i="7" s="1"/>
  <c r="B62" i="8"/>
  <c r="D62" i="8" s="1"/>
  <c r="I67" i="9"/>
  <c r="J67" i="15" s="1"/>
  <c r="B66" i="9"/>
  <c r="D66" i="9" s="1"/>
  <c r="B80" i="10"/>
  <c r="D80" i="10" s="1"/>
  <c r="I88" i="10"/>
  <c r="I124" i="10"/>
  <c r="G46" i="11"/>
  <c r="H21" i="1" s="1"/>
  <c r="I67" i="11"/>
  <c r="B66" i="11"/>
  <c r="D66" i="11" s="1"/>
  <c r="B97" i="11"/>
  <c r="D97" i="11" s="1"/>
  <c r="B126" i="11"/>
  <c r="D126" i="11" s="1"/>
  <c r="B85" i="13"/>
  <c r="D85" i="13" s="1"/>
  <c r="B56" i="14"/>
  <c r="D56" i="14" s="1"/>
  <c r="I67" i="14"/>
  <c r="B85" i="15"/>
  <c r="D85" i="15" s="1"/>
  <c r="B85" i="16"/>
  <c r="D85" i="16" s="1"/>
  <c r="I124" i="16"/>
  <c r="D131" i="8"/>
  <c r="G37" i="8"/>
  <c r="I113" i="13"/>
  <c r="B112" i="13"/>
  <c r="D112" i="13" s="1"/>
  <c r="B66" i="7"/>
  <c r="D66" i="7" s="1"/>
  <c r="I124" i="7"/>
  <c r="B123" i="7"/>
  <c r="D123" i="7" s="1"/>
  <c r="B66" i="8"/>
  <c r="D66" i="8" s="1"/>
  <c r="B97" i="9"/>
  <c r="D97" i="9" s="1"/>
  <c r="I67" i="10"/>
  <c r="B66" i="10"/>
  <c r="D66" i="10" s="1"/>
  <c r="I113" i="15"/>
  <c r="B112" i="15"/>
  <c r="D112" i="15" s="1"/>
  <c r="B80" i="16"/>
  <c r="D80" i="16" s="1"/>
  <c r="D131" i="9"/>
  <c r="G37" i="9"/>
  <c r="G46" i="6"/>
  <c r="H16" i="1" s="1"/>
  <c r="I67" i="7"/>
  <c r="B71" i="7"/>
  <c r="D71" i="7" s="1"/>
  <c r="I67" i="8"/>
  <c r="B80" i="9"/>
  <c r="D80" i="9" s="1"/>
  <c r="I57" i="10"/>
  <c r="G46" i="10"/>
  <c r="H20" i="1" s="1"/>
  <c r="B62" i="12"/>
  <c r="D62" i="12" s="1"/>
  <c r="B80" i="14"/>
  <c r="D80" i="14" s="1"/>
  <c r="I117" i="14"/>
  <c r="D116" i="14" s="1"/>
  <c r="I117" i="15"/>
  <c r="D116" i="15" s="1"/>
  <c r="B116" i="15"/>
  <c r="I113" i="16"/>
  <c r="B112" i="16"/>
  <c r="D112" i="16" s="1"/>
  <c r="D131" i="10"/>
  <c r="G37" i="10"/>
  <c r="G37" i="7"/>
  <c r="C45" i="1"/>
  <c r="J43" i="1"/>
  <c r="D131" i="16"/>
  <c r="G37" i="16"/>
  <c r="I68" i="16"/>
  <c r="B126" i="16"/>
  <c r="D126" i="16" s="1"/>
  <c r="I117" i="16"/>
  <c r="D116" i="16" s="1"/>
  <c r="B116" i="16"/>
  <c r="I127" i="16"/>
  <c r="I64" i="16"/>
  <c r="B62" i="16"/>
  <c r="D62" i="16" s="1"/>
  <c r="B71" i="16"/>
  <c r="D71" i="16" s="1"/>
  <c r="I88" i="16"/>
  <c r="I120" i="16"/>
  <c r="B119" i="16"/>
  <c r="D119" i="16" s="1"/>
  <c r="I100" i="16"/>
  <c r="B103" i="16"/>
  <c r="D103" i="16" s="1"/>
  <c r="I109" i="16"/>
  <c r="B90" i="15"/>
  <c r="D90" i="15" s="1"/>
  <c r="B103" i="15"/>
  <c r="D103" i="15" s="1"/>
  <c r="I92" i="16"/>
  <c r="B90" i="16"/>
  <c r="I82" i="15"/>
  <c r="B80" i="15"/>
  <c r="D80" i="15" s="1"/>
  <c r="I72" i="15"/>
  <c r="B71" i="15"/>
  <c r="D71" i="15" s="1"/>
  <c r="B97" i="15"/>
  <c r="D97" i="15" s="1"/>
  <c r="I100" i="15"/>
  <c r="I105" i="15"/>
  <c r="I88" i="15"/>
  <c r="G46" i="16"/>
  <c r="H26" i="1" s="1"/>
  <c r="B56" i="16"/>
  <c r="D56" i="16" s="1"/>
  <c r="E42" i="16"/>
  <c r="G46" i="14"/>
  <c r="I120" i="15"/>
  <c r="B119" i="15"/>
  <c r="D119" i="15" s="1"/>
  <c r="I63" i="13"/>
  <c r="I76" i="13"/>
  <c r="B71" i="13"/>
  <c r="D71" i="13" s="1"/>
  <c r="I82" i="13"/>
  <c r="J82" i="16" s="1"/>
  <c r="B80" i="13"/>
  <c r="D80" i="13" s="1"/>
  <c r="I117" i="13"/>
  <c r="D116" i="13" s="1"/>
  <c r="B116" i="13"/>
  <c r="I128" i="13"/>
  <c r="J128" i="13" s="1"/>
  <c r="B126" i="13"/>
  <c r="D126" i="13" s="1"/>
  <c r="I113" i="12"/>
  <c r="B112" i="12"/>
  <c r="D112" i="12" s="1"/>
  <c r="B97" i="12"/>
  <c r="D97" i="12" s="1"/>
  <c r="I67" i="12"/>
  <c r="B66" i="12"/>
  <c r="D66" i="12" s="1"/>
  <c r="I117" i="12"/>
  <c r="D116" i="12" s="1"/>
  <c r="B116" i="12"/>
  <c r="B85" i="12"/>
  <c r="D85" i="12" s="1"/>
  <c r="I88" i="12"/>
  <c r="G46" i="12"/>
  <c r="I88" i="14"/>
  <c r="B85" i="14"/>
  <c r="D85" i="14" s="1"/>
  <c r="I113" i="14"/>
  <c r="I127" i="14"/>
  <c r="B126" i="14"/>
  <c r="D126" i="14" s="1"/>
  <c r="I57" i="14"/>
  <c r="I57" i="15"/>
  <c r="G46" i="15"/>
  <c r="B56" i="15"/>
  <c r="E46" i="15" s="1"/>
  <c r="E42" i="15"/>
  <c r="I88" i="13"/>
  <c r="B103" i="13"/>
  <c r="D103" i="13" s="1"/>
  <c r="I82" i="14"/>
  <c r="I63" i="14"/>
  <c r="B62" i="14"/>
  <c r="D62" i="14" s="1"/>
  <c r="D131" i="14"/>
  <c r="G37" i="14"/>
  <c r="I124" i="14"/>
  <c r="B123" i="14"/>
  <c r="D123" i="14" s="1"/>
  <c r="I92" i="13"/>
  <c r="B90" i="13"/>
  <c r="D90" i="13" s="1"/>
  <c r="I100" i="14"/>
  <c r="B97" i="14"/>
  <c r="D97" i="14" s="1"/>
  <c r="E42" i="14"/>
  <c r="I105" i="14"/>
  <c r="B103" i="14"/>
  <c r="D103" i="14" s="1"/>
  <c r="I120" i="14"/>
  <c r="I95" i="14"/>
  <c r="B90" i="14"/>
  <c r="D90" i="14" s="1"/>
  <c r="B71" i="14"/>
  <c r="I120" i="13"/>
  <c r="B119" i="13"/>
  <c r="D119" i="13" s="1"/>
  <c r="D131" i="13"/>
  <c r="G37" i="13"/>
  <c r="I105" i="13"/>
  <c r="I69" i="13"/>
  <c r="B66" i="13"/>
  <c r="D66" i="13" s="1"/>
  <c r="I57" i="13"/>
  <c r="B56" i="13"/>
  <c r="E42" i="13"/>
  <c r="G46" i="13"/>
  <c r="H23" i="1" s="1"/>
  <c r="B97" i="13"/>
  <c r="D97" i="13" s="1"/>
  <c r="D131" i="12"/>
  <c r="G37" i="12"/>
  <c r="B103" i="12"/>
  <c r="D103" i="12" s="1"/>
  <c r="I63" i="12"/>
  <c r="I82" i="12"/>
  <c r="J82" i="14" s="1"/>
  <c r="B80" i="12"/>
  <c r="D80" i="12" s="1"/>
  <c r="I120" i="12"/>
  <c r="B119" i="12"/>
  <c r="D119" i="12" s="1"/>
  <c r="I124" i="12"/>
  <c r="B90" i="12"/>
  <c r="D90" i="12" s="1"/>
  <c r="I72" i="12"/>
  <c r="J72" i="12" s="1"/>
  <c r="B71" i="12"/>
  <c r="D71" i="12" s="1"/>
  <c r="I128" i="12"/>
  <c r="J128" i="15" s="1"/>
  <c r="B126" i="12"/>
  <c r="D126" i="12" s="1"/>
  <c r="I105" i="12"/>
  <c r="I100" i="12"/>
  <c r="I100" i="11"/>
  <c r="B80" i="11"/>
  <c r="D80" i="11" s="1"/>
  <c r="I57" i="12"/>
  <c r="B56" i="12"/>
  <c r="E42" i="12"/>
  <c r="I83" i="11"/>
  <c r="I113" i="11"/>
  <c r="J113" i="16" s="1"/>
  <c r="B112" i="11"/>
  <c r="D112" i="11" s="1"/>
  <c r="B90" i="11"/>
  <c r="D90" i="11" s="1"/>
  <c r="B62" i="11"/>
  <c r="D62" i="11" s="1"/>
  <c r="I120" i="11"/>
  <c r="B119" i="11"/>
  <c r="D119" i="11" s="1"/>
  <c r="I63" i="11"/>
  <c r="I124" i="11"/>
  <c r="D131" i="11"/>
  <c r="G37" i="11"/>
  <c r="I57" i="11"/>
  <c r="B56" i="11"/>
  <c r="I127" i="11"/>
  <c r="B85" i="11"/>
  <c r="D85" i="11" s="1"/>
  <c r="I117" i="11"/>
  <c r="D116" i="11" s="1"/>
  <c r="B116" i="11"/>
  <c r="I108" i="11"/>
  <c r="J108" i="11" s="1"/>
  <c r="B103" i="11"/>
  <c r="D103" i="11" s="1"/>
  <c r="I74" i="11"/>
  <c r="B71" i="11"/>
  <c r="E42" i="11"/>
  <c r="I117" i="10"/>
  <c r="D116" i="10" s="1"/>
  <c r="B116" i="10"/>
  <c r="I127" i="10"/>
  <c r="B62" i="10"/>
  <c r="D62" i="10" s="1"/>
  <c r="I63" i="10"/>
  <c r="I120" i="10"/>
  <c r="B119" i="10"/>
  <c r="I99" i="10"/>
  <c r="J99" i="12" s="1"/>
  <c r="B97" i="10"/>
  <c r="D97" i="10" s="1"/>
  <c r="B90" i="10"/>
  <c r="D90" i="10" s="1"/>
  <c r="B71" i="10"/>
  <c r="D71" i="10" s="1"/>
  <c r="I75" i="10"/>
  <c r="J75" i="11" s="1"/>
  <c r="I128" i="9"/>
  <c r="B126" i="9"/>
  <c r="D126" i="9" s="1"/>
  <c r="I88" i="9"/>
  <c r="I98" i="9"/>
  <c r="J98" i="16" s="1"/>
  <c r="I74" i="9"/>
  <c r="B71" i="9"/>
  <c r="D71" i="9" s="1"/>
  <c r="I124" i="9"/>
  <c r="I104" i="10"/>
  <c r="B103" i="10"/>
  <c r="D103" i="10" s="1"/>
  <c r="I46" i="10"/>
  <c r="B56" i="10"/>
  <c r="E42" i="10"/>
  <c r="I58" i="10"/>
  <c r="I64" i="9"/>
  <c r="B62" i="9"/>
  <c r="D62" i="9" s="1"/>
  <c r="I117" i="9"/>
  <c r="D116" i="9" s="1"/>
  <c r="B116" i="9"/>
  <c r="G46" i="9"/>
  <c r="H19" i="1" s="1"/>
  <c r="B56" i="9"/>
  <c r="B56" i="8"/>
  <c r="I59" i="8"/>
  <c r="B90" i="9"/>
  <c r="D90" i="9" s="1"/>
  <c r="I95" i="9"/>
  <c r="B71" i="8"/>
  <c r="D71" i="8" s="1"/>
  <c r="I108" i="9"/>
  <c r="B103" i="9"/>
  <c r="I113" i="9"/>
  <c r="B112" i="9"/>
  <c r="D112" i="9" s="1"/>
  <c r="I120" i="9"/>
  <c r="B119" i="9"/>
  <c r="D119" i="9" s="1"/>
  <c r="E42" i="9"/>
  <c r="I124" i="8"/>
  <c r="B123" i="8"/>
  <c r="D123" i="8" s="1"/>
  <c r="I100" i="8"/>
  <c r="B97" i="8"/>
  <c r="D97" i="8" s="1"/>
  <c r="I117" i="8"/>
  <c r="D116" i="8" s="1"/>
  <c r="I120" i="8"/>
  <c r="I64" i="8"/>
  <c r="J64" i="16" s="1"/>
  <c r="G46" i="8"/>
  <c r="H18" i="1" s="1"/>
  <c r="I74" i="8"/>
  <c r="J74" i="11" s="1"/>
  <c r="I88" i="8"/>
  <c r="B85" i="8"/>
  <c r="D85" i="8" s="1"/>
  <c r="I93" i="8"/>
  <c r="B90" i="8"/>
  <c r="D90" i="8" s="1"/>
  <c r="I82" i="7"/>
  <c r="B126" i="7"/>
  <c r="D126" i="7" s="1"/>
  <c r="B119" i="7"/>
  <c r="G46" i="7"/>
  <c r="J106" i="16"/>
  <c r="I105" i="8"/>
  <c r="B103" i="8"/>
  <c r="I83" i="8"/>
  <c r="J83" i="12" s="1"/>
  <c r="B80" i="8"/>
  <c r="D80" i="8" s="1"/>
  <c r="E42" i="8"/>
  <c r="I127" i="8"/>
  <c r="B126" i="8"/>
  <c r="D126" i="8" s="1"/>
  <c r="B97" i="7"/>
  <c r="D97" i="7" s="1"/>
  <c r="I117" i="7"/>
  <c r="D116" i="7" s="1"/>
  <c r="B90" i="7"/>
  <c r="D90" i="7" s="1"/>
  <c r="I92" i="7"/>
  <c r="J92" i="8" s="1"/>
  <c r="I64" i="7"/>
  <c r="B103" i="7"/>
  <c r="D103" i="7" s="1"/>
  <c r="I86" i="7"/>
  <c r="B85" i="7"/>
  <c r="D85" i="7" s="1"/>
  <c r="I120" i="7"/>
  <c r="I104" i="7"/>
  <c r="I72" i="6"/>
  <c r="B71" i="6"/>
  <c r="D71" i="6" s="1"/>
  <c r="B56" i="7"/>
  <c r="E42" i="7"/>
  <c r="L42" i="6"/>
  <c r="B90" i="6"/>
  <c r="D90" i="6" s="1"/>
  <c r="I117" i="6"/>
  <c r="D116" i="6" s="1"/>
  <c r="B116" i="6"/>
  <c r="I64" i="6"/>
  <c r="B62" i="6"/>
  <c r="D62" i="6" s="1"/>
  <c r="I113" i="6"/>
  <c r="B112" i="6"/>
  <c r="D112" i="6" s="1"/>
  <c r="J16" i="16"/>
  <c r="I120" i="6"/>
  <c r="B119" i="6"/>
  <c r="D119" i="6" s="1"/>
  <c r="M42" i="5"/>
  <c r="B97" i="6"/>
  <c r="D97" i="6" s="1"/>
  <c r="B103" i="6"/>
  <c r="D103" i="6" s="1"/>
  <c r="I67" i="6"/>
  <c r="B66" i="6"/>
  <c r="D66" i="6" s="1"/>
  <c r="I87" i="6"/>
  <c r="B85" i="6"/>
  <c r="D85" i="6" s="1"/>
  <c r="I57" i="6"/>
  <c r="B56" i="6"/>
  <c r="C43" i="5"/>
  <c r="F121" i="2"/>
  <c r="F123" i="2"/>
  <c r="H123" i="2" s="1"/>
  <c r="F148" i="2"/>
  <c r="F134" i="2"/>
  <c r="F136" i="2"/>
  <c r="H79" i="2"/>
  <c r="H87" i="2"/>
  <c r="B66" i="5"/>
  <c r="B112" i="5"/>
  <c r="B56" i="5"/>
  <c r="F108" i="2"/>
  <c r="F125" i="2"/>
  <c r="H125" i="2" s="1"/>
  <c r="F131" i="2"/>
  <c r="F146" i="2"/>
  <c r="F155" i="2"/>
  <c r="B119" i="5"/>
  <c r="B71" i="5"/>
  <c r="D71" i="5" s="1"/>
  <c r="H78" i="2"/>
  <c r="B103" i="5"/>
  <c r="F139" i="2"/>
  <c r="I136" i="5"/>
  <c r="J136" i="5" s="1"/>
  <c r="B131" i="5"/>
  <c r="F111" i="2"/>
  <c r="F143" i="2"/>
  <c r="F153" i="2"/>
  <c r="F157" i="2"/>
  <c r="F141" i="2"/>
  <c r="F116" i="2"/>
  <c r="P43" i="17"/>
  <c r="C180" i="2"/>
  <c r="E42" i="5"/>
  <c r="F169" i="2"/>
  <c r="H169" i="2" s="1"/>
  <c r="F172" i="2"/>
  <c r="F175" i="2"/>
  <c r="H175" i="2" s="1"/>
  <c r="J140" i="6"/>
  <c r="C36" i="17"/>
  <c r="P36" i="17" s="1"/>
  <c r="C35" i="17"/>
  <c r="H35" i="17"/>
  <c r="E35" i="17"/>
  <c r="C34" i="17"/>
  <c r="N34" i="17"/>
  <c r="L34" i="17"/>
  <c r="J34" i="17"/>
  <c r="H34" i="17"/>
  <c r="E34" i="17"/>
  <c r="F184" i="2"/>
  <c r="H184" i="2" s="1"/>
  <c r="F186" i="2"/>
  <c r="I35" i="17"/>
  <c r="G35" i="17"/>
  <c r="D35" i="17"/>
  <c r="O34" i="17"/>
  <c r="M34" i="17"/>
  <c r="K34" i="17"/>
  <c r="I34" i="17"/>
  <c r="G34" i="17"/>
  <c r="D34" i="17"/>
  <c r="F106" i="2"/>
  <c r="E42" i="6"/>
  <c r="J140" i="7"/>
  <c r="J140" i="8"/>
  <c r="J140" i="9"/>
  <c r="J140" i="10"/>
  <c r="J140" i="11"/>
  <c r="J140" i="12"/>
  <c r="J140" i="13"/>
  <c r="I58" i="6"/>
  <c r="J58" i="12" s="1"/>
  <c r="I68" i="6"/>
  <c r="J68" i="16" s="1"/>
  <c r="I88" i="6"/>
  <c r="J88" i="9" s="1"/>
  <c r="I95" i="6"/>
  <c r="I105" i="6"/>
  <c r="J105" i="8" s="1"/>
  <c r="J138" i="6"/>
  <c r="J140" i="14"/>
  <c r="J140" i="15"/>
  <c r="J140" i="16"/>
  <c r="J135" i="16"/>
  <c r="I46" i="13"/>
  <c r="I46" i="11"/>
  <c r="J99" i="5"/>
  <c r="J135" i="5"/>
  <c r="J76" i="16"/>
  <c r="J131" i="6"/>
  <c r="J135" i="6"/>
  <c r="J137" i="16"/>
  <c r="J135" i="7"/>
  <c r="J135" i="8"/>
  <c r="J135" i="9"/>
  <c r="J135" i="10"/>
  <c r="J135" i="11"/>
  <c r="J135" i="12"/>
  <c r="J135" i="13"/>
  <c r="J131" i="14"/>
  <c r="J131" i="15"/>
  <c r="J131" i="16"/>
  <c r="J59" i="15"/>
  <c r="J69" i="15"/>
  <c r="J133" i="6"/>
  <c r="J131" i="7"/>
  <c r="J131" i="8"/>
  <c r="J131" i="9"/>
  <c r="J131" i="10"/>
  <c r="J131" i="11"/>
  <c r="J131" i="12"/>
  <c r="J135" i="14"/>
  <c r="J135" i="15"/>
  <c r="J91" i="15"/>
  <c r="J26" i="16"/>
  <c r="J22" i="16"/>
  <c r="J15" i="16"/>
  <c r="I60" i="6"/>
  <c r="J60" i="16" s="1"/>
  <c r="I63" i="6"/>
  <c r="J63" i="15" s="1"/>
  <c r="I73" i="6"/>
  <c r="J73" i="15" s="1"/>
  <c r="I77" i="6"/>
  <c r="J77" i="15" s="1"/>
  <c r="I83" i="6"/>
  <c r="I86" i="6"/>
  <c r="I93" i="6"/>
  <c r="J93" i="15" s="1"/>
  <c r="I100" i="6"/>
  <c r="J100" i="15" s="1"/>
  <c r="I107" i="6"/>
  <c r="J107" i="15" s="1"/>
  <c r="I121" i="6"/>
  <c r="J121" i="16" s="1"/>
  <c r="I124" i="6"/>
  <c r="I127" i="6"/>
  <c r="J137" i="6"/>
  <c r="J138" i="7"/>
  <c r="J133" i="7"/>
  <c r="J138" i="8"/>
  <c r="J133" i="8"/>
  <c r="J138" i="9"/>
  <c r="J133" i="9"/>
  <c r="J138" i="10"/>
  <c r="J133" i="10"/>
  <c r="J138" i="11"/>
  <c r="J133" i="11"/>
  <c r="J138" i="12"/>
  <c r="J133" i="12"/>
  <c r="J138" i="13"/>
  <c r="J133" i="13"/>
  <c r="J138" i="14"/>
  <c r="J133" i="14"/>
  <c r="J138" i="15"/>
  <c r="J133" i="15"/>
  <c r="J138" i="16"/>
  <c r="J133" i="16"/>
  <c r="F181" i="2"/>
  <c r="F165" i="2"/>
  <c r="F158" i="2"/>
  <c r="F156" i="2"/>
  <c r="F154" i="2"/>
  <c r="H154" i="2" s="1"/>
  <c r="F152" i="2"/>
  <c r="F142" i="2"/>
  <c r="F140" i="2"/>
  <c r="F130" i="2"/>
  <c r="F126" i="2"/>
  <c r="F124" i="2"/>
  <c r="H124" i="2" s="1"/>
  <c r="F122" i="2"/>
  <c r="H122" i="2" s="1"/>
  <c r="F120" i="2"/>
  <c r="F112" i="2"/>
  <c r="J137" i="7"/>
  <c r="J137" i="8"/>
  <c r="J137" i="9"/>
  <c r="J137" i="10"/>
  <c r="J137" i="11"/>
  <c r="J137" i="12"/>
  <c r="J137" i="13"/>
  <c r="J137" i="14"/>
  <c r="J137" i="15"/>
  <c r="F185" i="2"/>
  <c r="H185" i="2" s="1"/>
  <c r="F183" i="2"/>
  <c r="H183" i="2" s="1"/>
  <c r="F168" i="2"/>
  <c r="F161" i="2"/>
  <c r="B160" i="2" s="1"/>
  <c r="F149" i="2"/>
  <c r="F147" i="2"/>
  <c r="F135" i="2"/>
  <c r="F129" i="2"/>
  <c r="F117" i="2"/>
  <c r="F115" i="2"/>
  <c r="F107" i="2"/>
  <c r="F188" i="2"/>
  <c r="H188" i="2" s="1"/>
  <c r="F176" i="2"/>
  <c r="H176" i="2" s="1"/>
  <c r="C174" i="2"/>
  <c r="I46" i="16"/>
  <c r="J58" i="16"/>
  <c r="J75" i="15"/>
  <c r="J78" i="16"/>
  <c r="J87" i="16"/>
  <c r="J94" i="16"/>
  <c r="J101" i="16"/>
  <c r="J109" i="16"/>
  <c r="J128" i="6"/>
  <c r="J108" i="6"/>
  <c r="J95" i="6"/>
  <c r="J75" i="6"/>
  <c r="J69" i="6"/>
  <c r="J67" i="6"/>
  <c r="J63" i="6"/>
  <c r="J59" i="6"/>
  <c r="J109" i="7"/>
  <c r="J101" i="7"/>
  <c r="J98" i="7"/>
  <c r="J94" i="7"/>
  <c r="J87" i="7"/>
  <c r="J83" i="7"/>
  <c r="J78" i="7"/>
  <c r="J76" i="7"/>
  <c r="J74" i="7"/>
  <c r="J72" i="7"/>
  <c r="J64" i="7"/>
  <c r="J60" i="7"/>
  <c r="J58" i="7"/>
  <c r="J60" i="8"/>
  <c r="J58" i="8"/>
  <c r="J121" i="8"/>
  <c r="J109" i="8"/>
  <c r="J101" i="8"/>
  <c r="J98" i="8"/>
  <c r="J94" i="8"/>
  <c r="J87" i="8"/>
  <c r="J78" i="8"/>
  <c r="J76" i="8"/>
  <c r="J72" i="8"/>
  <c r="J68" i="8"/>
  <c r="J128" i="9"/>
  <c r="J108" i="9"/>
  <c r="J93" i="9"/>
  <c r="J75" i="9"/>
  <c r="J73" i="9"/>
  <c r="J69" i="9"/>
  <c r="J63" i="9"/>
  <c r="J59" i="9"/>
  <c r="J121" i="10"/>
  <c r="J109" i="10"/>
  <c r="J101" i="10"/>
  <c r="J94" i="10"/>
  <c r="J87" i="10"/>
  <c r="J78" i="10"/>
  <c r="J76" i="10"/>
  <c r="J72" i="10"/>
  <c r="J68" i="10"/>
  <c r="J60" i="10"/>
  <c r="J128" i="11"/>
  <c r="J93" i="11"/>
  <c r="J77" i="11"/>
  <c r="J73" i="11"/>
  <c r="J69" i="11"/>
  <c r="J63" i="11"/>
  <c r="J59" i="11"/>
  <c r="J121" i="12"/>
  <c r="J109" i="12"/>
  <c r="J101" i="12"/>
  <c r="J94" i="12"/>
  <c r="J87" i="12"/>
  <c r="J78" i="12"/>
  <c r="J76" i="12"/>
  <c r="J74" i="12"/>
  <c r="J68" i="12"/>
  <c r="J60" i="12"/>
  <c r="J100" i="13"/>
  <c r="J95" i="13"/>
  <c r="J93" i="13"/>
  <c r="J77" i="13"/>
  <c r="J73" i="13"/>
  <c r="J69" i="13"/>
  <c r="J67" i="13"/>
  <c r="J59" i="13"/>
  <c r="J108" i="14"/>
  <c r="J95" i="14"/>
  <c r="J93" i="14"/>
  <c r="J77" i="14"/>
  <c r="J73" i="14"/>
  <c r="J69" i="14"/>
  <c r="J67" i="14"/>
  <c r="J59" i="14"/>
  <c r="J109" i="15"/>
  <c r="J101" i="15"/>
  <c r="J94" i="15"/>
  <c r="J87" i="15"/>
  <c r="J78" i="15"/>
  <c r="J76" i="15"/>
  <c r="J74" i="15"/>
  <c r="J68" i="15"/>
  <c r="J60" i="15"/>
  <c r="J100" i="16"/>
  <c r="J95" i="16"/>
  <c r="J93" i="16"/>
  <c r="J77" i="16"/>
  <c r="J73" i="16"/>
  <c r="J69" i="16"/>
  <c r="J63" i="16"/>
  <c r="J59" i="16"/>
  <c r="J121" i="6"/>
  <c r="J109" i="6"/>
  <c r="J101" i="6"/>
  <c r="J98" i="6"/>
  <c r="J94" i="6"/>
  <c r="J92" i="6"/>
  <c r="J87" i="6"/>
  <c r="J83" i="6"/>
  <c r="J78" i="6"/>
  <c r="J76" i="6"/>
  <c r="J74" i="6"/>
  <c r="J72" i="6"/>
  <c r="J68" i="6"/>
  <c r="J64" i="6"/>
  <c r="J60" i="6"/>
  <c r="J128" i="7"/>
  <c r="J108" i="7"/>
  <c r="J95" i="7"/>
  <c r="J75" i="7"/>
  <c r="J69" i="7"/>
  <c r="J59" i="7"/>
  <c r="J59" i="8"/>
  <c r="J63" i="8"/>
  <c r="J128" i="8"/>
  <c r="J124" i="8"/>
  <c r="J108" i="8"/>
  <c r="J95" i="8"/>
  <c r="J93" i="8"/>
  <c r="J75" i="8"/>
  <c r="J73" i="8"/>
  <c r="J69" i="8"/>
  <c r="J121" i="9"/>
  <c r="J109" i="9"/>
  <c r="J101" i="9"/>
  <c r="J94" i="9"/>
  <c r="J87" i="9"/>
  <c r="J78" i="9"/>
  <c r="J76" i="9"/>
  <c r="J74" i="9"/>
  <c r="J72" i="9"/>
  <c r="J68" i="9"/>
  <c r="J64" i="9"/>
  <c r="J60" i="9"/>
  <c r="J128" i="10"/>
  <c r="J108" i="10"/>
  <c r="J100" i="10"/>
  <c r="J95" i="10"/>
  <c r="J93" i="10"/>
  <c r="J77" i="10"/>
  <c r="J73" i="10"/>
  <c r="J69" i="10"/>
  <c r="J67" i="10"/>
  <c r="J59" i="10"/>
  <c r="J109" i="11"/>
  <c r="J101" i="11"/>
  <c r="J94" i="11"/>
  <c r="J92" i="11"/>
  <c r="J87" i="11"/>
  <c r="J78" i="11"/>
  <c r="J76" i="11"/>
  <c r="J72" i="11"/>
  <c r="J68" i="11"/>
  <c r="J64" i="11"/>
  <c r="J60" i="11"/>
  <c r="J58" i="11"/>
  <c r="J128" i="12"/>
  <c r="J108" i="12"/>
  <c r="J95" i="12"/>
  <c r="J93" i="12"/>
  <c r="J88" i="12"/>
  <c r="J73" i="12"/>
  <c r="J69" i="12"/>
  <c r="J59" i="12"/>
  <c r="J109" i="13"/>
  <c r="J101" i="13"/>
  <c r="J94" i="13"/>
  <c r="J92" i="13"/>
  <c r="J87" i="13"/>
  <c r="J78" i="13"/>
  <c r="J76" i="13"/>
  <c r="J68" i="13"/>
  <c r="J64" i="13"/>
  <c r="J60" i="13"/>
  <c r="J58" i="13"/>
  <c r="J109" i="14"/>
  <c r="J101" i="14"/>
  <c r="J94" i="14"/>
  <c r="J92" i="14"/>
  <c r="J87" i="14"/>
  <c r="J78" i="14"/>
  <c r="J76" i="14"/>
  <c r="J68" i="14"/>
  <c r="J64" i="14"/>
  <c r="J60" i="14"/>
  <c r="J58" i="14"/>
  <c r="J26" i="5"/>
  <c r="J26" i="8"/>
  <c r="J26" i="9"/>
  <c r="J26" i="10"/>
  <c r="J26" i="11"/>
  <c r="J26" i="12"/>
  <c r="J26" i="13"/>
  <c r="J26" i="6"/>
  <c r="J26" i="7"/>
  <c r="J26" i="14"/>
  <c r="J26" i="15"/>
  <c r="J25" i="7"/>
  <c r="J25" i="8"/>
  <c r="J25" i="10"/>
  <c r="J25" i="12"/>
  <c r="J25" i="15"/>
  <c r="J25" i="5"/>
  <c r="J25" i="6"/>
  <c r="J25" i="9"/>
  <c r="J25" i="11"/>
  <c r="J25" i="13"/>
  <c r="J25" i="14"/>
  <c r="J22" i="5"/>
  <c r="J22" i="8"/>
  <c r="J22" i="9"/>
  <c r="J22" i="10"/>
  <c r="J22" i="11"/>
  <c r="J22" i="12"/>
  <c r="J22" i="13"/>
  <c r="J22" i="6"/>
  <c r="J22" i="7"/>
  <c r="J22" i="14"/>
  <c r="J22" i="15"/>
  <c r="J20" i="10"/>
  <c r="J20" i="12"/>
  <c r="J20" i="15"/>
  <c r="J20" i="6"/>
  <c r="J20" i="9"/>
  <c r="J20" i="11"/>
  <c r="J20" i="13"/>
  <c r="J20" i="14"/>
  <c r="J18" i="11"/>
  <c r="J18" i="13"/>
  <c r="J18" i="14"/>
  <c r="J18" i="15"/>
  <c r="J16" i="7"/>
  <c r="J16" i="10"/>
  <c r="J16" i="12"/>
  <c r="J16" i="15"/>
  <c r="J16" i="5"/>
  <c r="J16" i="6"/>
  <c r="J16" i="8"/>
  <c r="J16" i="9"/>
  <c r="J16" i="11"/>
  <c r="J16" i="13"/>
  <c r="J16" i="14"/>
  <c r="J15" i="8"/>
  <c r="J15" i="9"/>
  <c r="J15" i="10"/>
  <c r="J15" i="11"/>
  <c r="J15" i="12"/>
  <c r="J15" i="13"/>
  <c r="J15" i="6"/>
  <c r="J15" i="7"/>
  <c r="J15" i="14"/>
  <c r="J15" i="15"/>
  <c r="J106" i="5"/>
  <c r="J106" i="7"/>
  <c r="J106" i="8"/>
  <c r="J106" i="10"/>
  <c r="J106" i="12"/>
  <c r="J106" i="15"/>
  <c r="J106" i="6"/>
  <c r="J106" i="9"/>
  <c r="J106" i="11"/>
  <c r="J106" i="13"/>
  <c r="J106" i="14"/>
  <c r="J105" i="11"/>
  <c r="J105" i="5"/>
  <c r="J105" i="6"/>
  <c r="J113" i="6"/>
  <c r="J113" i="9"/>
  <c r="J113" i="14"/>
  <c r="J113" i="5"/>
  <c r="J113" i="7"/>
  <c r="J113" i="8"/>
  <c r="J113" i="10"/>
  <c r="J110" i="6"/>
  <c r="J110" i="7"/>
  <c r="J110" i="14"/>
  <c r="J110" i="15"/>
  <c r="J110" i="16"/>
  <c r="J110" i="5"/>
  <c r="J110" i="8"/>
  <c r="J110" i="9"/>
  <c r="J110" i="10"/>
  <c r="J110" i="11"/>
  <c r="J110" i="12"/>
  <c r="J107" i="5"/>
  <c r="J107" i="6"/>
  <c r="J107" i="9"/>
  <c r="J107" i="11"/>
  <c r="J107" i="13"/>
  <c r="J107" i="14"/>
  <c r="J107" i="16"/>
  <c r="J107" i="7"/>
  <c r="J107" i="8"/>
  <c r="J107" i="10"/>
  <c r="J107" i="12"/>
  <c r="J99" i="8"/>
  <c r="J99" i="9"/>
  <c r="J99" i="11"/>
  <c r="J99" i="6"/>
  <c r="J99" i="7"/>
  <c r="J91" i="6"/>
  <c r="J91" i="9"/>
  <c r="J91" i="11"/>
  <c r="J91" i="13"/>
  <c r="J91" i="14"/>
  <c r="J91" i="16"/>
  <c r="J91" i="5"/>
  <c r="J91" i="7"/>
  <c r="J91" i="8"/>
  <c r="J91" i="10"/>
  <c r="J91" i="12"/>
  <c r="J82" i="5"/>
  <c r="J82" i="6"/>
  <c r="J82" i="7"/>
  <c r="J82" i="15"/>
  <c r="J82" i="8"/>
  <c r="J82" i="9"/>
  <c r="J82" i="10"/>
  <c r="J82" i="11"/>
  <c r="J82" i="12"/>
  <c r="F105" i="2"/>
  <c r="I81" i="16"/>
  <c r="I81" i="15"/>
  <c r="I81" i="13"/>
  <c r="I81" i="12"/>
  <c r="I81" i="11"/>
  <c r="I81" i="10"/>
  <c r="I81" i="9"/>
  <c r="I46" i="8"/>
  <c r="I81" i="6"/>
  <c r="I104" i="5"/>
  <c r="B85" i="5"/>
  <c r="I120" i="5"/>
  <c r="J120" i="5" s="1"/>
  <c r="I86" i="5"/>
  <c r="J86" i="5" s="1"/>
  <c r="B90" i="5"/>
  <c r="D103" i="5"/>
  <c r="D119" i="5"/>
  <c r="D112" i="5"/>
  <c r="B123" i="5"/>
  <c r="D123" i="5" s="1"/>
  <c r="D56" i="5"/>
  <c r="D66" i="5"/>
  <c r="B97" i="5"/>
  <c r="D97" i="5" s="1"/>
  <c r="I117" i="5"/>
  <c r="D62" i="5"/>
  <c r="I69" i="2"/>
  <c r="I72" i="2" s="1"/>
  <c r="C160" i="2"/>
  <c r="G130" i="2"/>
  <c r="G131" i="2"/>
  <c r="G126" i="2"/>
  <c r="C119" i="2" s="1"/>
  <c r="D26" i="2"/>
  <c r="E26" i="2" s="1"/>
  <c r="B38" i="2"/>
  <c r="B44" i="2"/>
  <c r="D18" i="2"/>
  <c r="E18" i="2" s="1"/>
  <c r="D27" i="2"/>
  <c r="E27" i="2"/>
  <c r="D8" i="2"/>
  <c r="D56" i="8" l="1"/>
  <c r="E46" i="8"/>
  <c r="G35" i="8" s="1"/>
  <c r="J99" i="10"/>
  <c r="J113" i="13"/>
  <c r="J121" i="14"/>
  <c r="J121" i="13"/>
  <c r="J121" i="11"/>
  <c r="J88" i="10"/>
  <c r="J92" i="9"/>
  <c r="J63" i="7"/>
  <c r="J77" i="7"/>
  <c r="J88" i="16"/>
  <c r="J108" i="16"/>
  <c r="J64" i="15"/>
  <c r="J92" i="15"/>
  <c r="J88" i="14"/>
  <c r="J128" i="14"/>
  <c r="J88" i="13"/>
  <c r="J108" i="13"/>
  <c r="J64" i="12"/>
  <c r="J92" i="12"/>
  <c r="J88" i="11"/>
  <c r="J58" i="10"/>
  <c r="J83" i="10"/>
  <c r="J98" i="10"/>
  <c r="J100" i="9"/>
  <c r="J83" i="8"/>
  <c r="J64" i="8"/>
  <c r="J77" i="6"/>
  <c r="J108" i="15"/>
  <c r="J88" i="15"/>
  <c r="J74" i="16"/>
  <c r="J124" i="15"/>
  <c r="J72" i="16"/>
  <c r="J92" i="16"/>
  <c r="J99" i="16"/>
  <c r="D56" i="9"/>
  <c r="E46" i="9"/>
  <c r="E46" i="10"/>
  <c r="D119" i="10"/>
  <c r="Q2" i="10"/>
  <c r="D56" i="11"/>
  <c r="E46" i="11"/>
  <c r="I46" i="12"/>
  <c r="H22" i="1"/>
  <c r="I46" i="7"/>
  <c r="H17" i="1"/>
  <c r="J99" i="15"/>
  <c r="J99" i="13"/>
  <c r="J113" i="12"/>
  <c r="J113" i="11"/>
  <c r="J72" i="14"/>
  <c r="J83" i="14"/>
  <c r="J98" i="14"/>
  <c r="J72" i="13"/>
  <c r="J83" i="13"/>
  <c r="J98" i="13"/>
  <c r="J75" i="12"/>
  <c r="J83" i="11"/>
  <c r="J98" i="11"/>
  <c r="J77" i="8"/>
  <c r="J100" i="8"/>
  <c r="J88" i="7"/>
  <c r="J128" i="16"/>
  <c r="J74" i="10"/>
  <c r="J77" i="9"/>
  <c r="J74" i="8"/>
  <c r="J92" i="7"/>
  <c r="J88" i="6"/>
  <c r="J113" i="15"/>
  <c r="D56" i="6"/>
  <c r="E46" i="6"/>
  <c r="D56" i="13"/>
  <c r="E46" i="13"/>
  <c r="I46" i="14"/>
  <c r="H24" i="1"/>
  <c r="J99" i="14"/>
  <c r="J105" i="13"/>
  <c r="J74" i="14"/>
  <c r="J74" i="13"/>
  <c r="J63" i="12"/>
  <c r="J77" i="12"/>
  <c r="J100" i="12"/>
  <c r="J63" i="10"/>
  <c r="J75" i="10"/>
  <c r="J58" i="9"/>
  <c r="J83" i="9"/>
  <c r="J98" i="9"/>
  <c r="J88" i="8"/>
  <c r="J73" i="7"/>
  <c r="J93" i="7"/>
  <c r="J58" i="6"/>
  <c r="J75" i="16"/>
  <c r="J58" i="15"/>
  <c r="J72" i="15"/>
  <c r="J83" i="15"/>
  <c r="J98" i="15"/>
  <c r="J63" i="14"/>
  <c r="J75" i="14"/>
  <c r="J63" i="13"/>
  <c r="J75" i="13"/>
  <c r="J98" i="12"/>
  <c r="J64" i="10"/>
  <c r="J92" i="10"/>
  <c r="J68" i="7"/>
  <c r="J73" i="6"/>
  <c r="J93" i="6"/>
  <c r="J83" i="16"/>
  <c r="J95" i="15"/>
  <c r="I46" i="6"/>
  <c r="J67" i="9"/>
  <c r="D56" i="7"/>
  <c r="E46" i="7"/>
  <c r="G35" i="7" s="1"/>
  <c r="J82" i="13"/>
  <c r="E46" i="12"/>
  <c r="D90" i="16"/>
  <c r="E46" i="16"/>
  <c r="I46" i="15"/>
  <c r="H25" i="1"/>
  <c r="F94" i="2"/>
  <c r="G35" i="15"/>
  <c r="D56" i="15"/>
  <c r="J105" i="14"/>
  <c r="E46" i="14"/>
  <c r="D71" i="14"/>
  <c r="G35" i="12"/>
  <c r="D56" i="12"/>
  <c r="D71" i="11"/>
  <c r="I46" i="9"/>
  <c r="D56" i="10"/>
  <c r="D103" i="9"/>
  <c r="D103" i="8"/>
  <c r="D119" i="7"/>
  <c r="P35" i="17"/>
  <c r="J105" i="9"/>
  <c r="J121" i="15"/>
  <c r="J121" i="7"/>
  <c r="J95" i="11"/>
  <c r="J95" i="9"/>
  <c r="J105" i="16"/>
  <c r="J105" i="15"/>
  <c r="J105" i="7"/>
  <c r="J105" i="12"/>
  <c r="J105" i="10"/>
  <c r="J67" i="12"/>
  <c r="J67" i="8"/>
  <c r="J67" i="7"/>
  <c r="J67" i="16"/>
  <c r="J67" i="11"/>
  <c r="J100" i="7"/>
  <c r="J100" i="14"/>
  <c r="J100" i="11"/>
  <c r="J100" i="6"/>
  <c r="G37" i="5"/>
  <c r="D131" i="5"/>
  <c r="P34" i="17"/>
  <c r="H181" i="2"/>
  <c r="B180" i="2"/>
  <c r="D180" i="2" s="1"/>
  <c r="J124" i="12"/>
  <c r="J124" i="10"/>
  <c r="J124" i="7"/>
  <c r="J124" i="16"/>
  <c r="J124" i="14"/>
  <c r="J124" i="13"/>
  <c r="J124" i="11"/>
  <c r="J124" i="9"/>
  <c r="J124" i="6"/>
  <c r="J86" i="12"/>
  <c r="J120" i="12"/>
  <c r="J86" i="7"/>
  <c r="J120" i="7"/>
  <c r="J86" i="14"/>
  <c r="J120" i="14"/>
  <c r="J86" i="13"/>
  <c r="J120" i="13"/>
  <c r="J86" i="9"/>
  <c r="J120" i="9"/>
  <c r="J86" i="6"/>
  <c r="J120" i="6"/>
  <c r="J120" i="15"/>
  <c r="J86" i="10"/>
  <c r="J120" i="10"/>
  <c r="J86" i="8"/>
  <c r="J120" i="8"/>
  <c r="J86" i="16"/>
  <c r="J120" i="16"/>
  <c r="J86" i="11"/>
  <c r="J120" i="11"/>
  <c r="J86" i="15"/>
  <c r="H126" i="2"/>
  <c r="B174" i="2"/>
  <c r="D160" i="2"/>
  <c r="H161" i="2"/>
  <c r="J136" i="16"/>
  <c r="J136" i="15"/>
  <c r="J136" i="14"/>
  <c r="J136" i="13"/>
  <c r="J136" i="12"/>
  <c r="J136" i="11"/>
  <c r="J136" i="10"/>
  <c r="J136" i="9"/>
  <c r="J136" i="8"/>
  <c r="J136" i="7"/>
  <c r="J136" i="6"/>
  <c r="G35" i="6"/>
  <c r="J81" i="15"/>
  <c r="J81" i="12"/>
  <c r="J81" i="10"/>
  <c r="J81" i="8"/>
  <c r="J81" i="7"/>
  <c r="J81" i="16"/>
  <c r="J81" i="14"/>
  <c r="J81" i="13"/>
  <c r="J81" i="11"/>
  <c r="J81" i="9"/>
  <c r="J81" i="6"/>
  <c r="J104" i="16"/>
  <c r="J104" i="14"/>
  <c r="J104" i="13"/>
  <c r="J104" i="11"/>
  <c r="J104" i="9"/>
  <c r="J104" i="6"/>
  <c r="J104" i="15"/>
  <c r="J104" i="12"/>
  <c r="J104" i="10"/>
  <c r="J104" i="8"/>
  <c r="J104" i="7"/>
  <c r="J104" i="5"/>
  <c r="J117" i="13"/>
  <c r="J117" i="12"/>
  <c r="J117" i="11"/>
  <c r="J117" i="10"/>
  <c r="J117" i="9"/>
  <c r="J117" i="8"/>
  <c r="J117" i="5"/>
  <c r="J117" i="16"/>
  <c r="J117" i="15"/>
  <c r="J117" i="14"/>
  <c r="J117" i="7"/>
  <c r="J117" i="6"/>
  <c r="J57" i="16"/>
  <c r="J57" i="14"/>
  <c r="J57" i="13"/>
  <c r="J57" i="11"/>
  <c r="J57" i="9"/>
  <c r="J57" i="6"/>
  <c r="J57" i="5"/>
  <c r="J57" i="15"/>
  <c r="J57" i="12"/>
  <c r="J57" i="10"/>
  <c r="J57" i="8"/>
  <c r="J57" i="7"/>
  <c r="G35" i="16"/>
  <c r="G35" i="14"/>
  <c r="G35" i="13"/>
  <c r="G35" i="11"/>
  <c r="G35" i="10"/>
  <c r="G35" i="9"/>
  <c r="D90" i="5"/>
  <c r="D85" i="5"/>
  <c r="I127" i="5"/>
  <c r="I46" i="5"/>
  <c r="B126" i="5"/>
  <c r="D126" i="5" s="1"/>
  <c r="B116" i="5"/>
  <c r="E46" i="5" s="1"/>
  <c r="D116" i="5"/>
  <c r="E8" i="2"/>
  <c r="E9" i="2"/>
  <c r="E28" i="2"/>
  <c r="D28" i="2"/>
  <c r="D34" i="2"/>
  <c r="E34" i="2"/>
  <c r="D38" i="2"/>
  <c r="B39" i="2"/>
  <c r="D39" i="2" s="1"/>
  <c r="D40" i="2"/>
  <c r="D41" i="2"/>
  <c r="D42" i="2"/>
  <c r="B43" i="2"/>
  <c r="D43" i="2" s="1"/>
  <c r="D44" i="2"/>
  <c r="D49" i="2"/>
  <c r="D50" i="2"/>
  <c r="G88" i="2"/>
  <c r="G90" i="2" s="1"/>
  <c r="G105" i="2"/>
  <c r="G106" i="2"/>
  <c r="G107" i="2"/>
  <c r="H107" i="2" s="1"/>
  <c r="G108" i="2"/>
  <c r="G115" i="2"/>
  <c r="G116" i="2"/>
  <c r="G117" i="2"/>
  <c r="G134" i="2"/>
  <c r="G135" i="2"/>
  <c r="H135" i="2" s="1"/>
  <c r="G136" i="2"/>
  <c r="G149" i="2"/>
  <c r="H149" i="2" s="1"/>
  <c r="G165" i="2"/>
  <c r="C164" i="2" s="1"/>
  <c r="G172" i="2"/>
  <c r="C171" i="2" s="1"/>
  <c r="H156" i="2"/>
  <c r="B88" i="2"/>
  <c r="H158" i="2"/>
  <c r="M9" i="17"/>
  <c r="N9" i="17"/>
  <c r="O9" i="17"/>
  <c r="D9" i="17"/>
  <c r="G9" i="17"/>
  <c r="J9" i="17"/>
  <c r="B9" i="17"/>
  <c r="L9" i="17"/>
  <c r="P20" i="17"/>
  <c r="B23" i="17"/>
  <c r="P23" i="17" s="1"/>
  <c r="C28" i="17"/>
  <c r="E28" i="17"/>
  <c r="G28" i="17"/>
  <c r="H28" i="17"/>
  <c r="I28" i="17"/>
  <c r="J28" i="17"/>
  <c r="M28" i="17"/>
  <c r="O28" i="17"/>
  <c r="B28" i="17"/>
  <c r="D28" i="17"/>
  <c r="L28" i="17"/>
  <c r="N28" i="17"/>
  <c r="P66" i="17"/>
  <c r="B68" i="17"/>
  <c r="P68" i="17" s="1"/>
  <c r="B69" i="17"/>
  <c r="P69" i="17" s="1"/>
  <c r="P80" i="17"/>
  <c r="C86" i="17"/>
  <c r="D86" i="17"/>
  <c r="E86" i="17"/>
  <c r="G86" i="17"/>
  <c r="I86" i="17"/>
  <c r="J86" i="17"/>
  <c r="K86" i="17"/>
  <c r="L86" i="17"/>
  <c r="M86" i="17"/>
  <c r="N86" i="17"/>
  <c r="O86" i="17"/>
  <c r="B103" i="17"/>
  <c r="B106" i="17" s="1"/>
  <c r="H106" i="2"/>
  <c r="E18" i="1"/>
  <c r="E20" i="1"/>
  <c r="C40" i="1"/>
  <c r="B9" i="3"/>
  <c r="C9" i="3" s="1"/>
  <c r="B14" i="3"/>
  <c r="C14" i="3" s="1"/>
  <c r="F27" i="3"/>
  <c r="H29" i="3"/>
  <c r="F29" i="3"/>
  <c r="F30" i="3"/>
  <c r="H31" i="3"/>
  <c r="F31" i="3"/>
  <c r="F33" i="3"/>
  <c r="F34" i="3"/>
  <c r="F35" i="3"/>
  <c r="F36" i="3"/>
  <c r="F37" i="3"/>
  <c r="F38" i="3"/>
  <c r="F39" i="3"/>
  <c r="A48" i="3"/>
  <c r="B53" i="3"/>
  <c r="D6" i="3" s="1"/>
  <c r="B66" i="3"/>
  <c r="D7" i="3" s="1"/>
  <c r="G12" i="6" s="1"/>
  <c r="B78" i="3"/>
  <c r="D8" i="3" s="1"/>
  <c r="G12" i="7" s="1"/>
  <c r="G17" i="1" s="1"/>
  <c r="B90" i="3"/>
  <c r="D9" i="3" s="1"/>
  <c r="B103" i="3"/>
  <c r="D10" i="3" s="1"/>
  <c r="G12" i="9" s="1"/>
  <c r="G19" i="1" s="1"/>
  <c r="D11" i="3"/>
  <c r="G12" i="10" s="1"/>
  <c r="G20" i="1" s="1"/>
  <c r="B130" i="3"/>
  <c r="D12" i="3" s="1"/>
  <c r="G12" i="11" s="1"/>
  <c r="G21" i="1" s="1"/>
  <c r="D13" i="3"/>
  <c r="G12" i="12" s="1"/>
  <c r="G22" i="1" s="1"/>
  <c r="D14" i="3"/>
  <c r="G12" i="13" s="1"/>
  <c r="G23" i="1" s="1"/>
  <c r="D15" i="3"/>
  <c r="G12" i="14" s="1"/>
  <c r="G24" i="1" s="1"/>
  <c r="D16" i="3"/>
  <c r="G12" i="15" s="1"/>
  <c r="G25" i="1" s="1"/>
  <c r="D17" i="3"/>
  <c r="G12" i="16" s="1"/>
  <c r="G26" i="1" s="1"/>
  <c r="T25" i="4"/>
  <c r="AT15" i="4"/>
  <c r="AX15" i="4"/>
  <c r="AZ15" i="4" s="1"/>
  <c r="BM15" i="4"/>
  <c r="BM27" i="4" s="1"/>
  <c r="BM28" i="4" s="1"/>
  <c r="AT16" i="4"/>
  <c r="AX16" i="4"/>
  <c r="AZ16" i="4" s="1"/>
  <c r="BI16" i="4"/>
  <c r="BM16" i="4"/>
  <c r="AT17" i="4"/>
  <c r="AX17" i="4"/>
  <c r="AZ17" i="4" s="1"/>
  <c r="BM17" i="4"/>
  <c r="AT18" i="4"/>
  <c r="AX18" i="4"/>
  <c r="AZ18" i="4" s="1"/>
  <c r="BM18" i="4"/>
  <c r="AT19" i="4"/>
  <c r="AZ19" i="4"/>
  <c r="AT20" i="4"/>
  <c r="AZ20" i="4"/>
  <c r="AT21" i="4"/>
  <c r="AZ21" i="4"/>
  <c r="AT22" i="4"/>
  <c r="AZ22" i="4"/>
  <c r="AT23" i="4"/>
  <c r="AZ23" i="4"/>
  <c r="BM23" i="4"/>
  <c r="AR24" i="4"/>
  <c r="AT24" i="4" s="1"/>
  <c r="AZ24" i="4"/>
  <c r="BI24" i="4"/>
  <c r="B25" i="4"/>
  <c r="D25" i="4"/>
  <c r="D26" i="4" s="1"/>
  <c r="F25" i="4"/>
  <c r="F26" i="4" s="1"/>
  <c r="H25" i="4"/>
  <c r="J25" i="4"/>
  <c r="L25" i="4"/>
  <c r="L26" i="4" s="1"/>
  <c r="N25" i="4"/>
  <c r="N26" i="4" s="1"/>
  <c r="P25" i="4"/>
  <c r="P26" i="4" s="1"/>
  <c r="U25" i="4"/>
  <c r="V25" i="4"/>
  <c r="AR25" i="4"/>
  <c r="AT25" i="4" s="1"/>
  <c r="AZ25" i="4"/>
  <c r="BM25" i="4"/>
  <c r="B26" i="4"/>
  <c r="H26" i="4"/>
  <c r="J26" i="4"/>
  <c r="AR26" i="4"/>
  <c r="AT26" i="4" s="1"/>
  <c r="AV27" i="4"/>
  <c r="BI26" i="4"/>
  <c r="BM26" i="4"/>
  <c r="D27" i="4"/>
  <c r="D28" i="4" s="1"/>
  <c r="F27" i="4"/>
  <c r="H27" i="4"/>
  <c r="H28" i="4" s="1"/>
  <c r="J27" i="4"/>
  <c r="J28" i="4" s="1"/>
  <c r="L27" i="4"/>
  <c r="L28" i="4" s="1"/>
  <c r="N27" i="4"/>
  <c r="N28" i="4" s="1"/>
  <c r="T27" i="4"/>
  <c r="U27" i="4"/>
  <c r="V27" i="4"/>
  <c r="AD27" i="4"/>
  <c r="AD31" i="4" s="1"/>
  <c r="AD52" i="4" s="1"/>
  <c r="AD54" i="4" s="1"/>
  <c r="AD65" i="4" s="1"/>
  <c r="AF27" i="4"/>
  <c r="AF28" i="4" s="1"/>
  <c r="AH27" i="4"/>
  <c r="AH28" i="4" s="1"/>
  <c r="AJ27" i="4"/>
  <c r="AL27" i="4"/>
  <c r="AL31" i="4" s="1"/>
  <c r="AL52" i="4" s="1"/>
  <c r="AL54" i="4" s="1"/>
  <c r="AN27" i="4"/>
  <c r="AP27" i="4"/>
  <c r="AP28" i="4" s="1"/>
  <c r="AS27" i="4"/>
  <c r="AY27" i="4"/>
  <c r="BK27" i="4"/>
  <c r="BL27" i="4"/>
  <c r="BL28" i="4" s="1"/>
  <c r="F28" i="4"/>
  <c r="P28" i="4"/>
  <c r="AD28" i="4"/>
  <c r="BK28" i="4"/>
  <c r="AD29" i="4"/>
  <c r="AF29" i="4"/>
  <c r="AH29" i="4"/>
  <c r="AJ29" i="4"/>
  <c r="AJ31" i="4" s="1"/>
  <c r="AJ52" i="4" s="1"/>
  <c r="AJ54" i="4" s="1"/>
  <c r="AL29" i="4"/>
  <c r="AN29" i="4"/>
  <c r="AN31" i="4" s="1"/>
  <c r="AN52" i="4" s="1"/>
  <c r="AN54" i="4" s="1"/>
  <c r="AP29" i="4"/>
  <c r="BK30" i="4"/>
  <c r="BL30" i="4" s="1"/>
  <c r="AH31" i="4"/>
  <c r="AH52" i="4" s="1"/>
  <c r="AH54" i="4" s="1"/>
  <c r="AH65" i="4" s="1"/>
  <c r="AE52" i="4"/>
  <c r="AG52" i="4"/>
  <c r="AG54" i="4" s="1"/>
  <c r="B54" i="4"/>
  <c r="B55" i="4" s="1"/>
  <c r="D54" i="4"/>
  <c r="D55" i="4" s="1"/>
  <c r="F54" i="4"/>
  <c r="F55" i="4" s="1"/>
  <c r="H54" i="4"/>
  <c r="H55" i="4" s="1"/>
  <c r="J54" i="4"/>
  <c r="J55" i="4" s="1"/>
  <c r="L54" i="4"/>
  <c r="L55" i="4" s="1"/>
  <c r="N54" i="4"/>
  <c r="N55" i="4"/>
  <c r="P54" i="4"/>
  <c r="P55" i="4" s="1"/>
  <c r="U54" i="4"/>
  <c r="AE54" i="4"/>
  <c r="AE55" i="4" s="1"/>
  <c r="B56" i="4"/>
  <c r="D56" i="4"/>
  <c r="F56" i="4"/>
  <c r="H56" i="4"/>
  <c r="J56" i="4"/>
  <c r="L56" i="4"/>
  <c r="N56" i="4"/>
  <c r="AD59" i="4"/>
  <c r="AF59" i="4"/>
  <c r="AH59" i="4"/>
  <c r="AJ59" i="4"/>
  <c r="AL59" i="4"/>
  <c r="AN59" i="4"/>
  <c r="AP59" i="4"/>
  <c r="AD64" i="4"/>
  <c r="AE64" i="4"/>
  <c r="AE65" i="4" s="1"/>
  <c r="AF64" i="4"/>
  <c r="AG64" i="4"/>
  <c r="AH64" i="4"/>
  <c r="AJ64" i="4"/>
  <c r="AL64" i="4"/>
  <c r="AN64" i="4"/>
  <c r="AP64" i="4"/>
  <c r="AD73" i="4"/>
  <c r="AD75" i="4" s="1"/>
  <c r="AD76" i="4" s="1"/>
  <c r="AE73" i="4"/>
  <c r="AE75" i="4" s="1"/>
  <c r="AE76" i="4" s="1"/>
  <c r="AF73" i="4"/>
  <c r="AF75" i="4" s="1"/>
  <c r="AF76" i="4" s="1"/>
  <c r="AG73" i="4"/>
  <c r="AH73" i="4"/>
  <c r="AH75" i="4" s="1"/>
  <c r="AH76" i="4" s="1"/>
  <c r="AJ73" i="4"/>
  <c r="AJ75" i="4" s="1"/>
  <c r="AJ76" i="4" s="1"/>
  <c r="AL73" i="4"/>
  <c r="AL75" i="4" s="1"/>
  <c r="AN73" i="4"/>
  <c r="AN75" i="4" s="1"/>
  <c r="AN76" i="4" s="1"/>
  <c r="AP73" i="4"/>
  <c r="AR73" i="4"/>
  <c r="AR75" i="4" s="1"/>
  <c r="AR76" i="4" s="1"/>
  <c r="AG75" i="4"/>
  <c r="AP75" i="4"/>
  <c r="AP76" i="4" s="1"/>
  <c r="AG76" i="4"/>
  <c r="AD80" i="4"/>
  <c r="AF80" i="4"/>
  <c r="AH80" i="4"/>
  <c r="AJ80" i="4"/>
  <c r="AL80" i="4"/>
  <c r="AN80" i="4"/>
  <c r="AP80" i="4"/>
  <c r="AD85" i="4"/>
  <c r="AD86" i="4" s="1"/>
  <c r="AE85" i="4"/>
  <c r="AE86" i="4" s="1"/>
  <c r="AF85" i="4"/>
  <c r="AF86" i="4" s="1"/>
  <c r="AG85" i="4"/>
  <c r="AH85" i="4"/>
  <c r="AJ85" i="4"/>
  <c r="AL85" i="4"/>
  <c r="AN85" i="4"/>
  <c r="AP85" i="4"/>
  <c r="AR85" i="4"/>
  <c r="AR86" i="4" s="1"/>
  <c r="AH107" i="4"/>
  <c r="AH108" i="4"/>
  <c r="AJ114" i="4"/>
  <c r="AL114" i="4" s="1"/>
  <c r="AJ115" i="4"/>
  <c r="AL115" i="4" s="1"/>
  <c r="AL129" i="4"/>
  <c r="AL131" i="4" s="1"/>
  <c r="AL132" i="4" s="1"/>
  <c r="AL135" i="4" s="1"/>
  <c r="AN129" i="4"/>
  <c r="AN131" i="4"/>
  <c r="AN132" i="4" s="1"/>
  <c r="AN135" i="4" s="1"/>
  <c r="AN28" i="4"/>
  <c r="AJ28" i="4"/>
  <c r="E23" i="1"/>
  <c r="B15" i="3"/>
  <c r="C15" i="3" s="1"/>
  <c r="E24" i="1"/>
  <c r="E25" i="1"/>
  <c r="E17" i="1"/>
  <c r="B8" i="3"/>
  <c r="C8" i="3" s="1"/>
  <c r="H140" i="2"/>
  <c r="E19" i="1"/>
  <c r="B10" i="3"/>
  <c r="C10" i="3" s="1"/>
  <c r="B171" i="2"/>
  <c r="B16" i="3"/>
  <c r="C16" i="3" s="1"/>
  <c r="B164" i="2"/>
  <c r="C138" i="2"/>
  <c r="H155" i="2"/>
  <c r="H116" i="2"/>
  <c r="H136" i="2"/>
  <c r="H147" i="2"/>
  <c r="C114" i="2"/>
  <c r="B11" i="3"/>
  <c r="C11" i="3" s="1"/>
  <c r="H141" i="2"/>
  <c r="H130" i="2"/>
  <c r="H112" i="2"/>
  <c r="H139" i="2"/>
  <c r="H186" i="2"/>
  <c r="H117" i="2"/>
  <c r="C110" i="2"/>
  <c r="B45" i="2"/>
  <c r="E36" i="2" s="1"/>
  <c r="D10" i="2"/>
  <c r="D11" i="2" s="1"/>
  <c r="H121" i="2"/>
  <c r="E21" i="1"/>
  <c r="B12" i="3"/>
  <c r="C12" i="3" s="1"/>
  <c r="B17" i="3"/>
  <c r="C17" i="3" s="1"/>
  <c r="E26" i="1"/>
  <c r="H168" i="2"/>
  <c r="D36" i="2"/>
  <c r="B7" i="3"/>
  <c r="C7" i="3" s="1"/>
  <c r="E16" i="1"/>
  <c r="H131" i="2"/>
  <c r="K28" i="17"/>
  <c r="K9" i="17"/>
  <c r="H143" i="2"/>
  <c r="E22" i="1"/>
  <c r="B13" i="3"/>
  <c r="C13" i="3" s="1"/>
  <c r="H153" i="2"/>
  <c r="AG55" i="4" l="1"/>
  <c r="AG65" i="4"/>
  <c r="BL29" i="4"/>
  <c r="AX27" i="4"/>
  <c r="AP31" i="4"/>
  <c r="H46" i="3"/>
  <c r="H49" i="3" s="1"/>
  <c r="AJ86" i="4"/>
  <c r="BM30" i="4"/>
  <c r="BM29" i="4" s="1"/>
  <c r="AP86" i="4"/>
  <c r="AN86" i="4"/>
  <c r="AG86" i="4"/>
  <c r="AD55" i="4"/>
  <c r="BK29" i="4"/>
  <c r="AL28" i="4"/>
  <c r="C47" i="1"/>
  <c r="J40" i="1"/>
  <c r="J47" i="1" s="1"/>
  <c r="AN55" i="4"/>
  <c r="AN65" i="4"/>
  <c r="AJ65" i="4"/>
  <c r="AJ55" i="4"/>
  <c r="AL55" i="4"/>
  <c r="AL65" i="4"/>
  <c r="AV114" i="4"/>
  <c r="AV115" i="4"/>
  <c r="AL76" i="4"/>
  <c r="AL86" i="4"/>
  <c r="AV28" i="4"/>
  <c r="AT107" i="4"/>
  <c r="AV31" i="4"/>
  <c r="AT27" i="4"/>
  <c r="AJ108" i="4" s="1"/>
  <c r="AL108" i="4" s="1"/>
  <c r="AN108" i="4" s="1"/>
  <c r="AF31" i="4"/>
  <c r="AF52" i="4" s="1"/>
  <c r="AF54" i="4" s="1"/>
  <c r="AF65" i="4" s="1"/>
  <c r="AH86" i="4"/>
  <c r="AH55" i="4"/>
  <c r="AR27" i="4"/>
  <c r="AZ26" i="4"/>
  <c r="G16" i="1"/>
  <c r="B12" i="6"/>
  <c r="B76" i="17"/>
  <c r="G12" i="8"/>
  <c r="G18" i="1" s="1"/>
  <c r="P76" i="17"/>
  <c r="BI27" i="4"/>
  <c r="AR60" i="4"/>
  <c r="AR64" i="4" s="1"/>
  <c r="G12" i="5"/>
  <c r="G35" i="5"/>
  <c r="J127" i="5"/>
  <c r="J46" i="5" s="1"/>
  <c r="J127" i="12"/>
  <c r="J46" i="12" s="1"/>
  <c r="J127" i="6"/>
  <c r="J46" i="6" s="1"/>
  <c r="J127" i="11"/>
  <c r="J46" i="11" s="1"/>
  <c r="J127" i="14"/>
  <c r="J46" i="14" s="1"/>
  <c r="J127" i="7"/>
  <c r="J46" i="7" s="1"/>
  <c r="J127" i="8"/>
  <c r="J46" i="8" s="1"/>
  <c r="J127" i="10"/>
  <c r="J46" i="10" s="1"/>
  <c r="J127" i="15"/>
  <c r="J46" i="15" s="1"/>
  <c r="J127" i="9"/>
  <c r="J46" i="9" s="1"/>
  <c r="J127" i="13"/>
  <c r="J46" i="13" s="1"/>
  <c r="J127" i="16"/>
  <c r="J46" i="16" s="1"/>
  <c r="B86" i="17"/>
  <c r="P86" i="17"/>
  <c r="H86" i="17"/>
  <c r="H9" i="17"/>
  <c r="E9" i="17"/>
  <c r="P8" i="17"/>
  <c r="B4" i="5"/>
  <c r="E15" i="1" s="1"/>
  <c r="E28" i="1" s="1"/>
  <c r="I29" i="1" s="1"/>
  <c r="H6" i="3"/>
  <c r="H7" i="3" s="1"/>
  <c r="H8" i="3" s="1"/>
  <c r="H9" i="3" s="1"/>
  <c r="H10" i="3" s="1"/>
  <c r="H11" i="3" s="1"/>
  <c r="H12" i="3" s="1"/>
  <c r="H13" i="3" s="1"/>
  <c r="F17" i="3"/>
  <c r="F46" i="3"/>
  <c r="F14" i="3"/>
  <c r="F12" i="3"/>
  <c r="F13" i="3"/>
  <c r="F7" i="3"/>
  <c r="D19" i="3"/>
  <c r="H88" i="2"/>
  <c r="H108" i="2"/>
  <c r="B133" i="2"/>
  <c r="C167" i="2"/>
  <c r="C104" i="2"/>
  <c r="D51" i="2"/>
  <c r="E51" i="2" s="1"/>
  <c r="E54" i="2" s="1"/>
  <c r="E59" i="2" s="1"/>
  <c r="G129" i="2"/>
  <c r="C128" i="2" s="1"/>
  <c r="C151" i="2"/>
  <c r="D174" i="2"/>
  <c r="H115" i="2"/>
  <c r="H120" i="2"/>
  <c r="B119" i="2"/>
  <c r="D119" i="2" s="1"/>
  <c r="C133" i="2"/>
  <c r="H105" i="2"/>
  <c r="H152" i="2"/>
  <c r="H111" i="2"/>
  <c r="H142" i="2"/>
  <c r="H157" i="2"/>
  <c r="H134" i="2"/>
  <c r="D58" i="2"/>
  <c r="D62" i="2" s="1"/>
  <c r="D45" i="2"/>
  <c r="C145" i="2"/>
  <c r="D14" i="2"/>
  <c r="E11" i="2"/>
  <c r="H146" i="2"/>
  <c r="E10" i="2"/>
  <c r="H148" i="2"/>
  <c r="D171" i="2"/>
  <c r="B167" i="2"/>
  <c r="B114" i="2"/>
  <c r="D114" i="2" s="1"/>
  <c r="AZ27" i="4"/>
  <c r="AX107" i="4" s="1"/>
  <c r="C9" i="17"/>
  <c r="B138" i="2"/>
  <c r="D138" i="2" s="1"/>
  <c r="P31" i="17"/>
  <c r="P19" i="17"/>
  <c r="B151" i="2"/>
  <c r="B110" i="2"/>
  <c r="D110" i="2" s="1"/>
  <c r="F16" i="3"/>
  <c r="H165" i="2"/>
  <c r="D164" i="2" s="1"/>
  <c r="F15" i="3"/>
  <c r="F9" i="3"/>
  <c r="D28" i="1"/>
  <c r="P26" i="17"/>
  <c r="P28" i="17" s="1"/>
  <c r="P12" i="17"/>
  <c r="I9" i="17"/>
  <c r="P7" i="17"/>
  <c r="B128" i="2"/>
  <c r="H172" i="2"/>
  <c r="B104" i="2"/>
  <c r="B145" i="2"/>
  <c r="F8" i="3"/>
  <c r="F11" i="3"/>
  <c r="F10" i="3"/>
  <c r="D20" i="3" l="1"/>
  <c r="F23" i="3"/>
  <c r="H48" i="3"/>
  <c r="AP52" i="4"/>
  <c r="AP54" i="4" s="1"/>
  <c r="AT108" i="4"/>
  <c r="AV108" i="4" s="1"/>
  <c r="AX108" i="4"/>
  <c r="G94" i="2"/>
  <c r="AF55" i="4"/>
  <c r="H28" i="1"/>
  <c r="H33" i="1" s="1"/>
  <c r="H14" i="3"/>
  <c r="H15" i="3" s="1"/>
  <c r="H16" i="3" s="1"/>
  <c r="H17" i="3" s="1"/>
  <c r="B12" i="5"/>
  <c r="G15" i="1"/>
  <c r="AV107" i="4"/>
  <c r="AZ107" i="4" s="1"/>
  <c r="BB106" i="4" s="1"/>
  <c r="AR52" i="4"/>
  <c r="AR54" i="4" s="1"/>
  <c r="AR65" i="4" s="1"/>
  <c r="AJ107" i="4"/>
  <c r="AL107" i="4" s="1"/>
  <c r="AN107" i="4" s="1"/>
  <c r="AN106" i="4" s="1"/>
  <c r="G28" i="6"/>
  <c r="E12" i="6"/>
  <c r="I12" i="6"/>
  <c r="I28" i="6" s="1"/>
  <c r="G28" i="8"/>
  <c r="I12" i="8"/>
  <c r="I28" i="8" s="1"/>
  <c r="E12" i="8"/>
  <c r="G28" i="12"/>
  <c r="E12" i="12"/>
  <c r="I12" i="12"/>
  <c r="I28" i="12" s="1"/>
  <c r="G28" i="9"/>
  <c r="G33" i="9" s="1"/>
  <c r="G39" i="9" s="1"/>
  <c r="I12" i="9"/>
  <c r="I28" i="9" s="1"/>
  <c r="E12" i="9"/>
  <c r="G28" i="13"/>
  <c r="E12" i="13"/>
  <c r="I12" i="13"/>
  <c r="I28" i="13" s="1"/>
  <c r="G28" i="15"/>
  <c r="E12" i="15"/>
  <c r="I12" i="15"/>
  <c r="I28" i="15" s="1"/>
  <c r="I12" i="5"/>
  <c r="F76" i="2"/>
  <c r="G28" i="5"/>
  <c r="I12" i="7"/>
  <c r="I28" i="7" s="1"/>
  <c r="G28" i="7"/>
  <c r="E12" i="7"/>
  <c r="G28" i="10"/>
  <c r="E12" i="10"/>
  <c r="I12" i="10"/>
  <c r="I28" i="10" s="1"/>
  <c r="G28" i="16"/>
  <c r="I12" i="16"/>
  <c r="I28" i="16" s="1"/>
  <c r="E12" i="16"/>
  <c r="G28" i="11"/>
  <c r="I12" i="11"/>
  <c r="I28" i="11" s="1"/>
  <c r="E12" i="11"/>
  <c r="G28" i="14"/>
  <c r="I12" i="14"/>
  <c r="I28" i="14" s="1"/>
  <c r="E12" i="14"/>
  <c r="D145" i="2"/>
  <c r="D151" i="2"/>
  <c r="D167" i="2"/>
  <c r="B6" i="3"/>
  <c r="F6" i="3" s="1"/>
  <c r="P9" i="17"/>
  <c r="E12" i="5"/>
  <c r="D128" i="2"/>
  <c r="D133" i="2"/>
  <c r="D54" i="2"/>
  <c r="D59" i="2" s="1"/>
  <c r="D61" i="2" s="1"/>
  <c r="D63" i="2" s="1"/>
  <c r="D64" i="2" s="1"/>
  <c r="H129" i="2"/>
  <c r="H94" i="2" s="1"/>
  <c r="E58" i="2"/>
  <c r="E62" i="2" s="1"/>
  <c r="E14" i="2"/>
  <c r="E19" i="2" s="1"/>
  <c r="D19" i="2"/>
  <c r="D104" i="2"/>
  <c r="AP65" i="4" l="1"/>
  <c r="AP55" i="4"/>
  <c r="AZ108" i="4"/>
  <c r="H30" i="1"/>
  <c r="I30" i="1" s="1"/>
  <c r="I31" i="1"/>
  <c r="BB107" i="4"/>
  <c r="G33" i="16"/>
  <c r="F26" i="1"/>
  <c r="G33" i="15"/>
  <c r="F25" i="1"/>
  <c r="G33" i="14"/>
  <c r="F24" i="1"/>
  <c r="G33" i="13"/>
  <c r="F23" i="1"/>
  <c r="G33" i="12"/>
  <c r="F22" i="1"/>
  <c r="G33" i="11"/>
  <c r="F21" i="1"/>
  <c r="G33" i="10"/>
  <c r="F20" i="1"/>
  <c r="C19" i="1"/>
  <c r="F19" i="1"/>
  <c r="G33" i="8"/>
  <c r="F18" i="1"/>
  <c r="G33" i="7"/>
  <c r="F17" i="1"/>
  <c r="G33" i="5"/>
  <c r="F15" i="1"/>
  <c r="G33" i="6"/>
  <c r="F16" i="1"/>
  <c r="F28" i="1" s="1"/>
  <c r="J12" i="5"/>
  <c r="J28" i="5" s="1"/>
  <c r="I28" i="5"/>
  <c r="J12" i="10"/>
  <c r="J28" i="10" s="1"/>
  <c r="J12" i="7"/>
  <c r="J28" i="7" s="1"/>
  <c r="J12" i="11"/>
  <c r="J28" i="11" s="1"/>
  <c r="J12" i="14"/>
  <c r="J28" i="14" s="1"/>
  <c r="J12" i="8"/>
  <c r="J28" i="8" s="1"/>
  <c r="J12" i="16"/>
  <c r="J28" i="16" s="1"/>
  <c r="J12" i="9"/>
  <c r="J28" i="9" s="1"/>
  <c r="J12" i="13"/>
  <c r="J28" i="13" s="1"/>
  <c r="J12" i="6"/>
  <c r="J28" i="6" s="1"/>
  <c r="J12" i="12"/>
  <c r="J28" i="12" s="1"/>
  <c r="J12" i="15"/>
  <c r="J28" i="15" s="1"/>
  <c r="H76" i="2"/>
  <c r="H90" i="2" s="1"/>
  <c r="F90" i="2"/>
  <c r="G6" i="3"/>
  <c r="C6" i="3"/>
  <c r="B19" i="3"/>
  <c r="D21" i="3" s="1"/>
  <c r="P13" i="17"/>
  <c r="P16" i="17" s="1"/>
  <c r="G28" i="1"/>
  <c r="I28" i="1" s="1"/>
  <c r="E61" i="2"/>
  <c r="E63" i="2" s="1"/>
  <c r="E64" i="2" s="1"/>
  <c r="BI108" i="4" l="1"/>
  <c r="BI107" i="4" s="1"/>
  <c r="BI106" i="4" s="1"/>
  <c r="BI105" i="4" s="1"/>
  <c r="BB108" i="4"/>
  <c r="H32" i="1"/>
  <c r="G39" i="6"/>
  <c r="C16" i="1" s="1"/>
  <c r="G39" i="5"/>
  <c r="C15" i="1" s="1"/>
  <c r="G39" i="7"/>
  <c r="C17" i="1" s="1"/>
  <c r="G39" i="8"/>
  <c r="C18" i="1" s="1"/>
  <c r="G39" i="10"/>
  <c r="C20" i="1" s="1"/>
  <c r="G39" i="12"/>
  <c r="C22" i="1" s="1"/>
  <c r="G39" i="14"/>
  <c r="C24" i="1" s="1"/>
  <c r="G39" i="16"/>
  <c r="O44" i="17" s="1"/>
  <c r="O59" i="17" s="1"/>
  <c r="G39" i="15"/>
  <c r="C25" i="1" s="1"/>
  <c r="G39" i="13"/>
  <c r="L40" i="17" s="1"/>
  <c r="M44" i="17"/>
  <c r="M59" i="17" s="1"/>
  <c r="G39" i="11"/>
  <c r="C21" i="1" s="1"/>
  <c r="I44" i="17"/>
  <c r="I59" i="17" s="1"/>
  <c r="H44" i="17"/>
  <c r="H59" i="17" s="1"/>
  <c r="H40" i="17"/>
  <c r="C40" i="17"/>
  <c r="D44" i="17"/>
  <c r="D59" i="17" s="1"/>
  <c r="I6" i="3"/>
  <c r="G7" i="3"/>
  <c r="E6" i="3"/>
  <c r="E7" i="3" s="1"/>
  <c r="E8" i="3" s="1"/>
  <c r="E9" i="3" s="1"/>
  <c r="E10" i="3" s="1"/>
  <c r="E11" i="3" s="1"/>
  <c r="E12" i="3" s="1"/>
  <c r="E13" i="3" s="1"/>
  <c r="E14" i="3" s="1"/>
  <c r="E15" i="3" s="1"/>
  <c r="E16" i="3" s="1"/>
  <c r="E17" i="3" s="1"/>
  <c r="C19" i="3"/>
  <c r="C44" i="17" l="1"/>
  <c r="C59" i="17" s="1"/>
  <c r="K40" i="17"/>
  <c r="D40" i="17"/>
  <c r="M40" i="17"/>
  <c r="E44" i="17"/>
  <c r="E59" i="17" s="1"/>
  <c r="E40" i="17"/>
  <c r="I40" i="17"/>
  <c r="K44" i="17"/>
  <c r="K59" i="17" s="1"/>
  <c r="N44" i="17"/>
  <c r="N59" i="17" s="1"/>
  <c r="N40" i="17"/>
  <c r="G40" i="17"/>
  <c r="G44" i="17"/>
  <c r="G59" i="17" s="1"/>
  <c r="O40" i="17"/>
  <c r="C26" i="1"/>
  <c r="L44" i="17"/>
  <c r="L59" i="17" s="1"/>
  <c r="C23" i="1"/>
  <c r="C28" i="1" s="1"/>
  <c r="I32" i="1" s="1"/>
  <c r="J44" i="17"/>
  <c r="J59" i="17" s="1"/>
  <c r="J40" i="17"/>
  <c r="I7" i="3"/>
  <c r="G8" i="3"/>
  <c r="P44" i="17" l="1"/>
  <c r="P40" i="17"/>
  <c r="P59" i="17"/>
  <c r="I8" i="3"/>
  <c r="G9" i="3"/>
  <c r="G10" i="3" l="1"/>
  <c r="I9" i="3"/>
  <c r="I10" i="3" l="1"/>
  <c r="G11" i="3"/>
  <c r="I11" i="3" l="1"/>
  <c r="G12" i="3"/>
  <c r="I12" i="3" l="1"/>
  <c r="G13" i="3"/>
  <c r="G14" i="3" l="1"/>
  <c r="I14" i="3" s="1"/>
  <c r="I13" i="3"/>
  <c r="G15" i="3" l="1"/>
  <c r="I15" i="3" s="1"/>
  <c r="G16" i="3" l="1"/>
  <c r="I16" i="3" s="1"/>
  <c r="G17" i="3"/>
  <c r="I17" i="3" s="1"/>
</calcChain>
</file>

<file path=xl/sharedStrings.xml><?xml version="1.0" encoding="utf-8"?>
<sst xmlns="http://schemas.openxmlformats.org/spreadsheetml/2006/main" count="3951" uniqueCount="1157">
  <si>
    <t>YEAR</t>
  </si>
  <si>
    <t>Financial Goal:</t>
  </si>
  <si>
    <t>NET SAVING</t>
  </si>
  <si>
    <t>TAX/Refund</t>
  </si>
  <si>
    <t>INCOME</t>
  </si>
  <si>
    <t>EXPENSES</t>
  </si>
  <si>
    <t>OFFERING</t>
  </si>
  <si>
    <t>January</t>
  </si>
  <si>
    <t>February</t>
  </si>
  <si>
    <t>March</t>
  </si>
  <si>
    <t>April</t>
  </si>
  <si>
    <t>May</t>
  </si>
  <si>
    <t>June</t>
  </si>
  <si>
    <t>July</t>
  </si>
  <si>
    <t>August</t>
  </si>
  <si>
    <t>September</t>
  </si>
  <si>
    <t>October</t>
  </si>
  <si>
    <t>November</t>
  </si>
  <si>
    <t>December</t>
  </si>
  <si>
    <t>offering rate</t>
  </si>
  <si>
    <t>monthly mortgage paym't</t>
  </si>
  <si>
    <t>w/o mortgage payment</t>
  </si>
  <si>
    <t>other expenses</t>
  </si>
  <si>
    <t>monthly w/o mortgage</t>
  </si>
  <si>
    <t>monthly w/ mortgage</t>
  </si>
  <si>
    <t>Income Breakdown:</t>
  </si>
  <si>
    <t>After Tax</t>
  </si>
  <si>
    <t>Liberty Mutual</t>
  </si>
  <si>
    <t>Teaching:</t>
  </si>
  <si>
    <t>DWC</t>
  </si>
  <si>
    <t>UNH</t>
  </si>
  <si>
    <t>(1) No mortgage payment except property tax.  Mortgage was paid off in Sep 2011.</t>
  </si>
  <si>
    <t>(2) Live on CK's daytime job and save his teaching income.</t>
  </si>
  <si>
    <t>(3) Save 30% of CK's daytime paycheck.</t>
  </si>
  <si>
    <t>(4) Find more cost effective recipes to feed family and guest – we want to continue to open house.</t>
  </si>
  <si>
    <t>Liberty Mutual (Bonus Excluded)</t>
  </si>
  <si>
    <t>Teaching Income Rec'd (Hard to predict)</t>
  </si>
  <si>
    <t>TOTAL - Last Year</t>
  </si>
  <si>
    <t>MAX.</t>
  </si>
  <si>
    <t>MIN.</t>
  </si>
  <si>
    <t>Utilities</t>
  </si>
  <si>
    <t>Electricity</t>
  </si>
  <si>
    <t>PSNH</t>
  </si>
  <si>
    <t>Water</t>
  </si>
  <si>
    <t>Merrimack Village District</t>
  </si>
  <si>
    <t>Wood Pellets (main heat)</t>
  </si>
  <si>
    <t>All Basics Stove Shop</t>
  </si>
  <si>
    <t>Propane (hot water; 2nd heat)</t>
  </si>
  <si>
    <t>BOT-L-GAS</t>
  </si>
  <si>
    <t>Total estimated monthly utilities</t>
  </si>
  <si>
    <t>Cable &amp; Internet</t>
  </si>
  <si>
    <t>Comcast</t>
  </si>
  <si>
    <t>Allowance</t>
  </si>
  <si>
    <t>Credit Card Paym't</t>
  </si>
  <si>
    <t>Annual Exp. By month</t>
  </si>
  <si>
    <t>See below Annual Exp.</t>
  </si>
  <si>
    <t>Car registration</t>
  </si>
  <si>
    <t>2 cars</t>
  </si>
  <si>
    <t>Umbrella Insurance (home &amp; auto)</t>
  </si>
  <si>
    <t>Gallant Insurance</t>
  </si>
  <si>
    <t>CK's Life Insurance</t>
  </si>
  <si>
    <t>FC's Life Insurance</t>
  </si>
  <si>
    <t>Property Tax (estimate)</t>
  </si>
  <si>
    <t>Children's School (BJU curriculum)</t>
  </si>
  <si>
    <t>Piano, dance, sports activities</t>
  </si>
  <si>
    <t>/12 month</t>
  </si>
  <si>
    <t>Sports: Upward basketball, 2 soccer seasons: spring and fall</t>
  </si>
  <si>
    <t>Bi-Annual Expense</t>
  </si>
  <si>
    <t>Septic Tank Maintenance (every two years)</t>
  </si>
  <si>
    <t>2years</t>
  </si>
  <si>
    <t>Oversea Travel to Taiwan (Airfare &amp; others)</t>
  </si>
  <si>
    <t>TOTAL</t>
  </si>
  <si>
    <t>Regular Income</t>
  </si>
  <si>
    <t>Monthly Expense</t>
  </si>
  <si>
    <t>NET (w/o Offering)</t>
  </si>
  <si>
    <t>less: 13% offering</t>
  </si>
  <si>
    <t>Saving $</t>
  </si>
  <si>
    <t>Saving%</t>
  </si>
  <si>
    <t>ANNUAL EXPENSES (Actual vs. Budgeting)</t>
  </si>
  <si>
    <t xml:space="preserve">Actual </t>
  </si>
  <si>
    <t>Under/(Over)</t>
  </si>
  <si>
    <t>YTD Total</t>
  </si>
  <si>
    <t>Annual Budget</t>
  </si>
  <si>
    <t>Available</t>
  </si>
  <si>
    <t>Monthly Bgt</t>
  </si>
  <si>
    <t>Utilities:</t>
  </si>
  <si>
    <t>House heating</t>
  </si>
  <si>
    <t>Pellets</t>
  </si>
  <si>
    <t>Water heating</t>
  </si>
  <si>
    <t>Propane</t>
  </si>
  <si>
    <t>300 gallons a year maximum</t>
  </si>
  <si>
    <t>Communication:</t>
  </si>
  <si>
    <t>Cell phone</t>
  </si>
  <si>
    <t>AT&amp;T,  T-mobile</t>
  </si>
  <si>
    <t>Insurance:</t>
  </si>
  <si>
    <t>Home &amp; Umbrella</t>
  </si>
  <si>
    <t>Commerce Insurance</t>
  </si>
  <si>
    <t>Car Insurance</t>
  </si>
  <si>
    <t>Life Insurance Premium</t>
  </si>
  <si>
    <t>Home Maintenance:</t>
  </si>
  <si>
    <t>House repairs(materials),  fish tank filters, house plants</t>
  </si>
  <si>
    <t>Painting, remodeling &amp; new tools for remodeling etc.</t>
  </si>
  <si>
    <t>Furniture &amp; home deco</t>
  </si>
  <si>
    <t>Living:</t>
  </si>
  <si>
    <t>Cash Allowance</t>
  </si>
  <si>
    <t>Groceries &amp; Food</t>
  </si>
  <si>
    <t>Tassimo Coffee &amp; Salmon Seafood</t>
  </si>
  <si>
    <t>Necessities (non-food) ie. Detergent, shampoo, cookware etc</t>
  </si>
  <si>
    <t>Clothes &amp; Shoes</t>
  </si>
  <si>
    <t>Haircut &amp; Skin products</t>
  </si>
  <si>
    <t>Car:</t>
  </si>
  <si>
    <t>Registry</t>
  </si>
  <si>
    <t>Job Related Exp:</t>
  </si>
  <si>
    <t>CK's Gasoline</t>
  </si>
  <si>
    <t>Transportation</t>
  </si>
  <si>
    <t>MBTA, bus, train, toll fee, parking</t>
  </si>
  <si>
    <t>CK's Books &amp; Data</t>
  </si>
  <si>
    <t>Computer, electronics, internet service exp</t>
  </si>
  <si>
    <t>CK's meal at work w/coworkers</t>
  </si>
  <si>
    <t>Education:</t>
  </si>
  <si>
    <t>Homeschooling exp.</t>
  </si>
  <si>
    <t>BJU Curriculumn</t>
  </si>
  <si>
    <t>School supplies</t>
  </si>
  <si>
    <t>Ink cartridges, paper &amp; pen etc.</t>
  </si>
  <si>
    <t>Piano/Art lesson</t>
  </si>
  <si>
    <t>Sports / Camp /Awana fees</t>
  </si>
  <si>
    <t>Admission fee to parks, museums</t>
  </si>
  <si>
    <t>Lodge, hotel</t>
  </si>
  <si>
    <t>Gifts to family members</t>
  </si>
  <si>
    <t>Gifts to others</t>
  </si>
  <si>
    <t>Medical &amp; Health</t>
  </si>
  <si>
    <t>Vitamins, co-pay, out of pocket etc.</t>
  </si>
  <si>
    <t>Misc</t>
  </si>
  <si>
    <t>USPS, phonecard, fee, DVD rental</t>
  </si>
  <si>
    <t>Proverbs 3:9</t>
  </si>
  <si>
    <t>“HONOR the Lord with your wealth, with the FIRST fruits of all your crops”</t>
  </si>
  <si>
    <t>Income</t>
  </si>
  <si>
    <t>Goal 10%</t>
  </si>
  <si>
    <t>Realized Giving</t>
  </si>
  <si>
    <t>Fund to Allocate</t>
  </si>
  <si>
    <t>Realized giving %</t>
  </si>
  <si>
    <t>Acc. Income</t>
  </si>
  <si>
    <t>Accum Giving</t>
  </si>
  <si>
    <t>Acc. %</t>
  </si>
  <si>
    <t>Total</t>
  </si>
  <si>
    <t>Avg monthly</t>
  </si>
  <si>
    <t>giving %</t>
  </si>
  <si>
    <t>Budgeted Amt</t>
  </si>
  <si>
    <t xml:space="preserve">Realized </t>
  </si>
  <si>
    <t>Receipt?</t>
  </si>
  <si>
    <t>MVBC</t>
  </si>
  <si>
    <t>IBM Global</t>
  </si>
  <si>
    <t>Tom &amp; Grace Chu</t>
  </si>
  <si>
    <t>Mason &amp; Charity Parker</t>
  </si>
  <si>
    <t>Baptist Mid Mission</t>
  </si>
  <si>
    <t>Kirk Lehner</t>
  </si>
  <si>
    <t>Pioneers</t>
  </si>
  <si>
    <t>Jason &amp; Sara Morris</t>
  </si>
  <si>
    <t>Biblical Ministries Worldwide</t>
  </si>
  <si>
    <t>Steve &amp; Janes Gibb</t>
  </si>
  <si>
    <t>Office support</t>
  </si>
  <si>
    <t>EMU International</t>
  </si>
  <si>
    <t>Tim &amp; Ruth Bixby</t>
  </si>
  <si>
    <t>Answers In Genesis</t>
  </si>
  <si>
    <t>CEF Greater NYC</t>
  </si>
  <si>
    <t>Southern NH Rescue Mission</t>
  </si>
  <si>
    <t>monthly</t>
  </si>
  <si>
    <t xml:space="preserve"> </t>
  </si>
  <si>
    <t>weekly</t>
  </si>
  <si>
    <t>DETAILED GIVING ALLOCATION:</t>
  </si>
  <si>
    <t>ck#</t>
  </si>
  <si>
    <t>date</t>
  </si>
  <si>
    <t>Amt $</t>
  </si>
  <si>
    <t>Note</t>
  </si>
  <si>
    <t>Thailand</t>
  </si>
  <si>
    <t>China</t>
  </si>
  <si>
    <t>Vanuatu</t>
  </si>
  <si>
    <t>South Pacific</t>
  </si>
  <si>
    <t>France</t>
  </si>
  <si>
    <t>Elisa &amp; Helen Teo</t>
  </si>
  <si>
    <t>Chinese children in NYC</t>
  </si>
  <si>
    <t>Annual Fund Drive</t>
  </si>
  <si>
    <t>Easter</t>
  </si>
  <si>
    <t>CareNet</t>
  </si>
  <si>
    <t>NYC</t>
  </si>
  <si>
    <t>Thanksgiving</t>
  </si>
  <si>
    <t>Electricity (Prior month):  Christmas and New Year Eve Party paid in Feb. Part of Christmas light in Jan.</t>
  </si>
  <si>
    <t>Propane (Current month)</t>
  </si>
  <si>
    <t>***  Pellet stove installed.  Propane is for heating water mainly and will be secondary heating source.  Unless propane drops below $2.099!!!</t>
  </si>
  <si>
    <t>(See Breakeven Analyses, below)</t>
  </si>
  <si>
    <t>^ guests visit &amp; stay over less than a week</t>
  </si>
  <si>
    <t>1.)Electric heater on from Nov 08 to Apr 09 for homeschooling in basement.  Electric heater costs lots of $.</t>
  </si>
  <si>
    <t xml:space="preserve">@ guests (most family members from TW) visit &amp; stay over for more than two week to a month. </t>
  </si>
  <si>
    <t>2.)Central A/C installed 7/23/10.</t>
  </si>
  <si>
    <t xml:space="preserve">3.)Moved schoolroom to library in Sep. 2009.  </t>
  </si>
  <si>
    <t>$ using electric heater for library school time.  Better using propane than electric heater.</t>
  </si>
  <si>
    <t>Year 2008 Spring to 2009Spring, open home to Ladies Bible Studies.</t>
  </si>
  <si>
    <t>4) Travel to Taiwan.</t>
  </si>
  <si>
    <t>5) Ryan Chou stayed with us 2005 to Jul 2007.    Anne Lee stayed with us from Aug 2008 to Jun 2010.  T&amp;G Chu stayed Sep to Nov 2011.</t>
  </si>
  <si>
    <t>Energy Saving Plans: (1) Reserve hot water usage.  Short showers not bath too often.  (2) Sleep in basement bedroom together in the winter.  It's cozy and warm with pellet stove on, so no need to turn propane on in the 2nd floor bedrooms unless guests come and occupy the basement bedroom.</t>
  </si>
  <si>
    <t>6) Unit price up since 2009</t>
  </si>
  <si>
    <t>House Heating Secondary</t>
  </si>
  <si>
    <t>Since 9/2006</t>
  </si>
  <si>
    <t>Begins in 2012</t>
  </si>
  <si>
    <t>2005 to 2011 Water &amp; House Heating</t>
  </si>
  <si>
    <t>Paid Month</t>
  </si>
  <si>
    <t>6)</t>
  </si>
  <si>
    <t>Avg usage</t>
  </si>
  <si>
    <t>Max kwh</t>
  </si>
  <si>
    <t>Min kwh</t>
  </si>
  <si>
    <t>Jan</t>
  </si>
  <si>
    <t>4)</t>
  </si>
  <si>
    <t>1)</t>
  </si>
  <si>
    <t>Propane Only</t>
  </si>
  <si>
    <t xml:space="preserve">Propane </t>
  </si>
  <si>
    <t xml:space="preserve">Pellet </t>
  </si>
  <si>
    <t>Total Heating</t>
  </si>
  <si>
    <t>Feb</t>
  </si>
  <si>
    <t>$5.4/bag</t>
  </si>
  <si>
    <t>New Schedule</t>
  </si>
  <si>
    <t>est</t>
  </si>
  <si>
    <t>Avg GL</t>
  </si>
  <si>
    <t>Max Gallon</t>
  </si>
  <si>
    <t>Min, Gallon</t>
  </si>
  <si>
    <t>Mar</t>
  </si>
  <si>
    <t>5)</t>
  </si>
  <si>
    <t>Apr</t>
  </si>
  <si>
    <t>@</t>
  </si>
  <si>
    <t>Jun</t>
  </si>
  <si>
    <t>Jul</t>
  </si>
  <si>
    <t>*</t>
  </si>
  <si>
    <t>Aug</t>
  </si>
  <si>
    <t>***</t>
  </si>
  <si>
    <t>Sep</t>
  </si>
  <si>
    <t>*5)</t>
  </si>
  <si>
    <t>Oct</t>
  </si>
  <si>
    <t>3)</t>
  </si>
  <si>
    <t>Nov</t>
  </si>
  <si>
    <t>Dec</t>
  </si>
  <si>
    <t>5)@</t>
  </si>
  <si>
    <t>Usage</t>
  </si>
  <si>
    <t>(1)</t>
  </si>
  <si>
    <t>Avg Usage</t>
  </si>
  <si>
    <t>Avg Mnth$</t>
  </si>
  <si>
    <t>Avg G</t>
  </si>
  <si>
    <t>Gallon</t>
  </si>
  <si>
    <t>Avg $/mo</t>
  </si>
  <si>
    <t>Purchase unit price</t>
  </si>
  <si>
    <t>$/g</t>
  </si>
  <si>
    <t>Water (Prior 3 months)</t>
  </si>
  <si>
    <t>actual $/gl</t>
  </si>
  <si>
    <t>*water leak found in Oct. '06</t>
  </si>
  <si>
    <t>^estimated usage  cause no bill in file</t>
  </si>
  <si>
    <t>?need to find if leaked, changed to manually switch on/off lawn irrigation to save water bill</t>
  </si>
  <si>
    <t>Average</t>
  </si>
  <si>
    <t>1/3 yard expansion in 7/2009</t>
  </si>
  <si>
    <t>Propane usage (w/o pellets)</t>
  </si>
  <si>
    <t>Pellets - projected</t>
  </si>
  <si>
    <t>Propane for water heating</t>
  </si>
  <si>
    <t xml:space="preserve">!  Water dripping from backyard facet in the winter.   Remember to check backyard facet if turned off in the winter.  </t>
  </si>
  <si>
    <t>5 summer months (May – Sep)</t>
  </si>
  <si>
    <t>Mid Oct +Nov.</t>
  </si>
  <si>
    <t>Since  Feb/2007</t>
  </si>
  <si>
    <t>March + Mid April</t>
  </si>
  <si>
    <t>Month</t>
  </si>
  <si>
    <t>bags</t>
  </si>
  <si>
    <t>gallons (maximum usage)</t>
  </si>
  <si>
    <t>^</t>
  </si>
  <si>
    <t>!</t>
  </si>
  <si>
    <t>= 3 tons</t>
  </si>
  <si>
    <t>(40 gallons of water tank, based on the info on tank: 266 gallons of gas to heat water a year)</t>
  </si>
  <si>
    <t>But I doubt we can use that less.  How to cut water heating cost?</t>
  </si>
  <si>
    <t>?</t>
  </si>
  <si>
    <t>BREAK-EVEN POINT for Propane Unit Price and Usage</t>
  </si>
  <si>
    <t>(1) Using Actual Average Unit Price:</t>
  </si>
  <si>
    <t>*2011 winter began using propane and pellets</t>
  </si>
  <si>
    <t>If 350 gallons of propane heating water and 3 tons pellet heating house:</t>
  </si>
  <si>
    <t>Year</t>
  </si>
  <si>
    <t>Avg month</t>
  </si>
  <si>
    <t>Saving</t>
  </si>
  <si>
    <t>Y/N</t>
  </si>
  <si>
    <t>N</t>
  </si>
  <si>
    <t>Y</t>
  </si>
  <si>
    <t>BreakEven</t>
  </si>
  <si>
    <t>Actual $</t>
  </si>
  <si>
    <t>Actual usage</t>
  </si>
  <si>
    <t>Avg unit price</t>
  </si>
  <si>
    <t>IF Avg Usage = 806 gallons a year to heat both house and water (Propane Only):</t>
  </si>
  <si>
    <t>Cost</t>
  </si>
  <si>
    <t>(2)Using Pre-buy unit price</t>
  </si>
  <si>
    <t>$/gl (prebuy)</t>
  </si>
  <si>
    <t>CONCLUSION (1):  The breakeven point for average 806 gallons propane a year is $2.099.  Otherwise, use pellets to heat the house and propane to heat water to save $.</t>
  </si>
  <si>
    <t>CONCLUSION (2):  The breakeven point for reserve propane use to heat house and water: $2.549/gl for 745 gallons a year.  Otherwise, use pellets to heat the house and propane to heat water to save $.</t>
  </si>
  <si>
    <t>CONCLUSION (3):  In 2013, the saving is expected to cover the cost of pellet stove and pipes.  After 2013, it can be pure money saved to our pocket!</t>
  </si>
  <si>
    <t>Breakeven to cover the cost of pellet stove &amp; insulated pipes</t>
  </si>
  <si>
    <t>From 2005 to 2011, average usage of propane for heating water and house is</t>
  </si>
  <si>
    <t>(Based on monthly average usage. See  (1).)</t>
  </si>
  <si>
    <t xml:space="preserve">In 2011, Cost of pellet stove and insulated pipes:  $1399.99 + $572.01 = $1972. </t>
  </si>
  <si>
    <t>Cost of pellet stove and pipes will be breakeven in five years if (1) propane price stays in $3/gl &amp; 3 tons of pellets used.  But it will be less than four years if propane keeps rising more than #3.599/gl.</t>
  </si>
  <si>
    <t>Pre-buy</t>
  </si>
  <si>
    <t>Avg</t>
  </si>
  <si>
    <t>Unit Price</t>
  </si>
  <si>
    <t>Avg use Cost</t>
  </si>
  <si>
    <t>Actual Cost</t>
  </si>
  <si>
    <t>Accumulated</t>
  </si>
  <si>
    <t xml:space="preserve">Year </t>
  </si>
  <si>
    <t>Total Avg</t>
  </si>
  <si>
    <t>Actual Saving</t>
  </si>
  <si>
    <t xml:space="preserve">Wood Pellets Purchase </t>
  </si>
  <si>
    <t>Tons</t>
  </si>
  <si>
    <t>Delivery Fee</t>
  </si>
  <si>
    <t>$/bag</t>
  </si>
  <si>
    <t>Bags Used</t>
  </si>
  <si>
    <t>Amount</t>
  </si>
  <si>
    <t>Clear Choice</t>
  </si>
  <si>
    <t>Logik-E Premium Hardwood</t>
  </si>
  <si>
    <t>**** Estimate beginning in 2012, heating water will need :</t>
  </si>
  <si>
    <t>Maximum</t>
  </si>
  <si>
    <t>Minimum</t>
  </si>
  <si>
    <t>5 summer months (May - Sep)</t>
  </si>
  <si>
    <t>7 winter/cold months (Oct - April)</t>
  </si>
  <si>
    <t>gallons of propane to heating water</t>
  </si>
  <si>
    <t>estimate $3/gl + $150</t>
  </si>
  <si>
    <t>* prefer the minimum - save $$$, monitor hot water usage beginning in Jan. 2012 by checking the propane meter.</t>
  </si>
  <si>
    <t>Burning pellets to heat up house</t>
  </si>
  <si>
    <t>(house temperature stay around 67 to 72 on 1st flr and 63 to 65 on 2nd flr, comparing to 62 using propane and feeling cold all the time)</t>
  </si>
  <si>
    <t>Total heating cost (est.)</t>
  </si>
  <si>
    <t>Liberty Univ.</t>
  </si>
  <si>
    <t>Withheld</t>
  </si>
  <si>
    <t>Property Tax</t>
  </si>
  <si>
    <t>Gifts to CK's parents</t>
  </si>
  <si>
    <t>Actual Total</t>
  </si>
  <si>
    <t>Cash/Check</t>
  </si>
  <si>
    <t>TD (CK)</t>
  </si>
  <si>
    <t>BOA (FC)</t>
  </si>
  <si>
    <t>Home Improvement:</t>
  </si>
  <si>
    <t xml:space="preserve">SAVING ACCOUNT - </t>
  </si>
  <si>
    <t xml:space="preserve">DISTRIBUTION DETAILS </t>
  </si>
  <si>
    <t>SUBACCOUNTS</t>
  </si>
  <si>
    <t>Carryover</t>
  </si>
  <si>
    <t>prior year</t>
  </si>
  <si>
    <t>Distribution</t>
  </si>
  <si>
    <t>Balance</t>
  </si>
  <si>
    <t xml:space="preserve">Gifts to FC's parents </t>
  </si>
  <si>
    <t>Frances' allowance</t>
  </si>
  <si>
    <t>Money gifts received to Nathan</t>
  </si>
  <si>
    <t>Money gifts received to Eileen</t>
  </si>
  <si>
    <t>(Principal $10000, APR 5%)</t>
  </si>
  <si>
    <t>** Will offset withheld in the year end and carry balance over to coming year</t>
  </si>
  <si>
    <t>Borrowed from Dad's money%</t>
  </si>
  <si>
    <t>04/26/2010 balance</t>
  </si>
  <si>
    <t>2/26/2012 Balance</t>
  </si>
  <si>
    <t>I owe Dad (Principal) from 4/26/10</t>
  </si>
  <si>
    <t>Interest total</t>
  </si>
  <si>
    <t>Chris' Job Related Travel Log</t>
  </si>
  <si>
    <t>Date</t>
  </si>
  <si>
    <t>Travel To</t>
  </si>
  <si>
    <t>For what?</t>
  </si>
  <si>
    <t>SAS Conference</t>
  </si>
  <si>
    <t>Answer In Genesis</t>
  </si>
  <si>
    <t>@ guests visit more than 2 weeks.    ^ guest visit less than 2 weeks.</t>
  </si>
  <si>
    <t>5)^</t>
  </si>
  <si>
    <t>2)^</t>
  </si>
  <si>
    <t>Kids College Fund</t>
  </si>
  <si>
    <t>Year 2012</t>
  </si>
  <si>
    <t>Loan</t>
  </si>
  <si>
    <t>FC's Dad</t>
  </si>
  <si>
    <t>(Pre-purchase 350 gallons and limit hot water usage, $150 least charge for usage below 600 gallons) $4/gallon, $1550 estimated total</t>
  </si>
  <si>
    <t>3 Tons of Wood Pellets, $260/ton, wait until mid November to use pellet stove if possible.</t>
  </si>
  <si>
    <t>MONTHLY INCOME</t>
  </si>
  <si>
    <t>MONTHLY OFFERING</t>
  </si>
  <si>
    <t>MONTHLY EXPENSES</t>
  </si>
  <si>
    <t>KIDS COLLEGE FUND</t>
  </si>
  <si>
    <t>BUDGETED SAVING (MONTHLY)</t>
  </si>
  <si>
    <t>EMERGENCY FUND</t>
  </si>
  <si>
    <t>LOAN (Lender: FC's Dad)</t>
  </si>
  <si>
    <t>CASH GIFT TO PARENTS</t>
  </si>
  <si>
    <t>2 sides of parents</t>
  </si>
  <si>
    <t>Amount Left for Spending</t>
  </si>
  <si>
    <t>Cell Phone</t>
  </si>
  <si>
    <t>AT&amp;T</t>
  </si>
  <si>
    <t>All cards together</t>
  </si>
  <si>
    <t>($100 piano, $45 soccer, $65 Upward, $40 AWANA)</t>
  </si>
  <si>
    <t>Home Indoor Appliance &amp; maintenance</t>
  </si>
  <si>
    <t>Fish Tank &amp; House Plants (food)</t>
  </si>
  <si>
    <t>Outdoor yard (Seeding, fertilizers, plants etc.)</t>
  </si>
  <si>
    <t>Yard tools maintenance (mowner, snow thrower)</t>
  </si>
  <si>
    <t>Septic Tank pumped up &amp; monthly maintenance</t>
  </si>
  <si>
    <t>Pellet stove cleanup annually</t>
  </si>
  <si>
    <t>Repairs &amp; Maintenance (Oil change)</t>
  </si>
  <si>
    <t>Applicance maintenance/repair (generator, A/C, water heater, furnance)</t>
  </si>
  <si>
    <t>Gasoline (Sienna) not traveling</t>
  </si>
  <si>
    <t>Pasture Pig *1/2</t>
  </si>
  <si>
    <t>(Salmon $10 and Coffee $10)</t>
  </si>
  <si>
    <t>Offering/Giving</t>
  </si>
  <si>
    <t>Allowance to CK's Parents</t>
  </si>
  <si>
    <t>Allowance to FC's Parents</t>
  </si>
  <si>
    <t>FC's pocket money</t>
  </si>
  <si>
    <t xml:space="preserve">Loan (Lender: FC's Dad.. </t>
  </si>
  <si>
    <t>Plan to save for emergency fund</t>
  </si>
  <si>
    <t>Family Dine-out(Special Occasions Only) like B-day</t>
  </si>
  <si>
    <t>Vacation - Food/Eat Out</t>
  </si>
  <si>
    <t>Vacation Transportation exp. (Gas, Airfare. Train etc)</t>
  </si>
  <si>
    <t>Movie Night, DVD Rental</t>
  </si>
  <si>
    <t>Gifts</t>
  </si>
  <si>
    <t xml:space="preserve"> to Sunday school teachers, shower gifts</t>
  </si>
  <si>
    <t>Family Fun</t>
  </si>
  <si>
    <t>Fish &amp; Loaves/Entertainment</t>
  </si>
  <si>
    <t>Food Cost when guests over or Fish &amp; Loaves</t>
  </si>
  <si>
    <t>Art Purchase (not budgeted, taken out from emergency fund)</t>
  </si>
  <si>
    <t>INCOME (ESTIMATED)</t>
  </si>
  <si>
    <t>Annual Income</t>
  </si>
  <si>
    <t>Monthly Income</t>
  </si>
  <si>
    <t>Bonus - Liberty Mutual</t>
  </si>
  <si>
    <t>Teaching Income (UNH, Liberty U, DWC possible)</t>
  </si>
  <si>
    <t>Income is not enough for spending and planned saving.  Won't be able to save $2000/mo for kids' education fund.  The only way is to cut down giving, go for strictly 10%</t>
  </si>
  <si>
    <t>If no teaching income, it will be even worst.</t>
  </si>
  <si>
    <t>EXPENSES WILL BE DEDUCTED FROM EMERGENCY FUND DIRECTLY</t>
  </si>
  <si>
    <t>(1) Medical Expense</t>
  </si>
  <si>
    <t>Lab Fee, out of pocket fee (it is hard to budget this exp)</t>
  </si>
  <si>
    <t>ACTUAL TOTAL*</t>
  </si>
  <si>
    <t>* (Medical &amp; Vacation Exp will be directly deducted from emergency fund, Not included here)</t>
  </si>
  <si>
    <t>OFFERING/GIVING</t>
  </si>
  <si>
    <t xml:space="preserve">4 tons ordered but limit use 3 tons </t>
  </si>
  <si>
    <t>300 gallons a year maximum, 350 gallons ordered</t>
  </si>
  <si>
    <t>AVAILABLE FOR EXPENSE</t>
  </si>
  <si>
    <t>GIVING %</t>
  </si>
  <si>
    <t>WITHHELD</t>
  </si>
  <si>
    <t>DEBT</t>
  </si>
  <si>
    <t>SAVING</t>
  </si>
  <si>
    <t>MONTH-END EXTRA SAVING FOR EMERGENCY FUND</t>
  </si>
  <si>
    <t>(3) Art Purchase (not budgeted, taken out from emergency fund)</t>
  </si>
  <si>
    <t>REGULAR EXPENSES</t>
  </si>
  <si>
    <t>IRREGULAR EXPENSES (deducted from emergency fund)</t>
  </si>
  <si>
    <t>REGULAR EXPENSES*</t>
  </si>
  <si>
    <t>(Medical exp, vacation, art purchase)</t>
  </si>
  <si>
    <t>IRREGULAR EXPENSES</t>
  </si>
  <si>
    <t>*** deducted directly from the emergency fund</t>
  </si>
  <si>
    <t>YEAR 2013</t>
  </si>
  <si>
    <t>Carry-Over</t>
  </si>
  <si>
    <t>Annual Bdgt</t>
  </si>
  <si>
    <t>Avaiable</t>
  </si>
  <si>
    <t>PRIOR YEAR FEDERAL/STATE TAX REFUND</t>
  </si>
  <si>
    <t>Extra saving to emergency fund</t>
  </si>
  <si>
    <r>
      <t>IRREGULAR EXPENSES</t>
    </r>
    <r>
      <rPr>
        <b/>
        <sz val="10.5"/>
        <color rgb="FFFF0000"/>
        <rFont val="Century"/>
        <family val="1"/>
      </rPr>
      <t xml:space="preserve"> (deducted from emergency fund)</t>
    </r>
  </si>
  <si>
    <t>Lab Fee, dental, out of pocket fee (it is hard to budget this exp)</t>
  </si>
  <si>
    <t>Medical</t>
  </si>
  <si>
    <t>Vacation</t>
  </si>
  <si>
    <t>Art purchase</t>
  </si>
  <si>
    <t>Prior year TAX REFUND</t>
  </si>
  <si>
    <t>PROPERTY TAX</t>
  </si>
  <si>
    <t>(Principal $18750, APR 6%)</t>
  </si>
  <si>
    <t>$18750 in July 2009 to July 2010</t>
  </si>
  <si>
    <t>$10000 in 12/10</t>
  </si>
  <si>
    <t>Regular Income (Based on bi-weekly salary rec'd in Oct-Dec, 2012)</t>
  </si>
  <si>
    <t>Vitamins, over counter medicine</t>
  </si>
  <si>
    <t>Cash Allowance - CK's</t>
  </si>
  <si>
    <t>$60/week</t>
  </si>
  <si>
    <t>Medical Insurance Exp. (CK's Parents)</t>
  </si>
  <si>
    <t>Medical Insurance Exp. (FC's Parents)</t>
  </si>
  <si>
    <t>Medical Insurance Exp. (CK's parents)</t>
  </si>
  <si>
    <t>Medical Insurance Exp. (FC's parents)</t>
  </si>
  <si>
    <t>Extra to CK's Parents</t>
  </si>
  <si>
    <t>Extra to FC's Parents</t>
  </si>
  <si>
    <t>BUDGETED</t>
  </si>
  <si>
    <t>ACTUAL</t>
  </si>
  <si>
    <t>Medical Insurance Premium</t>
  </si>
  <si>
    <t>Insurance Premium Distribution</t>
  </si>
  <si>
    <t>Medical Distribution</t>
  </si>
  <si>
    <t>Extra to cover Property Tax</t>
  </si>
  <si>
    <t>(Budgeted to paint one room a year)</t>
  </si>
  <si>
    <t>(Future project: Deck)</t>
  </si>
  <si>
    <t xml:space="preserve">Applicance maintenance/repair (generator, A/C, water heater, furnance) </t>
  </si>
  <si>
    <t>Repairs &amp; Maintenance (Oil change) $180/car</t>
  </si>
  <si>
    <t>Necessities (non-food) ie. Tissues, detergent, shampoo, cookware etc</t>
  </si>
  <si>
    <t>* Summer months.  Next year (2012) set thermo at 80-85 and see if lower $.  Use fan often.</t>
  </si>
  <si>
    <t>When outdoor temp reaches to 85, time to turn on A/C to 80 for cooling down.  Otherwise, use fan or hide in the basement.</t>
  </si>
  <si>
    <t>CK's Life $500,000</t>
  </si>
  <si>
    <t>***** REGULAR EXPENSES EXCLUDED FROM ANNUAL EXPENSES (pellets, water heating, insurance premium, home gears &amp; car maintenance, car register, &amp; curriculum purchase &amp; gifts)</t>
  </si>
  <si>
    <t>Outdoor yard (Seeding, fertilizers, plants, lawn service etc.)</t>
  </si>
  <si>
    <t>10 cu yard mulch ordered in 2012, need to order every 3-5 years, next order maybe in 2017</t>
  </si>
  <si>
    <t>septic tank emptied in 1/2012.  Need to do it in 5/2014.  But need monthly maintenance.</t>
  </si>
  <si>
    <t>May be able to clean up by myself this year using ash vacumm.  Order clean up next year in 2014?</t>
  </si>
  <si>
    <t xml:space="preserve"> Allowance Distribution</t>
  </si>
  <si>
    <t>Allowance Withheld</t>
  </si>
  <si>
    <t>Allowance Distribution</t>
  </si>
  <si>
    <t>Saved for future Medical</t>
  </si>
  <si>
    <t>Monthly Budgeted</t>
  </si>
  <si>
    <t>MONTH-END SAVING (to emergency fd)</t>
  </si>
  <si>
    <t>Extra for Income Tax</t>
  </si>
  <si>
    <t>Budgeted College Fund</t>
  </si>
  <si>
    <t>Extra from Emergency Fund to College</t>
  </si>
  <si>
    <t>DISTRIBUTION:</t>
  </si>
  <si>
    <t>Family Dine-out(Special Occasions Only) like B-day. Limited once a month.</t>
  </si>
  <si>
    <t>$100 for birthdays, Chinese New Year</t>
  </si>
  <si>
    <t>$70 for Christmas celebration</t>
  </si>
  <si>
    <t>Nathan's birthday $40</t>
  </si>
  <si>
    <t xml:space="preserve">X'fer fm allowance </t>
  </si>
  <si>
    <t>FC's Dad Account***</t>
  </si>
  <si>
    <t xml:space="preserve">*** FC's parents gave $10,000 each to N&amp;E when they were born.  Mom applied those $20,000 to our Wasseran Hts mortgage.  Grandpa Chou also put $100,000 here with FC in case of emergency we can use it.  </t>
  </si>
  <si>
    <t>Extra Interest</t>
  </si>
  <si>
    <t>FC's allowance saved for kids</t>
  </si>
  <si>
    <t>Borrowed to fund CK&amp;FC ETF investment in summer of 2009/2010, but it ended up with big loss. Paid off 12/7/12.</t>
  </si>
  <si>
    <t>Borrowed to pay our mortgage in Dec. 2010.  Paid off loan 5/5/12</t>
  </si>
  <si>
    <t>For future care (medical)</t>
  </si>
  <si>
    <t>4 tons ordered but limit use 3 tons</t>
  </si>
  <si>
    <t>7) Use furnance fan all day to circulate the hot air fro basement to 1st &amp; 2nd floor.</t>
  </si>
  <si>
    <t>7)</t>
  </si>
  <si>
    <t>CK's wool suit jackets</t>
  </si>
  <si>
    <t>Distribution to Kids' College Fd</t>
  </si>
  <si>
    <t>To cover living expenses</t>
  </si>
  <si>
    <t>Net Total College Fund</t>
  </si>
  <si>
    <t>Net Total Emergency Fd</t>
  </si>
  <si>
    <t xml:space="preserve">4 tons ordered </t>
  </si>
  <si>
    <t>light bulbs</t>
  </si>
  <si>
    <t>Tom Chu</t>
  </si>
  <si>
    <t>(2) Vacation *** Credit card cash back reward included in vacation transportation</t>
  </si>
  <si>
    <t>wall clock in kitchen/breaakfast nook area</t>
  </si>
  <si>
    <t>pool cue for pool table</t>
  </si>
  <si>
    <t>Project of this month:</t>
  </si>
  <si>
    <t>Meals &amp; hospitality:</t>
  </si>
  <si>
    <t>(1) New Year Eve Party C&amp;C</t>
  </si>
  <si>
    <t>(2) Dinner with Mason &amp; Charity 1/4/13</t>
  </si>
  <si>
    <t>Saving Account Balance</t>
  </si>
  <si>
    <t>To CDs account/Investent</t>
  </si>
  <si>
    <t>Net Papa Chou's Account</t>
  </si>
  <si>
    <t xml:space="preserve">*** FC's used $50,000 to mortgage principal for Grandpa Chou insisted it as a house warming gift.  But Chris refused.  We will save another $50,000 in the long term for FC's parents aging care.  </t>
  </si>
  <si>
    <t>*** If this portion does not be used up in the future, it can be used for N&amp;E's education.</t>
  </si>
  <si>
    <t>* Save all bonus received to emergency fund and children's education fund</t>
  </si>
  <si>
    <t>AP</t>
  </si>
  <si>
    <t>M/C</t>
  </si>
  <si>
    <t>(1) 1/2 pig is butchered 1/7/13, total raise &amp; process cost $246.25 (Oct 2012 to Jan 11,2013)</t>
  </si>
  <si>
    <t>Dine-out</t>
  </si>
  <si>
    <t>Family bowling night 12/24/12</t>
  </si>
  <si>
    <t>Cash Reward</t>
  </si>
  <si>
    <t>For allowance</t>
  </si>
  <si>
    <t>2013 Projected</t>
  </si>
  <si>
    <t>Annual Usage Projection - year 2013</t>
  </si>
  <si>
    <t>(2) Car Insurance of $955 &amp; Home+Umbrella Insurance of $674, Total $1629.</t>
  </si>
  <si>
    <t>(Monthly direct deposit to Daddy Chou's TDBank account)</t>
  </si>
  <si>
    <t>Home, Unbrella &amp; Car Insurance Premium payments</t>
  </si>
  <si>
    <t>WITHHELD*</t>
  </si>
  <si>
    <t>Annual Financial Snapshot  (Withheld includes: Offering, Property Tax, Both sides of Parents, &amp; Saving for college fund)</t>
  </si>
  <si>
    <t>Irish spring soaps</t>
  </si>
  <si>
    <t>ink</t>
  </si>
  <si>
    <t>pens to N&amp;E for finishing 3rd grade &amp; 1st grade!</t>
  </si>
  <si>
    <t>(Dad's TDBank acct)</t>
  </si>
  <si>
    <t>Rental Property</t>
  </si>
  <si>
    <t>Related purchase cost, appraisal report</t>
  </si>
  <si>
    <t xml:space="preserve">Mortgage </t>
  </si>
  <si>
    <t>Related purchase cost, appraisal cost, closing cost, tax</t>
  </si>
  <si>
    <t>Mortgage</t>
  </si>
  <si>
    <t>appraisal report</t>
  </si>
  <si>
    <t>Lend to Kuo for property purchase</t>
  </si>
  <si>
    <t>(1241-1251 Adams Street, Unit504, Dorchester, MA 02124)</t>
  </si>
  <si>
    <t>Lend to Adam Bonett (Car Loan)</t>
  </si>
  <si>
    <t>CapitalOne (CK)</t>
  </si>
  <si>
    <t>lamp</t>
  </si>
  <si>
    <t>$40 Extra this month for holidays.</t>
  </si>
  <si>
    <t>$40 more for Jan, March, April &amp;$70 Dec for birthdays, anniversary and holidays. (Veg, Fruit &amp; Dairy, not big purchase of meat)</t>
  </si>
  <si>
    <t>Extra $40 New Year Celebration</t>
  </si>
  <si>
    <t>$40 for Anniversary</t>
  </si>
  <si>
    <t>To Real Estate Purchase</t>
  </si>
  <si>
    <t>Financial Result:</t>
  </si>
  <si>
    <t>1. Purchased a condo in Boston 3/15/13 for $316,000. (25% down, mortgage $237,000)</t>
  </si>
  <si>
    <t>2. Rental property of 1241 Adams Street, Boston, MA 02124 is for Children's college fund.</t>
  </si>
  <si>
    <t>Loan borrowed from Papa Chou</t>
  </si>
  <si>
    <t>$62,000,@3% apr, 48 months</t>
  </si>
  <si>
    <t>20% down to 1241 Adams Street, #504, Boston, MA 02124 ($63,200)</t>
  </si>
  <si>
    <t>4. CK's 2013 salary increase $6000 (after tax about 4300) and bonus all go to Adams Street extra principal.</t>
  </si>
  <si>
    <t>3. Save $500 monthly toward Dad Chou's account to pay off the loan of $62,000 that borrowed in Feb 2013 for part of down payment for Adams Street property.  Hope to pay it off in 4 years.</t>
  </si>
  <si>
    <t>1. Monthly $2000 for Children's College Fund as part of expense budget. --------&gt;  Apply to extra principal after renting out the property.  Hope to pay off in less 6 years.</t>
  </si>
  <si>
    <t>CK's sneakers</t>
  </si>
  <si>
    <t>UPS to bank of Canton for mortgage application doc.</t>
  </si>
  <si>
    <t>Nathan's eye exam &amp; glasses, CK's prescription &amp; eye patch, blood pressure monitor</t>
  </si>
  <si>
    <t>Voyage of Dawn treadder</t>
  </si>
  <si>
    <t>3/15/2013 Closing Adams Street</t>
  </si>
  <si>
    <t>! Warm winter</t>
  </si>
  <si>
    <t>state inspection &amp; oil change</t>
  </si>
  <si>
    <t>2/21/13</t>
  </si>
  <si>
    <t>3/5/13</t>
  </si>
  <si>
    <t>Anniversary dinner</t>
  </si>
  <si>
    <t>(Bonus $7777.4)</t>
  </si>
  <si>
    <t xml:space="preserve">Bonus of $7777.40, Closing Adams Street Property,  Prebuy 4 tons pellets. </t>
  </si>
  <si>
    <t>basketball &amp; air pump</t>
  </si>
  <si>
    <t>Rice &amp; cooking oil</t>
  </si>
  <si>
    <t>coffee maker, toilet paper, batteries</t>
  </si>
  <si>
    <t>Energex Premium (Hard/Softwood Blend)</t>
  </si>
  <si>
    <t>(Logik-E goes by metric tons, 55 bags/metric tons)</t>
  </si>
  <si>
    <t>$4.818/bag</t>
  </si>
  <si>
    <t>$5.015/bag</t>
  </si>
  <si>
    <t>Left for next winter</t>
  </si>
  <si>
    <t>3/16/13</t>
  </si>
  <si>
    <t>coconut oil</t>
  </si>
  <si>
    <t xml:space="preserve">Downpayment Loan for Adams Street </t>
  </si>
  <si>
    <t xml:space="preserve"> (Lender: FC's Dad.  Principa=$62000)</t>
  </si>
  <si>
    <t>CK's CPCU exam, will get reimbursement from Liberty Mutual.</t>
  </si>
  <si>
    <t>condo fee 3/15-3/31, kitchen cabinets measurement $49</t>
  </si>
  <si>
    <t>Eileen's socks &amp; undies, Nathan's winter clothes, jeans, pjs (birthday gift)</t>
  </si>
  <si>
    <t>neighborhood Easter egg hunt cadies</t>
  </si>
  <si>
    <t>Clothes for Nathan (birthday gift)</t>
  </si>
  <si>
    <t>scale</t>
  </si>
  <si>
    <t>vitamins &amp; supplements, FC's dental</t>
  </si>
  <si>
    <t>4 tons of pellets &amp; delivery $1003 for the coming winter</t>
  </si>
  <si>
    <t>Les Miserable DVD to CK, light saber - Nathan's birthday gift</t>
  </si>
  <si>
    <t>irrigation winterizing prepaid</t>
  </si>
  <si>
    <t>American Hardwood (Energex)</t>
  </si>
  <si>
    <t>* Adams Street (Baker) property out of pocket closing $20660.21.  Splited $5660.21 from emergency fund and $15,000 kids' college fund.</t>
  </si>
  <si>
    <t>To Real Estate Purchase*</t>
  </si>
  <si>
    <t>RECONCILIATION</t>
  </si>
  <si>
    <t>(Tax Return 2106-EZ)</t>
  </si>
  <si>
    <t>TEACHING CONTRACTS:</t>
  </si>
  <si>
    <t>School</t>
  </si>
  <si>
    <t>Mileage/per round trip</t>
  </si>
  <si>
    <t>Per session</t>
  </si>
  <si>
    <t># of sessions</t>
  </si>
  <si>
    <t xml:space="preserve">Liberty University </t>
  </si>
  <si>
    <t>Online Internet Class</t>
  </si>
  <si>
    <t>8 weeks</t>
  </si>
  <si>
    <t>Manchester, NH</t>
  </si>
  <si>
    <t>16 weeks</t>
  </si>
  <si>
    <t>(1/28/13-3/22/13, Mon-Fri nights)</t>
  </si>
  <si>
    <t>Remodeling Cost</t>
  </si>
  <si>
    <t>Remodeling Cost (incl. materials)</t>
  </si>
  <si>
    <t>Management Fee</t>
  </si>
  <si>
    <t>Rental Income</t>
  </si>
  <si>
    <t>kitchen measurement fee</t>
  </si>
  <si>
    <t>condo fee 3/15-3/31</t>
  </si>
  <si>
    <t>CK's retinal detachment bill</t>
  </si>
  <si>
    <t>contractor, lock replacement, kitchen cabinets &amp; countertop $2691.2</t>
  </si>
  <si>
    <t>(2) Adams Street - contractor &amp; materials</t>
  </si>
  <si>
    <t xml:space="preserve">(1) Adams Street - kitchen cabinets &amp; countertops </t>
  </si>
  <si>
    <t>$2691.2</t>
  </si>
  <si>
    <t>(3) Adams Street - lock replacement</t>
  </si>
  <si>
    <t>Vacuum bags, ash vacuum tools, breadmaker, chocolate dipper</t>
  </si>
  <si>
    <t>Boston, MA</t>
  </si>
  <si>
    <t>IIA/CPCA Exam</t>
  </si>
  <si>
    <t>Lowell, MA</t>
  </si>
  <si>
    <t>2. Parking fees, tolls, and transportation, including train, bus, etc., that did not involve overnight travel or commuting to and from work.</t>
  </si>
  <si>
    <t>Mass Pike</t>
  </si>
  <si>
    <t>Boston Express</t>
  </si>
  <si>
    <t>capital one</t>
  </si>
  <si>
    <t>Subway</t>
  </si>
  <si>
    <t>Parking</t>
  </si>
  <si>
    <t>3. Travel expense while away from home overnight, incl. lodging, airplane, car rental, etc.  Do not include meals and entertainment.</t>
  </si>
  <si>
    <t>4. Business expenses not included on lines 1 through 3.  Do not include meals and entertainment.</t>
  </si>
  <si>
    <t>TOTAL #4</t>
  </si>
  <si>
    <t>Cell phone (Statistic work @ Liberty Mutual special projects, teaching &amp; traveling to attend professional conference)</t>
  </si>
  <si>
    <t>Capital One</t>
  </si>
  <si>
    <t>Internet Access (On-line teaching, Liberty Mutual work at home, UNH,  DWC teaching)</t>
  </si>
  <si>
    <t>Comcast.com</t>
  </si>
  <si>
    <t xml:space="preserve">Internet </t>
  </si>
  <si>
    <t>Skype Communication</t>
  </si>
  <si>
    <t>Amazon.com</t>
  </si>
  <si>
    <t>Book</t>
  </si>
  <si>
    <t xml:space="preserve">capital one </t>
  </si>
  <si>
    <t>BJU Press</t>
  </si>
  <si>
    <t>Office Supplies for Teaching Handouts, Exam papers &amp; Prints</t>
  </si>
  <si>
    <t>Staples</t>
  </si>
  <si>
    <t>Copy</t>
  </si>
  <si>
    <t>printer ink</t>
  </si>
  <si>
    <t>USPS</t>
  </si>
  <si>
    <t>Paper</t>
  </si>
  <si>
    <t>1/28/12</t>
  </si>
  <si>
    <t>Walmart (electronic)</t>
  </si>
  <si>
    <t>iPod $195</t>
  </si>
  <si>
    <t>4/28/12</t>
  </si>
  <si>
    <t>Brookstone</t>
  </si>
  <si>
    <t>iPad cover $49.99</t>
  </si>
  <si>
    <t>Apple Store</t>
  </si>
  <si>
    <t>iPad &amp; accessories $438</t>
  </si>
  <si>
    <t>7/16/12</t>
  </si>
  <si>
    <t>Printer $399</t>
  </si>
  <si>
    <t>5. Meals and entertainment expensesX 50%</t>
  </si>
  <si>
    <t>50% of #5 total</t>
  </si>
  <si>
    <t>Dunkin</t>
  </si>
  <si>
    <t>Eurest Dinning</t>
  </si>
  <si>
    <t>Boston meeting</t>
  </si>
  <si>
    <t>Pho 88</t>
  </si>
  <si>
    <t>Pho Pasteur</t>
  </si>
  <si>
    <t>UNH Teaching</t>
  </si>
  <si>
    <t>3/14/13</t>
  </si>
  <si>
    <t>Mileage/Round Trip</t>
  </si>
  <si>
    <t>CPCA Exam</t>
  </si>
  <si>
    <t>Federal</t>
  </si>
  <si>
    <t>4/23/13</t>
  </si>
  <si>
    <t>Matthew, Nate, Andrew Hubbard &amp; Peter Chu</t>
  </si>
  <si>
    <t>youth summer mission to NJ</t>
  </si>
  <si>
    <t xml:space="preserve">Tim&amp;Ann Su family visited </t>
  </si>
  <si>
    <t>flowers</t>
  </si>
  <si>
    <t>Mileage</t>
  </si>
  <si>
    <t>special project, Amtrak &amp; stay over 2 nights</t>
  </si>
  <si>
    <t>driver license renewal</t>
  </si>
  <si>
    <t>@warm winter</t>
  </si>
  <si>
    <t>Appraisal report for Adams Street</t>
  </si>
  <si>
    <t>Deposit for Adams Street</t>
  </si>
  <si>
    <t>20% down (borrowed from Dad Chou's)</t>
  </si>
  <si>
    <t xml:space="preserve">(4) 4 tons of pellets </t>
  </si>
  <si>
    <t>(1) Closing Adams Street 3/15/13</t>
  </si>
  <si>
    <t>(1) 2/4/13 Purchased a rental property: Adams Street $316,000</t>
  </si>
  <si>
    <t xml:space="preserve">Another 5% Down </t>
  </si>
  <si>
    <t>Closing cost (excl. appraisal report)</t>
  </si>
  <si>
    <t>RE Taxes to City of Boston</t>
  </si>
  <si>
    <t>(1) The Su family visited 4/18-4/21</t>
  </si>
  <si>
    <t>Family celebration:</t>
  </si>
  <si>
    <t>Nathan's birthday 4/15</t>
  </si>
  <si>
    <t>Family Celebration</t>
  </si>
  <si>
    <t>12th wedding anniversary 3/11 (dine-out)</t>
  </si>
  <si>
    <t>(1) Chris, Eileen &amp; Frances' birthdays</t>
  </si>
  <si>
    <t>Family Celebration &amp; things happened</t>
  </si>
  <si>
    <t>(2) Chris' left eye retenal detachment 2/16</t>
  </si>
  <si>
    <t>(2) Sunday lunch w/ Scott &amp; Stephanie Weeber family (Bobby &amp; Padra) 4/28</t>
  </si>
  <si>
    <t>(3) Judy &amp; Martin Chan visited 4/15</t>
  </si>
  <si>
    <t>400 gallons of propane purchased.</t>
  </si>
  <si>
    <t>* Unit price hike</t>
  </si>
  <si>
    <t>4 Tons of pellets purchased $1003.</t>
  </si>
  <si>
    <t>400 gallons of propane $1279.60</t>
  </si>
  <si>
    <t>(Need to go to Boston often due to purchase of Adams Street.</t>
  </si>
  <si>
    <t>(limited once a month; $40 if possible)</t>
  </si>
  <si>
    <t>Real Estate Tax</t>
  </si>
  <si>
    <t>RE Tax</t>
  </si>
  <si>
    <t>Property Tax - Wasserman Hts</t>
  </si>
  <si>
    <t>Exta for 2012/2013 winter</t>
  </si>
  <si>
    <t>(1) Sunday lunch w/ Joe &amp; Veronika Thomas 5/5/13</t>
  </si>
  <si>
    <t>Liberty University</t>
  </si>
  <si>
    <t>Total Teaching</t>
  </si>
  <si>
    <t>TOTAL INCOME</t>
  </si>
  <si>
    <t>Year 2013 Giving</t>
  </si>
  <si>
    <t>(2) Saturday dinner w/ Toby&amp;Donna Garcia family 5/11/13</t>
  </si>
  <si>
    <t>(3) Bridal Showers (Elizabeth Ware &amp; Emily Renda)</t>
  </si>
  <si>
    <t>(4) Wedding vow renewal (Greg &amp; Renee Fritzgerald)</t>
  </si>
  <si>
    <t>(5) Dinner: Anne Lee visited w/ her BF Stephano 5/8/13</t>
  </si>
  <si>
    <t>Starbucks coffeex10</t>
  </si>
  <si>
    <t>postage/stamps</t>
  </si>
  <si>
    <t>Office Equipment Depreciation_2n year (3years depreciation from 2012 to 2014)</t>
  </si>
  <si>
    <t>1241 Adams Street #F504, Dorchester, MA 02124</t>
  </si>
  <si>
    <t>Closing cost</t>
  </si>
  <si>
    <t>Purchase price</t>
  </si>
  <si>
    <t>Down Payment</t>
  </si>
  <si>
    <t xml:space="preserve">Pre-paid Property Tax </t>
  </si>
  <si>
    <t>Mortgage Amt</t>
  </si>
  <si>
    <t>Purchase Date</t>
  </si>
  <si>
    <t>3/15/2013</t>
  </si>
  <si>
    <t>Pierre Willems</t>
  </si>
  <si>
    <t>ck#1803, 4/1/13</t>
  </si>
  <si>
    <t>ck#1807, 4/17/13</t>
  </si>
  <si>
    <t>Locksmith</t>
  </si>
  <si>
    <t>capital one m/c</t>
  </si>
  <si>
    <t>HomeDepot</t>
  </si>
  <si>
    <t>entrance door lock replacement</t>
  </si>
  <si>
    <t>Investment Property</t>
  </si>
  <si>
    <t xml:space="preserve">kitchen cabinets &amp; countertop </t>
  </si>
  <si>
    <t>ck#1818,5/15/13 kitchen cabinet &amp; bathroom vanity installation</t>
  </si>
  <si>
    <t>vanity &amp; countertop &amp; facet &amp; lamp</t>
  </si>
  <si>
    <t>3 gift cards for wedding shower</t>
  </si>
  <si>
    <t xml:space="preserve">sunblock lotion on face </t>
  </si>
  <si>
    <t>bread pans</t>
  </si>
  <si>
    <t>necktie</t>
  </si>
  <si>
    <t>material for knit &amp; crochet set</t>
  </si>
  <si>
    <t>LaHey Hospital, dental, N's ear wax removal kit, prescription etc.</t>
  </si>
  <si>
    <t>(3/25/13-5/17/13, Mon-Fri nights)</t>
  </si>
  <si>
    <t>Prepaid 400 gallons propane, remodeling Adams Street kitchen.  Tax refund of $5000.</t>
  </si>
  <si>
    <t>CrossWay Christian Church</t>
  </si>
  <si>
    <t>garden sprinkler head, fertilizers</t>
  </si>
  <si>
    <t>(1) Parents in law and sister in law visit us 6/2 - 6/19</t>
  </si>
  <si>
    <t>(1) Garcia family - Thed's dedication 6/23</t>
  </si>
  <si>
    <t>garden solar light, annual flowers, top soils for vegetables</t>
  </si>
  <si>
    <t>MA 2012 Tax Refund</t>
  </si>
  <si>
    <t>Lowel</t>
  </si>
  <si>
    <t>5/26/13</t>
  </si>
  <si>
    <t>5/26/13, dinning room chandelier</t>
  </si>
  <si>
    <t>4/23/13 bathroom vanity</t>
  </si>
  <si>
    <t>5/16/13 kitchen sink, faucet, cabinet door knobs</t>
  </si>
  <si>
    <t>5/17/13, kitchen plumbing pipes</t>
  </si>
  <si>
    <t>5/18/13 toilet piping &amp; materials &amp; parts</t>
  </si>
  <si>
    <t>5/12/13, bathroom light fixtures</t>
  </si>
  <si>
    <t>(In-Laws visit)</t>
  </si>
  <si>
    <t>SD cards</t>
  </si>
  <si>
    <t>Scratch programming book</t>
  </si>
  <si>
    <t xml:space="preserve">6/3/13 bathroom shower head </t>
  </si>
  <si>
    <t>toilet seat+ chandelier, shower head</t>
  </si>
  <si>
    <t>Camp KidsWay $60, Eileen's dance lesson $110, N&amp;E swimming lessons $90, Martial Art uniform $40, theater performance tickets $44</t>
  </si>
  <si>
    <t>utility, entrance door fobs x2</t>
  </si>
  <si>
    <t>utility + 1 entrance door fob</t>
  </si>
  <si>
    <t>6/18/13</t>
  </si>
  <si>
    <t>gifts to in-laws</t>
  </si>
  <si>
    <t>dance recital tickets $14, loom knit project book</t>
  </si>
  <si>
    <t xml:space="preserve">Eileen's orthodontics </t>
  </si>
  <si>
    <t>Bowling with in laws, fishing license, fishing pole &amp; baits</t>
  </si>
  <si>
    <t>dvd discs</t>
  </si>
  <si>
    <t>(1) Adams St property is rented out to Jessica Meyer &amp; Michelle Kelley for $2000/mo</t>
  </si>
  <si>
    <t>Meals for working on Adams Street remodeling project</t>
  </si>
  <si>
    <t>5/31/13</t>
  </si>
  <si>
    <t>Pho Hoa Restaurant</t>
  </si>
  <si>
    <t>Dumpling Café</t>
  </si>
  <si>
    <t>Shaw's</t>
  </si>
  <si>
    <t>6/24/13</t>
  </si>
  <si>
    <t>6/24/13 fire alarm &amp; parts</t>
  </si>
  <si>
    <t>meal</t>
  </si>
  <si>
    <t>ap</t>
  </si>
  <si>
    <t>m/c</t>
  </si>
  <si>
    <t>7/14/13</t>
  </si>
  <si>
    <t>** Borrowed from Dad Chou 2/4/2013 for Adams Street down payment $62,000</t>
  </si>
  <si>
    <t>(5/13/13-7/5/13, Mon-Fri nights)</t>
  </si>
  <si>
    <t>(6/24/13-8/16/13, Mon - Fri nights)</t>
  </si>
  <si>
    <t>(1) Beginning this month, all teaching income to pay off loan borrowed</t>
  </si>
  <si>
    <t>from Dad Chou 2/4/13 $62,000 for Baker's lown payment</t>
  </si>
  <si>
    <t>$1000 realtor fee to Julie Joyce (Boston Bayside Property)</t>
  </si>
  <si>
    <t>Home Insurance - Union Mutual of VT</t>
  </si>
  <si>
    <t>Shutterfly photo book to In-laws &amp; SIL &amp; mailing postage</t>
  </si>
  <si>
    <t>4 new tires &amp; alignment, oil change. Power tram fluid, cabin &amp; engine filter, automative sidedoor diagonse</t>
  </si>
  <si>
    <t>garden liquid fertilizer spayer</t>
  </si>
  <si>
    <t>6 trees, soil &amp; fertilizer, solar garden lamps for repelling deers</t>
  </si>
  <si>
    <t>nail polish &amp; care (mother daughter fun time)</t>
  </si>
  <si>
    <t>food drive to Nashua Food Pantry</t>
  </si>
  <si>
    <t>sunglasses for family, Eileen's swimming suit, clothes</t>
  </si>
  <si>
    <t>2 fans</t>
  </si>
  <si>
    <t>N's ear wax cleaning, N&amp;E's eye exam</t>
  </si>
  <si>
    <t>utility final bill, Home Insurance</t>
  </si>
  <si>
    <t>storm door, exterior door paint - fixing rutten door frame</t>
  </si>
  <si>
    <t>fan, paint brush, blue tapes</t>
  </si>
  <si>
    <t>South Carolina</t>
  </si>
  <si>
    <t>Special project, flight</t>
  </si>
  <si>
    <t>(1/21/13-5/6/13, Monday nights)</t>
  </si>
  <si>
    <t xml:space="preserve">Eileen's private dance lessons </t>
  </si>
  <si>
    <t>late fee + Interest charge</t>
  </si>
  <si>
    <t>(2) Car repair - tires &amp; alignment etc.</t>
  </si>
  <si>
    <t>(3) Medical payment</t>
  </si>
  <si>
    <t xml:space="preserve">(4) Rental property insurance </t>
  </si>
  <si>
    <t>(2) Sunday lunch with Stecchi family 7/14/13</t>
  </si>
  <si>
    <t>(1) Sunday lunch with Fenter Family 7/21/13</t>
  </si>
  <si>
    <t>(dine out &amp; activities)</t>
  </si>
  <si>
    <t>(3) Ladies night 7/22/13 (Donna Garcia &amp; Kim Dunham)</t>
  </si>
  <si>
    <t>(4) Mom &amp; Dad visit 7/29/13-8/23/13</t>
  </si>
  <si>
    <t>(5) Front entrance door repair &amp; storm door</t>
  </si>
  <si>
    <t>Shear for sewing</t>
  </si>
  <si>
    <t>Eileen's private dance lessons, flute repair &amp; maintenance</t>
  </si>
  <si>
    <t>Food</t>
  </si>
  <si>
    <t>Gas</t>
  </si>
  <si>
    <t>Admission</t>
  </si>
  <si>
    <t>(2) Vermont Burlington trip 8/9-8/10/13</t>
  </si>
  <si>
    <t>mower blade</t>
  </si>
  <si>
    <t>Vermont Burlington Trip 8/9-8/10/13</t>
  </si>
  <si>
    <t>7/29/13</t>
  </si>
  <si>
    <t>Nathan's own saving (work income)</t>
  </si>
  <si>
    <t>Eileen's own saving (work income)</t>
  </si>
  <si>
    <t>Net Income</t>
  </si>
  <si>
    <t>4/15/13</t>
  </si>
  <si>
    <t>6/14/13</t>
  </si>
  <si>
    <t>7/31/13</t>
  </si>
  <si>
    <t>9/13/13</t>
  </si>
  <si>
    <t>Rec'd Date</t>
  </si>
  <si>
    <t>CK's Life $500,000 (Genworth Life)</t>
  </si>
  <si>
    <t xml:space="preserve">Dine-out </t>
  </si>
  <si>
    <t>SMCA fee, Co op Art Program registration fee &amp; Tuition</t>
  </si>
  <si>
    <t>(1) ACADIA, ME family vacation 9/7-9/14</t>
  </si>
  <si>
    <t>(Chou parents visit 7/29-8/23)</t>
  </si>
  <si>
    <t>CHILDREN'S</t>
  </si>
  <si>
    <t>Pay off debts borrowed from Chou **</t>
  </si>
  <si>
    <t>(3) Art purchased from Veronika Thomas</t>
  </si>
  <si>
    <t>BOA /LLBeanVisa</t>
  </si>
  <si>
    <t>Admission fee to parks, museums/Souvenirs</t>
  </si>
  <si>
    <t>(hats, books, harbor bell &amp; magnet)</t>
  </si>
  <si>
    <t>9/22/13</t>
  </si>
  <si>
    <t>Toby &amp; Susan Stevens</t>
  </si>
  <si>
    <t>Boston, USA</t>
  </si>
  <si>
    <t>Year 2013 Tithe</t>
  </si>
  <si>
    <t>Steve &amp; Jane Gibb</t>
  </si>
  <si>
    <t>10/20/13</t>
  </si>
  <si>
    <t>Burlinton, VT 9/28-9/29</t>
  </si>
  <si>
    <t>Lake Champlain Ferry</t>
  </si>
  <si>
    <t>iPad cover</t>
  </si>
  <si>
    <t>bra, Kids &amp; CK's sneakers &amp; clothes</t>
  </si>
  <si>
    <t>(BOA $45.07, LLBean $650.42, TDBank $325.51)</t>
  </si>
  <si>
    <t>Acadia Trip 9/7-9/14</t>
  </si>
  <si>
    <t xml:space="preserve">Trip to Adams St property for repairs </t>
  </si>
  <si>
    <t>5/13/13</t>
  </si>
  <si>
    <t>Counter top measurement @1-3 pm</t>
  </si>
  <si>
    <t>5/28/13</t>
  </si>
  <si>
    <t>Kitchen counter top installed @12 -3 pm</t>
  </si>
  <si>
    <t>6/21/13</t>
  </si>
  <si>
    <t>Installed dinning room chandeliers, installed toilet in 1/2 bathroom &amp; cleaned the carpet, bathroom tiles, walls in the property @3-10 pm</t>
  </si>
  <si>
    <t>Repaired dishwasher @10 am - 12 pm</t>
  </si>
  <si>
    <t>8/23/13</t>
  </si>
  <si>
    <t>Checked the progress of remodeling - demolish</t>
  </si>
  <si>
    <t>Checked the progress of remodeling - painting, clothest doors, wood trims</t>
  </si>
  <si>
    <t>Checked the installation of kitchen cabinets, bathroom vanity.  Cleaned the bathrooms, kitchen floors and carpets in 2 bedrooms @3 - 6 pm.</t>
  </si>
  <si>
    <t xml:space="preserve">5/31/13, toilet seat &amp; plumbing </t>
  </si>
  <si>
    <t>Installed fire/CO alarms, kitchen sink, faucet, garbage disposal &amp; cleaned, vaccumed  @3-10 pm</t>
  </si>
  <si>
    <t>Installed new clothest racks @ 1 - 5 pm</t>
  </si>
  <si>
    <t>C</t>
  </si>
  <si>
    <t>(8/19/13-10/11/13, Mon - Fri nights)</t>
  </si>
  <si>
    <t>(10/21/13-12/20/13, Mon - Fri nights)</t>
  </si>
  <si>
    <t>Contact lens-CK's</t>
  </si>
  <si>
    <t>Lou visit, dineout @Boston</t>
  </si>
  <si>
    <t>Photo book to J&amp;V Thomas</t>
  </si>
  <si>
    <t>Nathan'swatch &amp; Lego Mindstorm</t>
  </si>
  <si>
    <t>First Lego League fee</t>
  </si>
  <si>
    <t>To Investment Acct (TradeKing)</t>
  </si>
  <si>
    <t>iTune</t>
  </si>
  <si>
    <t>(LLBean $286.85)</t>
  </si>
  <si>
    <t>Dad &amp; Mom's purchase &amp; reimbursement, Margaret's Lego purchase,some reimbursement is in NT dollars</t>
  </si>
  <si>
    <t>Dad's ipad2 cover, belt, shirt to Angel, belt to Ming-yi, LLBean clothes to Parents Chou</t>
  </si>
  <si>
    <t>CK's working clothes, Nathan's clothes, Coach handbag</t>
  </si>
  <si>
    <t>$100 to Nathan Stecchi (Farewell gift) $100 to Huan-Yu (wedding gift in TWD)</t>
  </si>
  <si>
    <t>reconciliation</t>
  </si>
  <si>
    <t>Parent Chou</t>
  </si>
  <si>
    <t>Sienna Trunk Door Sring</t>
  </si>
  <si>
    <t>Dental</t>
  </si>
  <si>
    <t>chain saw</t>
  </si>
  <si>
    <t>Photo books to Parents Chou</t>
  </si>
  <si>
    <t>Lodge</t>
  </si>
  <si>
    <t>Food shared w/Su</t>
  </si>
  <si>
    <t>Food on our own</t>
  </si>
  <si>
    <t>Souvenirs</t>
  </si>
  <si>
    <t>(Michelle Kelley's check has been bounced on 10/9/13, redeposited on 10/22/13)</t>
  </si>
  <si>
    <t>Poison Ivy Killer, Hire Nick Garcia to mown the lawn</t>
  </si>
  <si>
    <t>(LLBean $491.83)</t>
  </si>
  <si>
    <t>Repair iPod screen</t>
  </si>
  <si>
    <t>When outdoor temp below 60F &amp; indoor near 65F, turn on pellet stove to heat up house normally in mid Oct.  With propane keeps rising, how to cut water heating will be in the future request.</t>
  </si>
  <si>
    <t>Programable Thermo 11/13</t>
  </si>
  <si>
    <t>***  Automatic delivery of propane, minimum usage 600 gallons a year (Jan to Dec) required, otherwise a lease charge of $150 occurs.  New delivery schedule in 2012:  April and Dec.</t>
  </si>
  <si>
    <t>*** Programmable thermostat installed in 10/30/13</t>
  </si>
  <si>
    <t>OTHER EXP ACCOUNTS</t>
  </si>
  <si>
    <t>Deficit in In-laws Carryover</t>
  </si>
  <si>
    <t>(9/2/13-11/8/13, Mon - Fri nights)</t>
  </si>
  <si>
    <t>11/1/13 replace toilet</t>
  </si>
  <si>
    <t>Market Basket - lunch sandwich &amp; drink</t>
  </si>
  <si>
    <t>Replaced toilet in the full bathroom @1-4:30 pm</t>
  </si>
  <si>
    <t>Starbucks</t>
  </si>
  <si>
    <t>(BOA $493.80)</t>
  </si>
  <si>
    <t>Queen mattress mat for Nathan's room, some house décor</t>
  </si>
  <si>
    <t>$ Green lawn this year</t>
  </si>
  <si>
    <t>$</t>
  </si>
  <si>
    <t>NH local church planting</t>
  </si>
  <si>
    <t>Training Chinese home church pastors in China</t>
  </si>
  <si>
    <t>11/17/13</t>
  </si>
  <si>
    <t>11/15/13</t>
  </si>
  <si>
    <t>FC's shirts &amp; jeans, Nathan's clothes, jeans, winter boots, Eileen's shoes</t>
  </si>
  <si>
    <t>Bike lock, A/C cover</t>
  </si>
  <si>
    <t>10/29/13</t>
  </si>
  <si>
    <t xml:space="preserve">Home Depot </t>
  </si>
  <si>
    <t>Toilet seat</t>
  </si>
  <si>
    <t>plumbing parts</t>
  </si>
  <si>
    <t>3 additional Mayhem FLL shirts for family, Upward basketball registration feeX2</t>
  </si>
  <si>
    <t>CKnFC clothes</t>
  </si>
  <si>
    <t>11/</t>
  </si>
  <si>
    <t>kitchen faucet</t>
  </si>
  <si>
    <t>N&amp;E's Christmas gift</t>
  </si>
  <si>
    <t>11/22/13</t>
  </si>
  <si>
    <t>(1) Sunday lunch with the Michael &amp; Allyson Felo family 11/3/13</t>
  </si>
  <si>
    <t>Toby &amp; Donna Garcia</t>
  </si>
  <si>
    <t>11/25/13</t>
  </si>
  <si>
    <t>Tassimo T-discsX3</t>
  </si>
  <si>
    <t>11/27/13</t>
  </si>
  <si>
    <t>Taiwan Xi En orphanage project 117 (one time gift)</t>
  </si>
  <si>
    <t>Great Commission Media Ministries</t>
  </si>
  <si>
    <t>Taiwan Xi En orphanage - baby sponsorship program</t>
  </si>
  <si>
    <t>(2) Sunday lunch with the Scot &amp; Jenna Hardy family 11/24/13</t>
  </si>
  <si>
    <t>storm door window panel replacement</t>
  </si>
  <si>
    <t>tarp &amp; rope for pellets storage</t>
  </si>
  <si>
    <t>Giving</t>
  </si>
  <si>
    <t>(Tom Chu $100, GCM Ministries $1000, G2Race $28.24 Thanksgiving Gobbler 5K Run to benefit Nashua High School track team</t>
  </si>
  <si>
    <t>G2 Run</t>
  </si>
  <si>
    <t>Thanksgiving Gobbler 5K Run to benefit Nashua High track team</t>
  </si>
  <si>
    <t>Helen &amp; Elisa Teo</t>
  </si>
  <si>
    <t>Year-End Distribution/Adams St Property</t>
  </si>
  <si>
    <t>R/E rental cost</t>
  </si>
  <si>
    <t>Total Expenses</t>
  </si>
  <si>
    <t>Net Saving</t>
  </si>
  <si>
    <t>Appraisal report of $1200 for Adams St.</t>
  </si>
  <si>
    <t>$2929 in Adams St.</t>
  </si>
  <si>
    <t>$2100 in Adams St., $1000 in car repair, eye exam exp.</t>
  </si>
  <si>
    <t>$1430 Veronika's painting. Vacation in VT.</t>
  </si>
  <si>
    <t xml:space="preserve">Teaching income $8134.08.  Remodeling Adams Street. 4 tons of pellets. </t>
  </si>
  <si>
    <t>to encourage them in the process of trial: seeking job</t>
  </si>
  <si>
    <t>The prior years and this year's financial overview</t>
  </si>
  <si>
    <t xml:space="preserve">Income </t>
  </si>
  <si>
    <t>Offering</t>
  </si>
  <si>
    <t>%</t>
  </si>
  <si>
    <t>Annual Expense w/o mortgage payment</t>
  </si>
  <si>
    <t>Monthly Exp.</t>
  </si>
  <si>
    <t>Oct. 2011 paid off the 10 Wasserman Heights house</t>
  </si>
  <si>
    <t>March 15, 2013 bought 1241 Adams Street, #504, Dorchester Center, MA 02124</t>
  </si>
  <si>
    <t>2. Plan to rent the condo out to supplement mortgage expenses. The condo was rented out in July 2013.</t>
  </si>
  <si>
    <t>V</t>
  </si>
  <si>
    <t>3. Plan to pay off this mortgage in 6 years. (Year 2018)  $10,000 extra principal was sent out in Dec. 2013.</t>
  </si>
  <si>
    <t>Extra Principal to real estate</t>
  </si>
  <si>
    <t>(BOA $467.77, LLBean $97.36, TDBank $15.25)</t>
  </si>
  <si>
    <t>Toll fees</t>
  </si>
  <si>
    <t>12/16/13</t>
  </si>
  <si>
    <t>Taiwan Xi-En orphanage</t>
  </si>
  <si>
    <t>Nashua High School Track Team Fundraiser</t>
  </si>
  <si>
    <t>Increase rate</t>
  </si>
  <si>
    <t>Last year's (2012) giving</t>
  </si>
  <si>
    <t>Car Insurance 2/1/14-1/31/15</t>
  </si>
  <si>
    <t>(1) Prepay car insurance for the coming 2014 coverage $820.</t>
  </si>
  <si>
    <t xml:space="preserve"> (Lender: FC's Dad.  Principal=$62000)</t>
  </si>
  <si>
    <t>12/13/13</t>
  </si>
  <si>
    <t>11/30/13, 12/16/13</t>
  </si>
  <si>
    <t>(9/3/13 - 12/10/13, Tuesday nights)</t>
  </si>
  <si>
    <t>Giving tree, coffee gift cards to teachers, coaches, Pastor &amp; Mrs. Su. Tim &amp; Ann Su Family</t>
  </si>
  <si>
    <t>Metropolitan Museum of NYC</t>
  </si>
  <si>
    <t>(2) NYC 12/20-12/23/13</t>
  </si>
  <si>
    <t>(3) Gift cards for holidays (coaches, teachers, etc)</t>
  </si>
  <si>
    <t>12/31/13</t>
  </si>
  <si>
    <t>toll fee</t>
  </si>
  <si>
    <t>Ink</t>
  </si>
  <si>
    <t>The Hobbits (for whole family), iPhone 5c to FC, Mindstorms programming books for N&amp;E, CK's clothes for work</t>
  </si>
  <si>
    <t>(TJX 150.25, TDBank $48.15, BOA$407.01)</t>
  </si>
  <si>
    <t>Concord, NH</t>
  </si>
  <si>
    <t>v</t>
  </si>
  <si>
    <t>Diff (W2 Net vs. Actual)</t>
  </si>
  <si>
    <t>W2-wages</t>
  </si>
  <si>
    <t>Federal Tax Withheld</t>
  </si>
  <si>
    <t>Social Security Tax</t>
  </si>
  <si>
    <t>Medicare Tax</t>
  </si>
  <si>
    <t>MA state tax</t>
  </si>
  <si>
    <t>W2 Net</t>
  </si>
  <si>
    <t>PreTax Exp. (Commute cost, Flexible Acct)</t>
  </si>
  <si>
    <t>mileages - CPCA</t>
  </si>
  <si>
    <t>mileages - Teaching</t>
  </si>
  <si>
    <t xml:space="preserve">1. Complete mileages. Multiply line 8a by 56.5 cents (.565). </t>
  </si>
  <si>
    <t>Books, Journals Subscription &amp; Data Purchase for Analyses (Liberty Mutual, Teaching)</t>
  </si>
  <si>
    <t>Purchased Date</t>
  </si>
  <si>
    <t>Depreciation Amt</t>
  </si>
  <si>
    <t>Purchase Price</t>
  </si>
  <si>
    <t>Update phone to G4 network</t>
  </si>
  <si>
    <t>City of Manchester</t>
  </si>
  <si>
    <t>10 James Ave, Boston, MA</t>
  </si>
  <si>
    <t>3/23/13</t>
  </si>
  <si>
    <t>3/29/13</t>
  </si>
  <si>
    <t>1/24/13</t>
  </si>
  <si>
    <t>File folders</t>
  </si>
  <si>
    <t>5/30/13</t>
  </si>
  <si>
    <t xml:space="preserve">Pencil </t>
  </si>
  <si>
    <t>CD-R</t>
  </si>
  <si>
    <t>6/27/13</t>
  </si>
  <si>
    <t>Shutterfly</t>
  </si>
  <si>
    <t>Photo booklet</t>
  </si>
  <si>
    <t>Darrels Music Hall</t>
  </si>
  <si>
    <t>8/14/13</t>
  </si>
  <si>
    <t>Wardmaps</t>
  </si>
  <si>
    <t>Apple Itunes Store</t>
  </si>
  <si>
    <t>App for online book</t>
  </si>
  <si>
    <t>8/19/13</t>
  </si>
  <si>
    <t>9/18/13</t>
  </si>
  <si>
    <t>9/25/13</t>
  </si>
  <si>
    <t>9/26/13</t>
  </si>
  <si>
    <t>10/14/13</t>
  </si>
  <si>
    <t>10/15/13</t>
  </si>
  <si>
    <t>11/13/13</t>
  </si>
  <si>
    <t>11/23/13</t>
  </si>
  <si>
    <t>Kindle book</t>
  </si>
  <si>
    <t>12/19/13</t>
  </si>
  <si>
    <t>12/24/13</t>
  </si>
  <si>
    <t>12/13/2013</t>
  </si>
  <si>
    <t>6/19/13</t>
  </si>
  <si>
    <t>Manchester Airport</t>
  </si>
  <si>
    <t>9/29/13</t>
  </si>
  <si>
    <t>Fairfield Inn Burlington</t>
  </si>
  <si>
    <t>Lodging</t>
  </si>
  <si>
    <t>Williston, VT</t>
  </si>
  <si>
    <t>1/15/13</t>
  </si>
  <si>
    <t>Bus</t>
  </si>
  <si>
    <t>1/23/13</t>
  </si>
  <si>
    <t>2/15/13</t>
  </si>
  <si>
    <t>4/26/13</t>
  </si>
  <si>
    <t>Subway Arlington</t>
  </si>
  <si>
    <t>5/22/13</t>
  </si>
  <si>
    <t>Concord CoachBoston</t>
  </si>
  <si>
    <t>7/15/13</t>
  </si>
  <si>
    <t>9/24/13</t>
  </si>
  <si>
    <t>9/28/13</t>
  </si>
  <si>
    <t>Lake Champlain Transportation</t>
  </si>
  <si>
    <t>Ferry</t>
  </si>
  <si>
    <t>10/16/13</t>
  </si>
  <si>
    <t>11/14/13</t>
  </si>
  <si>
    <t>11/21/13</t>
  </si>
  <si>
    <t>12/20/13</t>
  </si>
  <si>
    <t>MTA, New York</t>
  </si>
  <si>
    <t>12/21/13</t>
  </si>
  <si>
    <t>Burlington, VT</t>
  </si>
  <si>
    <t>New York, NY</t>
  </si>
  <si>
    <t>mileages - Conference</t>
  </si>
  <si>
    <t>MMA Admissions</t>
  </si>
  <si>
    <t>ticket</t>
  </si>
  <si>
    <t>5/16/13</t>
  </si>
  <si>
    <t>DVD &amp; Books</t>
  </si>
  <si>
    <t>Fast Action Lock &amp; Security</t>
  </si>
  <si>
    <t>Software update</t>
  </si>
  <si>
    <t>6/28/13</t>
  </si>
  <si>
    <t>postage</t>
  </si>
  <si>
    <t>7/19/13</t>
  </si>
  <si>
    <t>International Conference</t>
  </si>
  <si>
    <t>10/21/13</t>
  </si>
  <si>
    <t>9/20/13</t>
  </si>
  <si>
    <t>The Economist Newspaper</t>
  </si>
  <si>
    <t>Journal Subscription</t>
  </si>
  <si>
    <t>9/23/13</t>
  </si>
  <si>
    <t>10/22/13</t>
  </si>
  <si>
    <t>Elecshack Inc</t>
  </si>
  <si>
    <t>Data Repaired</t>
  </si>
  <si>
    <t>Panera Bread</t>
  </si>
  <si>
    <t>Networking/gift cards</t>
  </si>
  <si>
    <t>1/22/13</t>
  </si>
  <si>
    <t>1/28/13</t>
  </si>
  <si>
    <t>Samurai Express</t>
  </si>
  <si>
    <t>Thai Basil Restaurant</t>
  </si>
  <si>
    <t>Douzo Japanese Restaurant</t>
  </si>
  <si>
    <t>Chen Yang Li Restaurant</t>
  </si>
  <si>
    <t>3/26/13</t>
  </si>
  <si>
    <t>IHOP#3328</t>
  </si>
  <si>
    <t>Meeting - UNH</t>
  </si>
  <si>
    <t>Sarku Japan</t>
  </si>
  <si>
    <t>4/21/13</t>
  </si>
  <si>
    <t>4/24/13</t>
  </si>
  <si>
    <t>Hei La Moon Restaurant</t>
  </si>
  <si>
    <t>Dinner after flight back from Phila, PA</t>
  </si>
  <si>
    <t>You You Japanese Bistro</t>
  </si>
  <si>
    <t>Taipei &amp; Tokyo Restaurant</t>
  </si>
  <si>
    <t>Little Caesars</t>
  </si>
  <si>
    <t>Liberty Boston</t>
  </si>
  <si>
    <t>Mexicali Authentic Mexican</t>
  </si>
  <si>
    <t>VT</t>
  </si>
  <si>
    <t>Church and Main St.</t>
  </si>
  <si>
    <t>9/30/13</t>
  </si>
  <si>
    <t>Burger King</t>
  </si>
  <si>
    <t>East China</t>
  </si>
  <si>
    <t>12/22/13</t>
  </si>
  <si>
    <t>Vernon Dinner</t>
  </si>
  <si>
    <t>Sbarro</t>
  </si>
  <si>
    <t>St Is Fery Aubonpain</t>
  </si>
  <si>
    <t>(Merrimack - Boston - Manchester - Merrimack)</t>
  </si>
  <si>
    <t>1/18/13</t>
  </si>
  <si>
    <t>1/26/13</t>
  </si>
  <si>
    <t>Pho Da Lat</t>
  </si>
  <si>
    <t>Collegue meeting</t>
  </si>
  <si>
    <t>Special project, driving</t>
  </si>
  <si>
    <t>Ben &amp; Jerry's</t>
  </si>
  <si>
    <t>Special Project in VT</t>
  </si>
  <si>
    <t>Three Tomatoes</t>
  </si>
  <si>
    <t>Asiana Noodle Shop</t>
  </si>
  <si>
    <t>Pauline's Café &amp; Restaurant</t>
  </si>
  <si>
    <t>Bao Bao Bakery</t>
  </si>
  <si>
    <t>Souper Salad Berkel</t>
  </si>
  <si>
    <t>US Bank</t>
  </si>
  <si>
    <t>4/16/13</t>
  </si>
  <si>
    <t>EZ Pass</t>
  </si>
  <si>
    <t>TD Bank</t>
  </si>
  <si>
    <t>9/15/13</t>
  </si>
  <si>
    <t>Walmart</t>
  </si>
  <si>
    <t xml:space="preserve">Computer </t>
  </si>
  <si>
    <t xml:space="preserve">MTA </t>
  </si>
  <si>
    <t>EZ-Pass</t>
  </si>
  <si>
    <t>4/17/14</t>
  </si>
  <si>
    <t>4/14/14</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</si>
</sst>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8" formatCode="&quot;$&quot;#,##0.00_);[Red]\(&quot;$&quot;#,##0.00\)"/>
    <numFmt numFmtId="164" formatCode="&quot; $&quot;#,##0.00\ ;&quot; $(&quot;#,##0.00\);&quot; $-&quot;#\ ;@\ "/>
    <numFmt numFmtId="165" formatCode="#,##0.00\ ;&quot; (&quot;#,##0.00\);&quot; -&quot;#\ ;@\ "/>
    <numFmt numFmtId="166" formatCode="[$$-409]#,##0.00;[Red]\-[$$-409]#,##0.00"/>
    <numFmt numFmtId="167" formatCode="#,##0.0"/>
    <numFmt numFmtId="168" formatCode="0.000%"/>
    <numFmt numFmtId="169" formatCode="\$#,##0\ ;[Red]&quot;($&quot;#,##0\)"/>
    <numFmt numFmtId="170" formatCode="\$#,##0.00\ ;[Red]&quot;($&quot;#,##0.00\)"/>
    <numFmt numFmtId="171" formatCode="mm/dd/yy"/>
    <numFmt numFmtId="172" formatCode="dddd&quot;, &quot;mmmm\ dd&quot;, &quot;yyyy"/>
    <numFmt numFmtId="173" formatCode="[$$-409]#,##0.00_ ;[Red]\-[$$-409]#,##0.00\ "/>
    <numFmt numFmtId="174" formatCode="[$$-409]#,##0.000;[Red]\-[$$-409]#,##0.000"/>
    <numFmt numFmtId="175" formatCode="_(* #,##0.00_);_(* \(#,##0.00\);_(* \-??_);_(@_)"/>
    <numFmt numFmtId="176" formatCode="_-[$$-409]* #,##0.00_ ;_-[$$-409]* \-#,##0.00\ ;_-[$$-409]* \-??_ ;_-@_ "/>
    <numFmt numFmtId="177" formatCode="[$$-409]#,##0.00;[Red][$$-409]#,##0.00"/>
    <numFmt numFmtId="178" formatCode="_-[$$-409]* #,##0.000_ ;_-[$$-409]* \-#,##0.000\ ;_-[$$-409]* &quot;-&quot;??_ ;_-@_ "/>
    <numFmt numFmtId="179" formatCode="_-[$$-409]* #,##0.00_ ;_-[$$-409]* \-#,##0.00\ ;_-[$$-409]* &quot;-&quot;??_ ;_-@_ "/>
  </numFmts>
  <fonts count="43">
    <font>
      <sz val="10"/>
      <name val="Arial"/>
      <family val="2"/>
    </font>
    <font>
      <b/>
      <sz val="10"/>
      <name val="Arial"/>
      <family val="2"/>
    </font>
    <font>
      <b/>
      <sz val="10"/>
      <color indexed="10"/>
      <name val="Arial"/>
      <family val="2"/>
    </font>
    <font>
      <b/>
      <sz val="12"/>
      <name val="Century Schoolbook L"/>
      <family val="1"/>
    </font>
    <font>
      <b/>
      <i/>
      <sz val="12"/>
      <color indexed="53"/>
      <name val="Century Schoolbook L"/>
      <family val="1"/>
    </font>
    <font>
      <b/>
      <i/>
      <sz val="10"/>
      <color indexed="53"/>
      <name val="Arial"/>
      <family val="2"/>
    </font>
    <font>
      <b/>
      <i/>
      <sz val="10"/>
      <name val="Arial"/>
      <family val="2"/>
    </font>
    <font>
      <b/>
      <u/>
      <sz val="10"/>
      <name val="Arial"/>
      <family val="2"/>
    </font>
    <font>
      <b/>
      <i/>
      <u/>
      <sz val="10"/>
      <name val="Arial"/>
      <family val="2"/>
    </font>
    <font>
      <b/>
      <sz val="12"/>
      <color indexed="10"/>
      <name val="Arial"/>
      <family val="2"/>
    </font>
    <font>
      <sz val="10.5"/>
      <color indexed="30"/>
      <name val="Arial"/>
      <family val="2"/>
    </font>
    <font>
      <sz val="10"/>
      <color indexed="30"/>
      <name val="Arial"/>
      <family val="2"/>
    </font>
    <font>
      <sz val="10"/>
      <color indexed="10"/>
      <name val="Arial"/>
      <family val="2"/>
    </font>
    <font>
      <sz val="7"/>
      <name val="Arial"/>
      <family val="2"/>
    </font>
    <font>
      <sz val="8"/>
      <name val="Arial"/>
      <family val="2"/>
    </font>
    <font>
      <b/>
      <sz val="10"/>
      <color indexed="16"/>
      <name val="Arial"/>
      <family val="2"/>
    </font>
    <font>
      <b/>
      <u/>
      <sz val="12"/>
      <name val="Arial"/>
      <family val="2"/>
    </font>
    <font>
      <u/>
      <sz val="10"/>
      <name val="Arial"/>
      <family val="2"/>
    </font>
    <font>
      <sz val="10"/>
      <name val="Bitstream Charter"/>
      <family val="1"/>
    </font>
    <font>
      <b/>
      <sz val="12"/>
      <name val="Bitstream Charter"/>
      <family val="1"/>
    </font>
    <font>
      <sz val="10"/>
      <name val="Arial"/>
      <family val="2"/>
    </font>
    <font>
      <sz val="10.5"/>
      <name val="Century"/>
      <family val="1"/>
    </font>
    <font>
      <sz val="10.5"/>
      <color rgb="FFFF0000"/>
      <name val="Century"/>
      <family val="1"/>
    </font>
    <font>
      <b/>
      <sz val="10.5"/>
      <color indexed="10"/>
      <name val="Century"/>
      <family val="1"/>
    </font>
    <font>
      <b/>
      <sz val="10.5"/>
      <name val="Century"/>
      <family val="1"/>
    </font>
    <font>
      <sz val="10.5"/>
      <color indexed="10"/>
      <name val="Century"/>
      <family val="1"/>
    </font>
    <font>
      <sz val="10"/>
      <name val="Century"/>
      <family val="1"/>
    </font>
    <font>
      <b/>
      <sz val="12"/>
      <name val="Century"/>
      <family val="1"/>
    </font>
    <font>
      <b/>
      <sz val="10"/>
      <name val="Century"/>
      <family val="1"/>
    </font>
    <font>
      <sz val="12"/>
      <name val="Century"/>
      <family val="1"/>
    </font>
    <font>
      <b/>
      <sz val="10.5"/>
      <color rgb="FFFF0000"/>
      <name val="Century"/>
      <family val="1"/>
    </font>
    <font>
      <sz val="12"/>
      <name val="Bitstream Charter"/>
      <family val="1"/>
    </font>
    <font>
      <sz val="12"/>
      <color indexed="8"/>
      <name val="Bitstream Charter"/>
      <family val="1"/>
    </font>
    <font>
      <u/>
      <sz val="12"/>
      <name val="Bitstream Charter"/>
      <family val="1"/>
    </font>
    <font>
      <b/>
      <i/>
      <sz val="12"/>
      <color rgb="FF000000"/>
      <name val="Arial"/>
      <family val="2"/>
    </font>
    <font>
      <b/>
      <i/>
      <sz val="12"/>
      <name val="Bitstream Charter"/>
    </font>
    <font>
      <b/>
      <sz val="12"/>
      <name val="Bitstream Charter"/>
    </font>
    <font>
      <b/>
      <sz val="11"/>
      <name val="Century"/>
      <family val="1"/>
    </font>
    <font>
      <sz val="11"/>
      <name val="Century"/>
      <family val="1"/>
    </font>
    <font>
      <b/>
      <sz val="11"/>
      <color rgb="FFFF0000"/>
      <name val="Century"/>
      <family val="1"/>
    </font>
    <font>
      <sz val="11"/>
      <color indexed="10"/>
      <name val="Century"/>
      <family val="1"/>
    </font>
    <font>
      <b/>
      <sz val="12"/>
      <name val="Arial"/>
      <family val="2"/>
    </font>
    <font>
      <sz val="12"/>
      <name val="Arial"/>
      <family val="2"/>
    </font>
  </fonts>
  <fills count="13">
    <fill>
      <patternFill patternType="none"/>
    </fill>
    <fill>
      <patternFill patternType="gray125"/>
    </fill>
    <fill>
      <patternFill patternType="solid">
        <fgColor indexed="27"/>
        <bgColor indexed="41"/>
      </patternFill>
    </fill>
    <fill>
      <patternFill patternType="solid">
        <fgColor indexed="13"/>
        <bgColor indexed="34"/>
      </patternFill>
    </fill>
    <fill>
      <patternFill patternType="solid">
        <fgColor indexed="47"/>
        <bgColor indexed="22"/>
      </patternFill>
    </fill>
    <fill>
      <patternFill patternType="solid">
        <fgColor theme="0"/>
        <bgColor indexed="41"/>
      </patternFill>
    </fill>
    <fill>
      <patternFill patternType="solid">
        <fgColor theme="0"/>
        <bgColor indexed="64"/>
      </patternFill>
    </fill>
    <fill>
      <patternFill patternType="solid">
        <fgColor theme="8"/>
        <bgColor indexed="41"/>
      </patternFill>
    </fill>
    <fill>
      <patternFill patternType="solid">
        <fgColor rgb="FFFFFF00"/>
        <bgColor indexed="64"/>
      </patternFill>
    </fill>
    <fill>
      <patternFill patternType="solid">
        <fgColor theme="6"/>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6" tint="0.39997558519241921"/>
        <bgColor indexed="64"/>
      </patternFill>
    </fill>
  </fills>
  <borders count="53">
    <border>
      <left/>
      <right/>
      <top/>
      <bottom/>
      <diagonal/>
    </border>
    <border>
      <left style="thin">
        <color indexed="63"/>
      </left>
      <right style="thin">
        <color indexed="63"/>
      </right>
      <top style="thin">
        <color indexed="63"/>
      </top>
      <bottom style="thin">
        <color indexed="63"/>
      </bottom>
      <diagonal/>
    </border>
    <border>
      <left/>
      <right/>
      <top style="thin">
        <color indexed="8"/>
      </top>
      <bottom style="double">
        <color indexed="8"/>
      </bottom>
      <diagonal/>
    </border>
    <border>
      <left/>
      <right/>
      <top style="thin">
        <color indexed="8"/>
      </top>
      <bottom style="thin">
        <color indexed="8"/>
      </bottom>
      <diagonal/>
    </border>
    <border>
      <left/>
      <right/>
      <top style="hair">
        <color indexed="8"/>
      </top>
      <bottom style="hair">
        <color indexed="8"/>
      </bottom>
      <diagonal/>
    </border>
    <border>
      <left/>
      <right/>
      <top/>
      <bottom style="hair">
        <color indexed="8"/>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top style="thin">
        <color indexed="63"/>
      </top>
      <bottom/>
      <diagonal/>
    </border>
    <border>
      <left/>
      <right/>
      <top style="thin">
        <color indexed="63"/>
      </top>
      <bottom/>
      <diagonal/>
    </border>
    <border>
      <left/>
      <right style="thin">
        <color indexed="63"/>
      </right>
      <top style="thin">
        <color indexed="63"/>
      </top>
      <bottom/>
      <diagonal/>
    </border>
    <border>
      <left style="thin">
        <color indexed="63"/>
      </left>
      <right/>
      <top/>
      <bottom style="thin">
        <color indexed="63"/>
      </bottom>
      <diagonal/>
    </border>
    <border>
      <left/>
      <right/>
      <top/>
      <bottom style="thin">
        <color indexed="63"/>
      </bottom>
      <diagonal/>
    </border>
    <border>
      <left/>
      <right style="thin">
        <color indexed="63"/>
      </right>
      <top/>
      <bottom style="thin">
        <color indexed="63"/>
      </bottom>
      <diagonal/>
    </border>
    <border>
      <left style="thin">
        <color indexed="63"/>
      </left>
      <right style="thin">
        <color indexed="63"/>
      </right>
      <top style="thin">
        <color indexed="63"/>
      </top>
      <bottom/>
      <diagonal/>
    </border>
    <border>
      <left style="thin">
        <color indexed="63"/>
      </left>
      <right style="thin">
        <color indexed="63"/>
      </right>
      <top/>
      <bottom/>
      <diagonal/>
    </border>
    <border>
      <left style="thin">
        <color indexed="63"/>
      </left>
      <right/>
      <top/>
      <bottom/>
      <diagonal/>
    </border>
    <border>
      <left/>
      <right style="thin">
        <color indexed="63"/>
      </right>
      <top/>
      <bottom/>
      <diagonal/>
    </border>
    <border>
      <left/>
      <right/>
      <top style="thin">
        <color indexed="63"/>
      </top>
      <bottom style="double">
        <color indexed="63"/>
      </bottom>
      <diagonal/>
    </border>
    <border>
      <left style="thin">
        <color indexed="63"/>
      </left>
      <right/>
      <top/>
      <bottom style="hair">
        <color indexed="8"/>
      </bottom>
      <diagonal/>
    </border>
    <border>
      <left/>
      <right style="thin">
        <color indexed="63"/>
      </right>
      <top/>
      <bottom style="hair">
        <color indexed="8"/>
      </bottom>
      <diagonal/>
    </border>
    <border>
      <left style="thin">
        <color indexed="63"/>
      </left>
      <right style="thin">
        <color indexed="63"/>
      </right>
      <top style="thin">
        <color indexed="8"/>
      </top>
      <bottom style="thin">
        <color indexed="63"/>
      </bottom>
      <diagonal/>
    </border>
    <border>
      <left style="thin">
        <color indexed="63"/>
      </left>
      <right/>
      <top style="thin">
        <color indexed="8"/>
      </top>
      <bottom style="thin">
        <color indexed="63"/>
      </bottom>
      <diagonal/>
    </border>
    <border>
      <left/>
      <right/>
      <top style="thin">
        <color indexed="8"/>
      </top>
      <bottom style="thin">
        <color indexed="63"/>
      </bottom>
      <diagonal/>
    </border>
    <border>
      <left/>
      <right style="thin">
        <color indexed="63"/>
      </right>
      <top style="thin">
        <color indexed="8"/>
      </top>
      <bottom style="thin">
        <color indexed="63"/>
      </bottom>
      <diagonal/>
    </border>
    <border>
      <left/>
      <right/>
      <top/>
      <bottom style="thin">
        <color indexed="8"/>
      </bottom>
      <diagonal/>
    </border>
    <border>
      <left style="hair">
        <color indexed="8"/>
      </left>
      <right/>
      <top/>
      <bottom/>
      <diagonal/>
    </border>
    <border>
      <left style="hair">
        <color indexed="8"/>
      </left>
      <right style="hair">
        <color indexed="8"/>
      </right>
      <top style="hair">
        <color indexed="8"/>
      </top>
      <bottom/>
      <diagonal/>
    </border>
    <border>
      <left style="hair">
        <color indexed="8"/>
      </left>
      <right style="hair">
        <color indexed="8"/>
      </right>
      <top/>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top style="double">
        <color indexed="8"/>
      </top>
      <bottom style="double">
        <color indexed="64"/>
      </bottom>
      <diagonal/>
    </border>
    <border>
      <left/>
      <right/>
      <top/>
      <bottom style="medium">
        <color indexed="64"/>
      </bottom>
      <diagonal/>
    </border>
    <border>
      <left/>
      <right/>
      <top style="medium">
        <color indexed="64"/>
      </top>
      <bottom style="double">
        <color indexed="64"/>
      </bottom>
      <diagonal/>
    </border>
    <border>
      <left/>
      <right/>
      <top style="thin">
        <color indexed="64"/>
      </top>
      <bottom style="thin">
        <color indexed="64"/>
      </bottom>
      <diagonal/>
    </border>
    <border>
      <left/>
      <right/>
      <top style="thin">
        <color indexed="64"/>
      </top>
      <bottom/>
      <diagonal/>
    </border>
    <border>
      <left/>
      <right/>
      <top/>
      <bottom style="double">
        <color indexed="64"/>
      </bottom>
      <diagonal/>
    </border>
    <border>
      <left style="thin">
        <color indexed="64"/>
      </left>
      <right/>
      <top style="thin">
        <color indexed="64"/>
      </top>
      <bottom style="thin">
        <color indexed="64"/>
      </bottom>
      <diagonal/>
    </border>
    <border>
      <left style="hair">
        <color indexed="8"/>
      </left>
      <right/>
      <top style="thin">
        <color indexed="64"/>
      </top>
      <bottom style="thin">
        <color indexed="64"/>
      </bottom>
      <diagonal/>
    </border>
    <border>
      <left style="hair">
        <color indexed="8"/>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3"/>
      </right>
      <top style="thin">
        <color indexed="63"/>
      </top>
      <bottom style="thin">
        <color indexed="63"/>
      </bottom>
      <diagonal/>
    </border>
    <border>
      <left/>
      <right style="thin">
        <color indexed="64"/>
      </right>
      <top/>
      <bottom/>
      <diagonal/>
    </border>
    <border>
      <left style="thin">
        <color indexed="64"/>
      </left>
      <right/>
      <top/>
      <bottom/>
      <diagonal/>
    </border>
    <border>
      <left style="thin">
        <color indexed="64"/>
      </left>
      <right style="thin">
        <color indexed="63"/>
      </right>
      <top style="thin">
        <color indexed="63"/>
      </top>
      <bottom style="thin">
        <color indexed="64"/>
      </bottom>
      <diagonal/>
    </border>
    <border>
      <left/>
      <right/>
      <top style="thin">
        <color indexed="8"/>
      </top>
      <bottom style="double">
        <color indexed="64"/>
      </bottom>
      <diagonal/>
    </border>
    <border>
      <left/>
      <right/>
      <top style="thin">
        <color indexed="64"/>
      </top>
      <bottom style="medium">
        <color indexed="64"/>
      </bottom>
      <diagonal/>
    </border>
  </borders>
  <cellStyleXfs count="5">
    <xf numFmtId="0" fontId="0" fillId="0" borderId="0"/>
    <xf numFmtId="175" fontId="20" fillId="0" borderId="0" applyFill="0" applyBorder="0" applyAlignment="0" applyProtection="0"/>
    <xf numFmtId="164" fontId="20" fillId="0" borderId="0"/>
    <xf numFmtId="165" fontId="20" fillId="0" borderId="0"/>
    <xf numFmtId="9" fontId="20" fillId="0" borderId="0"/>
  </cellStyleXfs>
  <cellXfs count="338">
    <xf numFmtId="0" fontId="0" fillId="0" borderId="0" xfId="0"/>
    <xf numFmtId="0" fontId="0" fillId="0" borderId="0" xfId="0" applyFont="1"/>
    <xf numFmtId="0" fontId="1" fillId="0" borderId="0" xfId="0" applyFont="1"/>
    <xf numFmtId="0" fontId="1" fillId="0" borderId="0" xfId="0" applyFont="1" applyAlignment="1">
      <alignment horizontal="left"/>
    </xf>
    <xf numFmtId="0" fontId="2" fillId="0" borderId="0" xfId="0" applyFont="1"/>
    <xf numFmtId="0" fontId="0" fillId="0" borderId="0" xfId="0" applyFont="1" applyAlignment="1">
      <alignment horizontal="center"/>
    </xf>
    <xf numFmtId="16" fontId="0" fillId="0" borderId="0" xfId="0" applyNumberFormat="1" applyFont="1"/>
    <xf numFmtId="164" fontId="0" fillId="0" borderId="0" xfId="0" applyNumberFormat="1" applyFont="1"/>
    <xf numFmtId="164" fontId="1" fillId="0" borderId="2" xfId="0" applyNumberFormat="1" applyFont="1" applyBorder="1"/>
    <xf numFmtId="165" fontId="0" fillId="0" borderId="0" xfId="3" applyFont="1" applyBorder="1" applyAlignment="1" applyProtection="1"/>
    <xf numFmtId="164" fontId="1" fillId="0" borderId="0" xfId="0" applyNumberFormat="1" applyFont="1"/>
    <xf numFmtId="0" fontId="3" fillId="0" borderId="0" xfId="0" applyFont="1"/>
    <xf numFmtId="0" fontId="4" fillId="0" borderId="0" xfId="0" applyFont="1"/>
    <xf numFmtId="0" fontId="5" fillId="0" borderId="0" xfId="0" applyFont="1"/>
    <xf numFmtId="0" fontId="6" fillId="0" borderId="0" xfId="0" applyFont="1"/>
    <xf numFmtId="164" fontId="0" fillId="0" borderId="0" xfId="2" applyFont="1" applyBorder="1" applyAlignment="1" applyProtection="1"/>
    <xf numFmtId="164" fontId="0" fillId="0" borderId="0" xfId="0" applyNumberFormat="1"/>
    <xf numFmtId="10" fontId="20" fillId="0" borderId="0" xfId="4" applyNumberFormat="1"/>
    <xf numFmtId="167" fontId="0" fillId="0" borderId="0" xfId="0" applyNumberFormat="1"/>
    <xf numFmtId="168" fontId="0" fillId="0" borderId="0" xfId="4" applyNumberFormat="1" applyFont="1" applyBorder="1" applyAlignment="1" applyProtection="1"/>
    <xf numFmtId="0" fontId="7" fillId="0" borderId="0" xfId="0" applyFont="1"/>
    <xf numFmtId="0" fontId="7" fillId="0" borderId="0" xfId="0" applyFont="1" applyAlignment="1">
      <alignment horizontal="center"/>
    </xf>
    <xf numFmtId="14" fontId="0" fillId="0" borderId="0" xfId="0" applyNumberFormat="1" applyFont="1"/>
    <xf numFmtId="169" fontId="0" fillId="0" borderId="4" xfId="0" applyNumberFormat="1" applyBorder="1"/>
    <xf numFmtId="169" fontId="0" fillId="0" borderId="0" xfId="0" applyNumberFormat="1"/>
    <xf numFmtId="170" fontId="0" fillId="0" borderId="0" xfId="0" applyNumberFormat="1"/>
    <xf numFmtId="0" fontId="8" fillId="0" borderId="0" xfId="0" applyFont="1"/>
    <xf numFmtId="0" fontId="1" fillId="0" borderId="0" xfId="0" applyFont="1" applyBorder="1"/>
    <xf numFmtId="171" fontId="0" fillId="0" borderId="0" xfId="0" applyNumberFormat="1"/>
    <xf numFmtId="172" fontId="0" fillId="0" borderId="0" xfId="0" applyNumberFormat="1" applyFont="1"/>
    <xf numFmtId="0" fontId="0" fillId="0" borderId="2" xfId="0" applyBorder="1"/>
    <xf numFmtId="0" fontId="0" fillId="2" borderId="0" xfId="0" applyFill="1"/>
    <xf numFmtId="0" fontId="9" fillId="0" borderId="0" xfId="0" applyFont="1"/>
    <xf numFmtId="0" fontId="9" fillId="2" borderId="0" xfId="0" applyFont="1" applyFill="1"/>
    <xf numFmtId="0" fontId="10" fillId="2" borderId="0" xfId="0" applyFont="1" applyFill="1"/>
    <xf numFmtId="0" fontId="11" fillId="0" borderId="0" xfId="0" applyFont="1"/>
    <xf numFmtId="0" fontId="0" fillId="2" borderId="0" xfId="0" applyFont="1" applyFill="1"/>
    <xf numFmtId="0" fontId="0" fillId="2" borderId="0" xfId="0" applyFont="1" applyFill="1" applyAlignment="1">
      <alignment horizontal="center" vertical="center"/>
    </xf>
    <xf numFmtId="0" fontId="12" fillId="2" borderId="0" xfId="0" applyFont="1" applyFill="1"/>
    <xf numFmtId="0" fontId="12" fillId="0" borderId="0" xfId="0" applyFont="1"/>
    <xf numFmtId="0" fontId="2" fillId="2" borderId="0" xfId="0" applyFont="1" applyFill="1"/>
    <xf numFmtId="0" fontId="0" fillId="2" borderId="6" xfId="0" applyFill="1" applyBorder="1"/>
    <xf numFmtId="0" fontId="0" fillId="2" borderId="7" xfId="0" applyFill="1" applyBorder="1"/>
    <xf numFmtId="0" fontId="0" fillId="2" borderId="8" xfId="0" applyFill="1" applyBorder="1"/>
    <xf numFmtId="0" fontId="0" fillId="2" borderId="7" xfId="0" applyFill="1" applyBorder="1" applyAlignment="1">
      <alignment horizontal="center"/>
    </xf>
    <xf numFmtId="0" fontId="12" fillId="2" borderId="7" xfId="0" applyFont="1" applyFill="1" applyBorder="1" applyAlignment="1">
      <alignment horizontal="center"/>
    </xf>
    <xf numFmtId="0" fontId="0" fillId="2" borderId="0" xfId="0" applyFill="1" applyBorder="1"/>
    <xf numFmtId="0" fontId="0" fillId="2" borderId="9" xfId="0" applyFill="1" applyBorder="1"/>
    <xf numFmtId="0" fontId="0" fillId="2" borderId="10" xfId="0" applyFill="1" applyBorder="1"/>
    <xf numFmtId="0" fontId="0" fillId="2" borderId="10" xfId="0" applyFont="1" applyFill="1" applyBorder="1" applyAlignment="1">
      <alignment horizontal="center"/>
    </xf>
    <xf numFmtId="0" fontId="0" fillId="2" borderId="11" xfId="0" applyFill="1" applyBorder="1"/>
    <xf numFmtId="0" fontId="0" fillId="2" borderId="9" xfId="0" applyFont="1" applyFill="1" applyBorder="1" applyAlignment="1">
      <alignment horizontal="center"/>
    </xf>
    <xf numFmtId="0" fontId="13" fillId="2" borderId="11" xfId="0" applyFont="1" applyFill="1" applyBorder="1"/>
    <xf numFmtId="0" fontId="0" fillId="2" borderId="11" xfId="0" applyFill="1" applyBorder="1" applyAlignment="1">
      <alignment horizontal="center"/>
    </xf>
    <xf numFmtId="0" fontId="2" fillId="2" borderId="0" xfId="0" applyFont="1" applyFill="1" applyBorder="1"/>
    <xf numFmtId="0" fontId="0" fillId="2" borderId="12" xfId="0" applyFill="1" applyBorder="1"/>
    <xf numFmtId="0" fontId="0" fillId="2" borderId="13" xfId="0" applyFill="1" applyBorder="1"/>
    <xf numFmtId="0" fontId="0" fillId="2" borderId="14" xfId="0" applyFill="1" applyBorder="1"/>
    <xf numFmtId="0" fontId="13" fillId="2" borderId="14" xfId="0" applyFont="1" applyFill="1" applyBorder="1"/>
    <xf numFmtId="0" fontId="0" fillId="2" borderId="12" xfId="0" applyFont="1" applyFill="1" applyBorder="1" applyAlignment="1">
      <alignment horizontal="center"/>
    </xf>
    <xf numFmtId="166" fontId="13" fillId="2" borderId="14" xfId="0" applyNumberFormat="1" applyFont="1" applyFill="1" applyBorder="1"/>
    <xf numFmtId="0" fontId="12" fillId="2" borderId="12" xfId="0" applyFont="1" applyFill="1" applyBorder="1" applyAlignment="1">
      <alignment horizontal="center"/>
    </xf>
    <xf numFmtId="0" fontId="0" fillId="2" borderId="14" xfId="0" applyFont="1" applyFill="1" applyBorder="1"/>
    <xf numFmtId="0" fontId="0" fillId="2" borderId="15" xfId="0" applyFont="1" applyFill="1" applyBorder="1"/>
    <xf numFmtId="0" fontId="13" fillId="2" borderId="0" xfId="0" applyFont="1" applyFill="1" applyBorder="1"/>
    <xf numFmtId="0" fontId="0" fillId="2" borderId="16" xfId="0" applyFont="1" applyFill="1" applyBorder="1"/>
    <xf numFmtId="0" fontId="0" fillId="2" borderId="17" xfId="0" applyFill="1" applyBorder="1"/>
    <xf numFmtId="0" fontId="0" fillId="2" borderId="18" xfId="0" applyFill="1" applyBorder="1"/>
    <xf numFmtId="0" fontId="13" fillId="2" borderId="18" xfId="0" applyFont="1" applyFill="1" applyBorder="1"/>
    <xf numFmtId="0" fontId="0" fillId="2" borderId="1" xfId="0" applyFont="1" applyFill="1" applyBorder="1"/>
    <xf numFmtId="0" fontId="0" fillId="2" borderId="1" xfId="0" applyFill="1" applyBorder="1"/>
    <xf numFmtId="0" fontId="14" fillId="0" borderId="0" xfId="0" applyFont="1"/>
    <xf numFmtId="0" fontId="13" fillId="2" borderId="0" xfId="0" applyFont="1" applyFill="1" applyBorder="1" applyAlignment="1">
      <alignment horizontal="left"/>
    </xf>
    <xf numFmtId="0" fontId="13" fillId="0" borderId="0" xfId="0" applyFont="1"/>
    <xf numFmtId="0" fontId="0" fillId="0" borderId="0" xfId="0" applyBorder="1"/>
    <xf numFmtId="0" fontId="0" fillId="0" borderId="19" xfId="0" applyFont="1" applyBorder="1"/>
    <xf numFmtId="0" fontId="0" fillId="2" borderId="20" xfId="0" applyFill="1" applyBorder="1"/>
    <xf numFmtId="0" fontId="0" fillId="2" borderId="21" xfId="0" applyFill="1" applyBorder="1"/>
    <xf numFmtId="0" fontId="13" fillId="2" borderId="21" xfId="0" applyFont="1" applyFill="1" applyBorder="1"/>
    <xf numFmtId="0" fontId="0" fillId="2" borderId="22" xfId="0" applyFill="1" applyBorder="1"/>
    <xf numFmtId="0" fontId="0" fillId="2" borderId="23" xfId="0" applyFill="1" applyBorder="1"/>
    <xf numFmtId="0" fontId="0" fillId="2" borderId="24" xfId="0" applyFill="1" applyBorder="1"/>
    <xf numFmtId="0" fontId="0" fillId="2" borderId="25" xfId="0" applyFill="1" applyBorder="1"/>
    <xf numFmtId="0" fontId="0" fillId="2" borderId="2" xfId="0" applyFill="1" applyBorder="1"/>
    <xf numFmtId="0" fontId="14" fillId="2" borderId="25" xfId="0" applyFont="1" applyFill="1" applyBorder="1"/>
    <xf numFmtId="0" fontId="15" fillId="0" borderId="0" xfId="0" applyFont="1"/>
    <xf numFmtId="0" fontId="16" fillId="2" borderId="0" xfId="0" applyFont="1" applyFill="1"/>
    <xf numFmtId="0" fontId="0" fillId="2" borderId="0" xfId="0" applyFont="1" applyFill="1" applyAlignment="1">
      <alignment horizontal="center"/>
    </xf>
    <xf numFmtId="0" fontId="17" fillId="2" borderId="0" xfId="0" applyFont="1" applyFill="1" applyAlignment="1">
      <alignment horizontal="center"/>
    </xf>
    <xf numFmtId="0" fontId="0" fillId="2" borderId="4" xfId="0" applyFill="1" applyBorder="1" applyAlignment="1">
      <alignment horizontal="right"/>
    </xf>
    <xf numFmtId="0" fontId="12" fillId="2" borderId="4" xfId="0" applyFont="1" applyFill="1" applyBorder="1" applyAlignment="1">
      <alignment horizontal="right"/>
    </xf>
    <xf numFmtId="166" fontId="12" fillId="2" borderId="0" xfId="0" applyNumberFormat="1" applyFont="1" applyFill="1"/>
    <xf numFmtId="0" fontId="6" fillId="2" borderId="0" xfId="0" applyFont="1" applyFill="1"/>
    <xf numFmtId="0" fontId="1" fillId="2" borderId="0" xfId="0" applyFont="1" applyFill="1"/>
    <xf numFmtId="0" fontId="0" fillId="3" borderId="0" xfId="0" applyFill="1"/>
    <xf numFmtId="0" fontId="0" fillId="3" borderId="0" xfId="0" applyFont="1" applyFill="1" applyAlignment="1">
      <alignment horizontal="center"/>
    </xf>
    <xf numFmtId="0" fontId="0" fillId="2" borderId="0" xfId="0" applyFont="1" applyFill="1" applyBorder="1" applyAlignment="1">
      <alignment horizontal="center"/>
    </xf>
    <xf numFmtId="0" fontId="17" fillId="2" borderId="0" xfId="0" applyFont="1" applyFill="1" applyBorder="1" applyAlignment="1">
      <alignment horizontal="center"/>
    </xf>
    <xf numFmtId="0" fontId="17" fillId="2" borderId="0" xfId="0" applyFont="1" applyFill="1" applyBorder="1"/>
    <xf numFmtId="0" fontId="0" fillId="2" borderId="0" xfId="0" applyFont="1" applyFill="1" applyBorder="1" applyAlignment="1">
      <alignment vertical="center"/>
    </xf>
    <xf numFmtId="0" fontId="17" fillId="2" borderId="0" xfId="0" applyFont="1" applyFill="1" applyAlignment="1">
      <alignment horizontal="center" vertical="center"/>
    </xf>
    <xf numFmtId="0" fontId="0" fillId="2" borderId="0" xfId="0" applyFont="1" applyFill="1" applyBorder="1"/>
    <xf numFmtId="166" fontId="0" fillId="2" borderId="0" xfId="0" applyNumberFormat="1" applyFill="1" applyBorder="1"/>
    <xf numFmtId="173" fontId="0" fillId="2" borderId="0" xfId="0" applyNumberFormat="1" applyFill="1"/>
    <xf numFmtId="2" fontId="0" fillId="2" borderId="0" xfId="0" applyNumberFormat="1" applyFill="1"/>
    <xf numFmtId="174" fontId="0" fillId="2" borderId="0" xfId="0" applyNumberFormat="1" applyFill="1" applyBorder="1"/>
    <xf numFmtId="2" fontId="0" fillId="2" borderId="0" xfId="0" applyNumberFormat="1" applyFill="1" applyBorder="1"/>
    <xf numFmtId="166" fontId="0" fillId="2" borderId="0" xfId="0" applyNumberFormat="1" applyFill="1"/>
    <xf numFmtId="17" fontId="0" fillId="2" borderId="0" xfId="0" applyNumberFormat="1" applyFont="1" applyFill="1"/>
    <xf numFmtId="166" fontId="0" fillId="2" borderId="0" xfId="0" applyNumberFormat="1" applyFill="1" applyAlignment="1">
      <alignment horizontal="left"/>
    </xf>
    <xf numFmtId="0" fontId="0" fillId="2" borderId="26" xfId="0" applyFill="1" applyBorder="1"/>
    <xf numFmtId="164" fontId="0" fillId="2" borderId="0" xfId="2" applyFont="1" applyFill="1" applyBorder="1" applyAlignment="1" applyProtection="1"/>
    <xf numFmtId="164" fontId="12" fillId="2" borderId="2" xfId="0" applyNumberFormat="1" applyFont="1" applyFill="1" applyBorder="1"/>
    <xf numFmtId="0" fontId="18" fillId="0" borderId="0" xfId="0" applyFont="1"/>
    <xf numFmtId="0" fontId="19" fillId="0" borderId="0" xfId="0" applyFont="1"/>
    <xf numFmtId="0" fontId="18" fillId="4" borderId="27" xfId="0" applyFont="1" applyFill="1" applyBorder="1"/>
    <xf numFmtId="0" fontId="18" fillId="4" borderId="29" xfId="0" applyFont="1" applyFill="1" applyBorder="1"/>
    <xf numFmtId="166" fontId="18" fillId="0" borderId="0" xfId="0" applyNumberFormat="1" applyFont="1"/>
    <xf numFmtId="0" fontId="18" fillId="0" borderId="7" xfId="0" applyFont="1" applyBorder="1"/>
    <xf numFmtId="166" fontId="18" fillId="0" borderId="7" xfId="0" applyNumberFormat="1" applyFont="1" applyBorder="1"/>
    <xf numFmtId="0" fontId="18" fillId="0" borderId="0" xfId="0" applyFont="1" applyBorder="1"/>
    <xf numFmtId="0" fontId="18" fillId="0" borderId="0" xfId="0" applyFont="1" applyFill="1"/>
    <xf numFmtId="166" fontId="18" fillId="0" borderId="0" xfId="0" applyNumberFormat="1" applyFont="1" applyBorder="1"/>
    <xf numFmtId="0" fontId="18" fillId="0" borderId="0" xfId="0" applyFont="1" applyFill="1" applyBorder="1"/>
    <xf numFmtId="176" fontId="18" fillId="0" borderId="0" xfId="0" applyNumberFormat="1" applyFont="1"/>
    <xf numFmtId="172" fontId="0" fillId="0" borderId="0" xfId="0" quotePrefix="1" applyNumberFormat="1"/>
    <xf numFmtId="0" fontId="0" fillId="0" borderId="0" xfId="0" quotePrefix="1"/>
    <xf numFmtId="14" fontId="0" fillId="0" borderId="0" xfId="0" quotePrefix="1" applyNumberFormat="1"/>
    <xf numFmtId="0" fontId="0" fillId="0" borderId="30" xfId="0" applyBorder="1"/>
    <xf numFmtId="175" fontId="0" fillId="0" borderId="0" xfId="1" applyFont="1" applyFill="1" applyBorder="1" applyAlignment="1" applyProtection="1"/>
    <xf numFmtId="1" fontId="0" fillId="2" borderId="31" xfId="0" applyNumberFormat="1" applyFill="1" applyBorder="1"/>
    <xf numFmtId="0" fontId="21" fillId="0" borderId="0" xfId="0" applyFont="1"/>
    <xf numFmtId="0" fontId="21" fillId="0" borderId="0" xfId="0" applyFont="1" applyAlignment="1">
      <alignment horizontal="right"/>
    </xf>
    <xf numFmtId="0" fontId="21" fillId="0" borderId="2" xfId="0" applyFont="1" applyBorder="1"/>
    <xf numFmtId="0" fontId="22" fillId="0" borderId="0" xfId="0" applyFont="1"/>
    <xf numFmtId="0" fontId="22" fillId="0" borderId="32" xfId="0" applyFont="1" applyBorder="1"/>
    <xf numFmtId="0" fontId="22" fillId="0" borderId="0" xfId="0" applyFont="1" applyBorder="1"/>
    <xf numFmtId="0" fontId="22" fillId="0" borderId="35" xfId="0" applyFont="1" applyBorder="1"/>
    <xf numFmtId="0" fontId="22" fillId="0" borderId="33" xfId="0" applyFont="1" applyBorder="1"/>
    <xf numFmtId="0" fontId="22" fillId="0" borderId="34" xfId="0" applyFont="1" applyBorder="1"/>
    <xf numFmtId="0" fontId="21" fillId="0" borderId="0" xfId="0" applyFont="1" applyAlignment="1">
      <alignment horizontal="center"/>
    </xf>
    <xf numFmtId="0" fontId="21" fillId="0" borderId="3" xfId="0" applyFont="1" applyBorder="1"/>
    <xf numFmtId="0" fontId="21" fillId="0" borderId="0" xfId="0" applyFont="1" applyBorder="1"/>
    <xf numFmtId="2" fontId="21" fillId="0" borderId="0" xfId="0" applyNumberFormat="1" applyFont="1"/>
    <xf numFmtId="0" fontId="21" fillId="0" borderId="0" xfId="0" applyFont="1" applyAlignment="1">
      <alignment horizontal="left"/>
    </xf>
    <xf numFmtId="0" fontId="21" fillId="0" borderId="4" xfId="0" applyFont="1" applyBorder="1"/>
    <xf numFmtId="2" fontId="21" fillId="0" borderId="2" xfId="0" applyNumberFormat="1" applyFont="1" applyBorder="1"/>
    <xf numFmtId="2" fontId="21" fillId="0" borderId="0" xfId="0" applyNumberFormat="1" applyFont="1" applyBorder="1"/>
    <xf numFmtId="0" fontId="23" fillId="0" borderId="0" xfId="0" applyFont="1"/>
    <xf numFmtId="0" fontId="24" fillId="0" borderId="0" xfId="0" applyFont="1"/>
    <xf numFmtId="165" fontId="21" fillId="0" borderId="0" xfId="0" applyNumberFormat="1" applyFont="1"/>
    <xf numFmtId="166" fontId="25" fillId="0" borderId="0" xfId="0" applyNumberFormat="1" applyFont="1"/>
    <xf numFmtId="0" fontId="21" fillId="2" borderId="0" xfId="0" applyFont="1" applyFill="1"/>
    <xf numFmtId="164" fontId="24" fillId="0" borderId="0" xfId="2" applyFont="1" applyBorder="1" applyAlignment="1" applyProtection="1">
      <alignment horizontal="center"/>
    </xf>
    <xf numFmtId="0" fontId="21" fillId="2" borderId="0" xfId="0" applyFont="1" applyFill="1" applyAlignment="1">
      <alignment horizontal="center"/>
    </xf>
    <xf numFmtId="0" fontId="21" fillId="2" borderId="0" xfId="0" applyFont="1" applyFill="1" applyAlignment="1">
      <alignment horizontal="right"/>
    </xf>
    <xf numFmtId="0" fontId="26" fillId="0" borderId="0" xfId="0" applyFont="1"/>
    <xf numFmtId="0" fontId="21" fillId="0" borderId="36" xfId="0" applyFont="1" applyBorder="1"/>
    <xf numFmtId="0" fontId="21" fillId="0" borderId="37" xfId="0" applyFont="1" applyBorder="1"/>
    <xf numFmtId="0" fontId="21" fillId="5" borderId="36" xfId="0" applyFont="1" applyFill="1" applyBorder="1"/>
    <xf numFmtId="166" fontId="21" fillId="0" borderId="0" xfId="0" applyNumberFormat="1" applyFont="1" applyAlignment="1">
      <alignment horizontal="center" vertical="center"/>
    </xf>
    <xf numFmtId="0" fontId="21" fillId="0" borderId="30" xfId="0" applyFont="1" applyBorder="1"/>
    <xf numFmtId="0" fontId="27" fillId="0" borderId="0" xfId="0" applyFont="1"/>
    <xf numFmtId="0" fontId="28" fillId="0" borderId="0" xfId="0" applyFont="1" applyAlignment="1">
      <alignment horizontal="left"/>
    </xf>
    <xf numFmtId="0" fontId="28" fillId="0" borderId="0" xfId="0" applyFont="1"/>
    <xf numFmtId="0" fontId="29" fillId="0" borderId="0" xfId="0" applyFont="1"/>
    <xf numFmtId="165" fontId="26" fillId="0" borderId="0" xfId="3" applyFont="1" applyBorder="1" applyAlignment="1" applyProtection="1"/>
    <xf numFmtId="164" fontId="28" fillId="0" borderId="0" xfId="2" applyFont="1" applyBorder="1" applyAlignment="1" applyProtection="1"/>
    <xf numFmtId="165" fontId="26" fillId="0" borderId="0" xfId="0" applyNumberFormat="1" applyFont="1"/>
    <xf numFmtId="4" fontId="24" fillId="0" borderId="31" xfId="0" applyNumberFormat="1" applyFont="1" applyBorder="1"/>
    <xf numFmtId="4" fontId="24" fillId="0" borderId="0" xfId="0" applyNumberFormat="1" applyFont="1" applyBorder="1"/>
    <xf numFmtId="0" fontId="21" fillId="5" borderId="0" xfId="0" applyFont="1" applyFill="1" applyBorder="1"/>
    <xf numFmtId="0" fontId="26" fillId="6" borderId="0" xfId="0" applyFont="1" applyFill="1"/>
    <xf numFmtId="165" fontId="26" fillId="6" borderId="0" xfId="0" applyNumberFormat="1" applyFont="1" applyFill="1"/>
    <xf numFmtId="0" fontId="21" fillId="5" borderId="0" xfId="0" applyFont="1" applyFill="1"/>
    <xf numFmtId="0" fontId="21" fillId="5" borderId="0" xfId="0" applyFont="1" applyFill="1" applyAlignment="1">
      <alignment horizontal="center"/>
    </xf>
    <xf numFmtId="0" fontId="21" fillId="5" borderId="0" xfId="0" applyFont="1" applyFill="1" applyAlignment="1">
      <alignment horizontal="right"/>
    </xf>
    <xf numFmtId="0" fontId="21" fillId="6" borderId="0" xfId="0" applyFont="1" applyFill="1" applyBorder="1"/>
    <xf numFmtId="166" fontId="25" fillId="6" borderId="0" xfId="0" applyNumberFormat="1" applyFont="1" applyFill="1"/>
    <xf numFmtId="0" fontId="21" fillId="6" borderId="0" xfId="0" applyFont="1" applyFill="1"/>
    <xf numFmtId="0" fontId="18" fillId="4" borderId="28" xfId="0" applyFont="1" applyFill="1" applyBorder="1" applyAlignment="1">
      <alignment horizontal="center" vertical="center"/>
    </xf>
    <xf numFmtId="0" fontId="18" fillId="4" borderId="28" xfId="0" applyFont="1" applyFill="1" applyBorder="1" applyAlignment="1">
      <alignment horizontal="center"/>
    </xf>
    <xf numFmtId="0" fontId="18" fillId="4" borderId="38" xfId="0" applyFont="1" applyFill="1" applyBorder="1"/>
    <xf numFmtId="0" fontId="18" fillId="4" borderId="39" xfId="0" applyFont="1" applyFill="1" applyBorder="1"/>
    <xf numFmtId="0" fontId="18" fillId="4" borderId="40" xfId="0" applyFont="1" applyFill="1" applyBorder="1"/>
    <xf numFmtId="0" fontId="21" fillId="0" borderId="31" xfId="0" applyFont="1" applyBorder="1"/>
    <xf numFmtId="177" fontId="21" fillId="0" borderId="31" xfId="0" applyNumberFormat="1" applyFont="1" applyBorder="1"/>
    <xf numFmtId="0" fontId="21" fillId="7" borderId="0" xfId="0" applyFont="1" applyFill="1"/>
    <xf numFmtId="0" fontId="21" fillId="7" borderId="0" xfId="0" applyFont="1" applyFill="1" applyAlignment="1">
      <alignment horizontal="center"/>
    </xf>
    <xf numFmtId="0" fontId="21" fillId="7" borderId="0" xfId="0" applyFont="1" applyFill="1" applyAlignment="1">
      <alignment horizontal="right"/>
    </xf>
    <xf numFmtId="0" fontId="26" fillId="0" borderId="0" xfId="0" applyFont="1" applyFill="1"/>
    <xf numFmtId="166" fontId="25" fillId="0" borderId="42" xfId="0" applyNumberFormat="1" applyFont="1" applyBorder="1"/>
    <xf numFmtId="0" fontId="21" fillId="7" borderId="41" xfId="0" applyFont="1" applyFill="1" applyBorder="1" applyAlignment="1">
      <alignment horizontal="right"/>
    </xf>
    <xf numFmtId="0" fontId="24" fillId="0" borderId="0" xfId="0" applyFont="1" applyFill="1"/>
    <xf numFmtId="8" fontId="18" fillId="0" borderId="0" xfId="0" applyNumberFormat="1" applyFont="1" applyBorder="1"/>
    <xf numFmtId="176" fontId="18" fillId="0" borderId="35" xfId="0" applyNumberFormat="1" applyFont="1" applyBorder="1"/>
    <xf numFmtId="177" fontId="21" fillId="0" borderId="0" xfId="0" applyNumberFormat="1" applyFont="1" applyBorder="1"/>
    <xf numFmtId="0" fontId="30" fillId="0" borderId="0" xfId="0" applyFont="1"/>
    <xf numFmtId="0" fontId="21" fillId="9" borderId="0" xfId="0" applyFont="1" applyFill="1"/>
    <xf numFmtId="0" fontId="0" fillId="0" borderId="30" xfId="0" applyFont="1" applyBorder="1"/>
    <xf numFmtId="0" fontId="18" fillId="10" borderId="0" xfId="0" applyFont="1" applyFill="1" applyBorder="1"/>
    <xf numFmtId="166" fontId="18" fillId="10" borderId="0" xfId="0" applyNumberFormat="1" applyFont="1" applyFill="1" applyBorder="1"/>
    <xf numFmtId="0" fontId="1" fillId="0" borderId="41" xfId="0" applyFont="1" applyBorder="1"/>
    <xf numFmtId="0" fontId="0" fillId="0" borderId="41" xfId="0" applyFont="1" applyBorder="1"/>
    <xf numFmtId="0" fontId="0" fillId="0" borderId="41" xfId="0" applyBorder="1" applyAlignment="1">
      <alignment horizontal="center"/>
    </xf>
    <xf numFmtId="0" fontId="0" fillId="2" borderId="10" xfId="0" applyFill="1" applyBorder="1" applyAlignment="1">
      <alignment horizontal="center"/>
    </xf>
    <xf numFmtId="0" fontId="0" fillId="2" borderId="43" xfId="0" applyFont="1" applyFill="1" applyBorder="1" applyAlignment="1">
      <alignment horizontal="center"/>
    </xf>
    <xf numFmtId="0" fontId="13" fillId="2" borderId="44" xfId="0" applyFont="1" applyFill="1" applyBorder="1"/>
    <xf numFmtId="0" fontId="0" fillId="2" borderId="45" xfId="0" applyFill="1" applyBorder="1" applyAlignment="1">
      <alignment horizontal="center"/>
    </xf>
    <xf numFmtId="166" fontId="13" fillId="2" borderId="46" xfId="0" applyNumberFormat="1" applyFont="1" applyFill="1" applyBorder="1"/>
    <xf numFmtId="0" fontId="0" fillId="2" borderId="5" xfId="0" applyFill="1" applyBorder="1"/>
    <xf numFmtId="0" fontId="12" fillId="2" borderId="17" xfId="0" applyFont="1" applyFill="1" applyBorder="1" applyAlignment="1">
      <alignment horizontal="center"/>
    </xf>
    <xf numFmtId="0" fontId="0" fillId="2" borderId="43" xfId="0" applyFill="1" applyBorder="1"/>
    <xf numFmtId="0" fontId="0" fillId="2" borderId="47" xfId="0" applyFont="1" applyFill="1" applyBorder="1"/>
    <xf numFmtId="0" fontId="13" fillId="2" borderId="48" xfId="0" applyFont="1" applyFill="1" applyBorder="1"/>
    <xf numFmtId="0" fontId="0" fillId="2" borderId="49" xfId="0" applyFill="1" applyBorder="1"/>
    <xf numFmtId="0" fontId="13" fillId="2" borderId="46" xfId="0" applyFont="1" applyFill="1" applyBorder="1"/>
    <xf numFmtId="0" fontId="0" fillId="0" borderId="0" xfId="0" applyAlignment="1"/>
    <xf numFmtId="0" fontId="31" fillId="0" borderId="0" xfId="0" applyFont="1"/>
    <xf numFmtId="0" fontId="32" fillId="3" borderId="0" xfId="0" applyFont="1" applyFill="1" applyAlignment="1">
      <alignment horizontal="center"/>
    </xf>
    <xf numFmtId="0" fontId="31" fillId="0" borderId="0" xfId="0" applyFont="1" applyAlignment="1">
      <alignment horizontal="right"/>
    </xf>
    <xf numFmtId="0" fontId="31" fillId="3" borderId="0" xfId="0" applyFont="1" applyFill="1" applyAlignment="1">
      <alignment horizontal="center"/>
    </xf>
    <xf numFmtId="0" fontId="31" fillId="0" borderId="0" xfId="0" applyFont="1" applyFill="1"/>
    <xf numFmtId="0" fontId="31" fillId="10" borderId="0" xfId="0" applyFont="1" applyFill="1"/>
    <xf numFmtId="0" fontId="31" fillId="8" borderId="0" xfId="0" applyFont="1" applyFill="1" applyAlignment="1">
      <alignment horizontal="center"/>
    </xf>
    <xf numFmtId="0" fontId="31" fillId="0" borderId="0" xfId="0" applyFont="1" applyFill="1" applyAlignment="1">
      <alignment horizontal="center"/>
    </xf>
    <xf numFmtId="0" fontId="31" fillId="0" borderId="0" xfId="0" applyFont="1" applyFill="1" applyBorder="1"/>
    <xf numFmtId="0" fontId="33" fillId="0" borderId="0" xfId="0" applyFont="1" applyFill="1" applyAlignment="1">
      <alignment horizontal="center"/>
    </xf>
    <xf numFmtId="0" fontId="31" fillId="0" borderId="0" xfId="0" applyFont="1" applyAlignment="1">
      <alignment horizontal="center"/>
    </xf>
    <xf numFmtId="171" fontId="31" fillId="0" borderId="0" xfId="0" applyNumberFormat="1" applyFont="1"/>
    <xf numFmtId="0" fontId="35" fillId="0" borderId="0" xfId="0" applyFont="1" applyAlignment="1">
      <alignment horizontal="center"/>
    </xf>
    <xf numFmtId="14" fontId="21" fillId="0" borderId="0" xfId="0" applyNumberFormat="1" applyFont="1"/>
    <xf numFmtId="175" fontId="20" fillId="0" borderId="0" xfId="1"/>
    <xf numFmtId="175" fontId="20" fillId="0" borderId="0" xfId="1" applyBorder="1" applyAlignment="1" applyProtection="1"/>
    <xf numFmtId="0" fontId="18" fillId="11" borderId="7" xfId="0" applyFont="1" applyFill="1" applyBorder="1"/>
    <xf numFmtId="176" fontId="18" fillId="11" borderId="7" xfId="0" applyNumberFormat="1" applyFont="1" applyFill="1" applyBorder="1"/>
    <xf numFmtId="164" fontId="20" fillId="11" borderId="35" xfId="2" applyFill="1" applyBorder="1"/>
    <xf numFmtId="0" fontId="35" fillId="0" borderId="0" xfId="0" applyFont="1"/>
    <xf numFmtId="0" fontId="0" fillId="0" borderId="0" xfId="0" applyAlignment="1">
      <alignment horizontal="right"/>
    </xf>
    <xf numFmtId="164" fontId="1" fillId="0" borderId="0" xfId="2" applyFont="1"/>
    <xf numFmtId="175" fontId="1" fillId="0" borderId="31" xfId="1" applyFont="1" applyBorder="1"/>
    <xf numFmtId="175" fontId="20" fillId="11" borderId="35" xfId="1" applyFill="1" applyBorder="1"/>
    <xf numFmtId="0" fontId="0" fillId="0" borderId="0" xfId="0" applyAlignment="1">
      <alignment horizontal="center"/>
    </xf>
    <xf numFmtId="164" fontId="0" fillId="0" borderId="51" xfId="0" applyNumberFormat="1" applyFont="1" applyBorder="1"/>
    <xf numFmtId="0" fontId="18" fillId="4" borderId="42" xfId="0" applyFont="1" applyFill="1" applyBorder="1"/>
    <xf numFmtId="0" fontId="0" fillId="0" borderId="41" xfId="0" applyBorder="1"/>
    <xf numFmtId="176" fontId="18" fillId="6" borderId="0" xfId="0" applyNumberFormat="1" applyFont="1" applyFill="1" applyBorder="1"/>
    <xf numFmtId="14" fontId="0" fillId="0" borderId="0" xfId="0" applyNumberFormat="1"/>
    <xf numFmtId="14" fontId="0" fillId="2" borderId="0" xfId="0" quotePrefix="1" applyNumberFormat="1" applyFill="1"/>
    <xf numFmtId="0" fontId="0" fillId="2" borderId="12" xfId="0" applyFill="1" applyBorder="1" applyAlignment="1">
      <alignment horizontal="center"/>
    </xf>
    <xf numFmtId="0" fontId="34" fillId="0" borderId="35" xfId="0" applyFont="1" applyBorder="1" applyAlignment="1">
      <alignment horizontal="center"/>
    </xf>
    <xf numFmtId="0" fontId="36" fillId="0" borderId="41" xfId="0" applyFont="1" applyBorder="1" applyAlignment="1">
      <alignment horizontal="center"/>
    </xf>
    <xf numFmtId="0" fontId="17" fillId="0" borderId="0" xfId="0" applyFont="1" applyBorder="1"/>
    <xf numFmtId="0" fontId="17" fillId="0" borderId="0" xfId="0" applyFont="1"/>
    <xf numFmtId="0" fontId="7" fillId="0" borderId="0" xfId="0" applyFont="1" applyBorder="1"/>
    <xf numFmtId="176" fontId="18" fillId="11" borderId="31" xfId="0" applyNumberFormat="1" applyFont="1" applyFill="1" applyBorder="1"/>
    <xf numFmtId="2" fontId="0" fillId="2" borderId="47" xfId="0" applyNumberFormat="1" applyFill="1" applyBorder="1"/>
    <xf numFmtId="2" fontId="0" fillId="2" borderId="12" xfId="0" applyNumberFormat="1" applyFill="1" applyBorder="1"/>
    <xf numFmtId="2" fontId="0" fillId="2" borderId="50" xfId="0" applyNumberFormat="1" applyFill="1" applyBorder="1"/>
    <xf numFmtId="0" fontId="0" fillId="2" borderId="0" xfId="0" quotePrefix="1" applyFill="1"/>
    <xf numFmtId="164" fontId="20" fillId="0" borderId="0" xfId="2"/>
    <xf numFmtId="175" fontId="20" fillId="0" borderId="31" xfId="1" applyBorder="1"/>
    <xf numFmtId="0" fontId="24" fillId="0" borderId="31" xfId="0" applyFont="1" applyBorder="1"/>
    <xf numFmtId="0" fontId="1" fillId="0" borderId="0" xfId="0" applyFont="1" applyAlignment="1">
      <alignment horizontal="center"/>
    </xf>
    <xf numFmtId="0" fontId="17" fillId="0" borderId="0" xfId="0" applyFont="1" applyAlignment="1">
      <alignment horizontal="center"/>
    </xf>
    <xf numFmtId="0" fontId="37" fillId="0" borderId="0" xfId="0" applyFont="1"/>
    <xf numFmtId="0" fontId="37" fillId="0" borderId="0" xfId="0" applyFont="1" applyAlignment="1">
      <alignment horizontal="left"/>
    </xf>
    <xf numFmtId="0" fontId="38" fillId="0" borderId="0" xfId="0" applyFont="1"/>
    <xf numFmtId="0" fontId="38" fillId="6" borderId="0" xfId="0" applyFont="1" applyFill="1"/>
    <xf numFmtId="165" fontId="38" fillId="0" borderId="0" xfId="3" applyFont="1" applyBorder="1" applyAlignment="1" applyProtection="1"/>
    <xf numFmtId="164" fontId="37" fillId="0" borderId="0" xfId="2" applyFont="1" applyBorder="1" applyAlignment="1" applyProtection="1"/>
    <xf numFmtId="165" fontId="38" fillId="0" borderId="0" xfId="0" applyNumberFormat="1" applyFont="1"/>
    <xf numFmtId="165" fontId="38" fillId="6" borderId="0" xfId="0" applyNumberFormat="1" applyFont="1" applyFill="1"/>
    <xf numFmtId="164" fontId="37" fillId="0" borderId="0" xfId="2" applyFont="1" applyBorder="1" applyAlignment="1" applyProtection="1">
      <alignment horizontal="center"/>
    </xf>
    <xf numFmtId="0" fontId="38" fillId="0" borderId="0" xfId="0" applyFont="1" applyAlignment="1">
      <alignment horizontal="center"/>
    </xf>
    <xf numFmtId="0" fontId="38" fillId="2" borderId="0" xfId="0" applyFont="1" applyFill="1"/>
    <xf numFmtId="0" fontId="38" fillId="7" borderId="0" xfId="0" applyFont="1" applyFill="1"/>
    <xf numFmtId="0" fontId="38" fillId="5" borderId="0" xfId="0" applyFont="1" applyFill="1"/>
    <xf numFmtId="0" fontId="38" fillId="2" borderId="0" xfId="0" applyFont="1" applyFill="1" applyAlignment="1">
      <alignment horizontal="center"/>
    </xf>
    <xf numFmtId="0" fontId="38" fillId="7" borderId="0" xfId="0" applyFont="1" applyFill="1" applyAlignment="1">
      <alignment horizontal="center"/>
    </xf>
    <xf numFmtId="0" fontId="38" fillId="5" borderId="0" xfId="0" applyFont="1" applyFill="1" applyAlignment="1">
      <alignment horizontal="center"/>
    </xf>
    <xf numFmtId="0" fontId="38" fillId="0" borderId="0" xfId="0" applyFont="1" applyAlignment="1">
      <alignment horizontal="right"/>
    </xf>
    <xf numFmtId="0" fontId="38" fillId="2" borderId="0" xfId="0" applyFont="1" applyFill="1" applyAlignment="1">
      <alignment horizontal="right"/>
    </xf>
    <xf numFmtId="0" fontId="38" fillId="7" borderId="0" xfId="0" applyFont="1" applyFill="1" applyAlignment="1">
      <alignment horizontal="right"/>
    </xf>
    <xf numFmtId="0" fontId="38" fillId="5" borderId="0" xfId="0" applyFont="1" applyFill="1" applyAlignment="1">
      <alignment horizontal="right"/>
    </xf>
    <xf numFmtId="0" fontId="38" fillId="7" borderId="41" xfId="0" applyFont="1" applyFill="1" applyBorder="1" applyAlignment="1">
      <alignment horizontal="right"/>
    </xf>
    <xf numFmtId="0" fontId="38" fillId="0" borderId="36" xfId="0" applyFont="1" applyBorder="1"/>
    <xf numFmtId="0" fontId="38" fillId="5" borderId="36" xfId="0" applyFont="1" applyFill="1" applyBorder="1"/>
    <xf numFmtId="0" fontId="38" fillId="5" borderId="0" xfId="0" applyFont="1" applyFill="1" applyBorder="1"/>
    <xf numFmtId="0" fontId="38" fillId="0" borderId="37" xfId="0" applyFont="1" applyBorder="1"/>
    <xf numFmtId="0" fontId="38" fillId="6" borderId="0" xfId="0" applyFont="1" applyFill="1" applyBorder="1"/>
    <xf numFmtId="0" fontId="38" fillId="0" borderId="0" xfId="0" applyFont="1" applyBorder="1"/>
    <xf numFmtId="175" fontId="38" fillId="0" borderId="31" xfId="1" applyFont="1" applyBorder="1"/>
    <xf numFmtId="4" fontId="37" fillId="0" borderId="31" xfId="0" applyNumberFormat="1" applyFont="1" applyBorder="1"/>
    <xf numFmtId="4" fontId="37" fillId="0" borderId="0" xfId="0" applyNumberFormat="1" applyFont="1" applyBorder="1"/>
    <xf numFmtId="177" fontId="38" fillId="0" borderId="0" xfId="0" applyNumberFormat="1" applyFont="1" applyBorder="1"/>
    <xf numFmtId="0" fontId="39" fillId="0" borderId="0" xfId="0" applyFont="1"/>
    <xf numFmtId="0" fontId="38" fillId="4" borderId="28" xfId="0" applyFont="1" applyFill="1" applyBorder="1" applyAlignment="1">
      <alignment horizontal="center" vertical="center"/>
    </xf>
    <xf numFmtId="0" fontId="38" fillId="4" borderId="28" xfId="0" applyFont="1" applyFill="1" applyBorder="1" applyAlignment="1">
      <alignment horizontal="center"/>
    </xf>
    <xf numFmtId="166" fontId="40" fillId="0" borderId="42" xfId="0" applyNumberFormat="1" applyFont="1" applyBorder="1"/>
    <xf numFmtId="166" fontId="40" fillId="6" borderId="0" xfId="0" applyNumberFormat="1" applyFont="1" applyFill="1"/>
    <xf numFmtId="0" fontId="38" fillId="4" borderId="38" xfId="0" applyFont="1" applyFill="1" applyBorder="1"/>
    <xf numFmtId="0" fontId="38" fillId="4" borderId="39" xfId="0" applyFont="1" applyFill="1" applyBorder="1"/>
    <xf numFmtId="0" fontId="38" fillId="4" borderId="40" xfId="0" applyFont="1" applyFill="1" applyBorder="1"/>
    <xf numFmtId="0" fontId="38" fillId="4" borderId="27" xfId="0" applyFont="1" applyFill="1" applyBorder="1"/>
    <xf numFmtId="0" fontId="38" fillId="4" borderId="29" xfId="0" applyFont="1" applyFill="1" applyBorder="1"/>
    <xf numFmtId="0" fontId="38" fillId="9" borderId="0" xfId="0" applyFont="1" applyFill="1"/>
    <xf numFmtId="0" fontId="37" fillId="0" borderId="0" xfId="0" applyFont="1" applyFill="1"/>
    <xf numFmtId="0" fontId="38" fillId="0" borderId="31" xfId="0" applyFont="1" applyBorder="1"/>
    <xf numFmtId="0" fontId="38" fillId="0" borderId="0" xfId="0" applyFont="1" applyFill="1"/>
    <xf numFmtId="14" fontId="38" fillId="0" borderId="0" xfId="0" applyNumberFormat="1" applyFont="1"/>
    <xf numFmtId="165" fontId="0" fillId="0" borderId="37" xfId="3" applyFont="1" applyBorder="1" applyAlignment="1" applyProtection="1"/>
    <xf numFmtId="0" fontId="0" fillId="0" borderId="0" xfId="0" applyFont="1" applyBorder="1"/>
    <xf numFmtId="165" fontId="0" fillId="0" borderId="52" xfId="3" applyFont="1" applyBorder="1" applyAlignment="1" applyProtection="1"/>
    <xf numFmtId="0" fontId="18" fillId="4" borderId="28" xfId="0" applyFont="1" applyFill="1" applyBorder="1" applyAlignment="1">
      <alignment horizontal="left"/>
    </xf>
    <xf numFmtId="14" fontId="0" fillId="0" borderId="0" xfId="0" applyNumberFormat="1" applyAlignment="1">
      <alignment horizontal="right"/>
    </xf>
    <xf numFmtId="14" fontId="1" fillId="0" borderId="0" xfId="0" applyNumberFormat="1" applyFont="1" applyAlignment="1">
      <alignment horizontal="left"/>
    </xf>
    <xf numFmtId="178" fontId="0" fillId="2" borderId="0" xfId="0" applyNumberFormat="1" applyFill="1" applyBorder="1"/>
    <xf numFmtId="165" fontId="26" fillId="0" borderId="41" xfId="3" applyFont="1" applyBorder="1" applyAlignment="1" applyProtection="1"/>
    <xf numFmtId="165" fontId="28" fillId="0" borderId="30" xfId="0" applyNumberFormat="1" applyFont="1" applyBorder="1"/>
    <xf numFmtId="10" fontId="1" fillId="0" borderId="0" xfId="4" applyNumberFormat="1" applyFont="1" applyBorder="1" applyAlignment="1" applyProtection="1"/>
    <xf numFmtId="10" fontId="0" fillId="0" borderId="0" xfId="4" applyNumberFormat="1" applyFont="1" applyBorder="1" applyAlignment="1" applyProtection="1"/>
    <xf numFmtId="0" fontId="41" fillId="0" borderId="0" xfId="0" applyFont="1"/>
    <xf numFmtId="0" fontId="42" fillId="0" borderId="0" xfId="0" applyFont="1"/>
    <xf numFmtId="175" fontId="42" fillId="0" borderId="0" xfId="1" applyFont="1"/>
    <xf numFmtId="10" fontId="42" fillId="0" borderId="0" xfId="4" applyNumberFormat="1" applyFont="1"/>
    <xf numFmtId="0" fontId="1" fillId="8" borderId="0" xfId="0" applyFont="1" applyFill="1"/>
    <xf numFmtId="179" fontId="20" fillId="0" borderId="0" xfId="1" applyNumberFormat="1" applyBorder="1" applyAlignment="1" applyProtection="1"/>
    <xf numFmtId="0" fontId="31" fillId="12" borderId="0" xfId="0" applyFont="1" applyFill="1" applyAlignment="1">
      <alignment horizontal="center"/>
    </xf>
    <xf numFmtId="0" fontId="18" fillId="12" borderId="0" xfId="0" applyFont="1" applyFill="1"/>
    <xf numFmtId="0" fontId="18" fillId="12" borderId="0" xfId="0" applyFont="1" applyFill="1" applyBorder="1"/>
    <xf numFmtId="0" fontId="31" fillId="12" borderId="0" xfId="0" applyFont="1" applyFill="1"/>
    <xf numFmtId="0" fontId="13" fillId="2" borderId="2" xfId="0" applyFont="1" applyFill="1" applyBorder="1"/>
    <xf numFmtId="0" fontId="0" fillId="0" borderId="41" xfId="0" applyFill="1" applyBorder="1"/>
    <xf numFmtId="165" fontId="0" fillId="0" borderId="0" xfId="0" applyNumberFormat="1"/>
    <xf numFmtId="175" fontId="20" fillId="0" borderId="30" xfId="1" applyBorder="1"/>
    <xf numFmtId="179" fontId="1" fillId="0" borderId="30" xfId="0" applyNumberFormat="1" applyFont="1" applyBorder="1"/>
    <xf numFmtId="179" fontId="1" fillId="0" borderId="0" xfId="0" applyNumberFormat="1" applyFont="1"/>
  </cellXfs>
  <cellStyles count="5">
    <cellStyle name="Comma" xfId="1" builtinId="3"/>
    <cellStyle name="Currency" xfId="2" builtinId="4"/>
    <cellStyle name="Excel Built-in Result2" xfId="3"/>
    <cellStyle name="Normal" xfId="0" builtinId="0"/>
    <cellStyle name="Percent"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90016"/>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EB613D"/>
      <rgbColor rgb="00666699"/>
      <rgbColor rgb="00969696"/>
      <rgbColor rgb="00003366"/>
      <rgbColor rgb="00339966"/>
      <rgbColor rgb="00003300"/>
      <rgbColor rgb="00333300"/>
      <rgbColor rgb="00993300"/>
      <rgbColor rgb="00993366"/>
      <rgbColor rgb="00333399"/>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activeCell="H12" sqref="H12"/>
    </sheetView>
  </sheetViews>
  <sheetFormatPr defaultRowHeight="15"/>
  <cols>
    <col min="1" max="1" width="13.7109375" style="323" customWidth="1"/>
    <col min="2" max="2" width="3" style="323" customWidth="1"/>
    <col min="3" max="3" width="16.42578125" style="323" customWidth="1"/>
    <col min="4" max="4" width="3" style="323" customWidth="1"/>
    <col min="5" max="5" width="16.42578125" style="323" customWidth="1"/>
    <col min="6" max="6" width="11" style="323" customWidth="1"/>
    <col min="7" max="7" width="3" style="323" customWidth="1"/>
    <col min="8" max="8" width="18.85546875" style="323" customWidth="1"/>
    <col min="9" max="9" width="11" style="323" customWidth="1"/>
    <col min="10" max="10" width="3" style="323" customWidth="1"/>
    <col min="11" max="11" width="16.42578125" style="323" customWidth="1"/>
    <col min="12" max="12" width="3" style="323" customWidth="1"/>
    <col min="13" max="16384" width="9.140625" style="323"/>
  </cols>
  <sheetData>
    <row r="1" spans="1:13" ht="15.75">
      <c r="A1" s="322" t="s">
        <v>976</v>
      </c>
    </row>
    <row r="3" spans="1:13" s="322" customFormat="1" ht="15.75">
      <c r="A3" s="322" t="s">
        <v>277</v>
      </c>
      <c r="C3" s="322" t="s">
        <v>977</v>
      </c>
      <c r="E3" s="322" t="s">
        <v>978</v>
      </c>
      <c r="F3" s="322" t="s">
        <v>979</v>
      </c>
      <c r="H3" s="322" t="s">
        <v>980</v>
      </c>
      <c r="I3" s="322" t="s">
        <v>979</v>
      </c>
      <c r="K3" s="322" t="s">
        <v>981</v>
      </c>
    </row>
    <row r="5" spans="1:13">
      <c r="A5" s="323">
        <v>2010</v>
      </c>
      <c r="C5" s="324">
        <v>112656.36</v>
      </c>
      <c r="E5" s="324">
        <v>12914.2</v>
      </c>
      <c r="F5" s="325">
        <f>E5/C5</f>
        <v>0.11463356352007113</v>
      </c>
      <c r="H5" s="324">
        <v>43565.06</v>
      </c>
      <c r="I5" s="325">
        <f>H5/C5</f>
        <v>0.38670750590556979</v>
      </c>
      <c r="K5" s="324">
        <f>H5/12</f>
        <v>3630.4216666666666</v>
      </c>
    </row>
    <row r="6" spans="1:13">
      <c r="C6" s="324"/>
      <c r="E6" s="324"/>
      <c r="F6" s="325"/>
      <c r="H6" s="324"/>
      <c r="I6" s="325"/>
      <c r="K6" s="324"/>
    </row>
    <row r="7" spans="1:13">
      <c r="A7" s="323">
        <v>2011</v>
      </c>
      <c r="C7" s="324">
        <v>92549.43</v>
      </c>
      <c r="E7" s="324">
        <v>11624</v>
      </c>
      <c r="F7" s="325">
        <f>E7/C7</f>
        <v>0.12559774814388378</v>
      </c>
      <c r="H7" s="324">
        <v>37617.75</v>
      </c>
      <c r="I7" s="325">
        <f>H7/C7</f>
        <v>0.40646117431517409</v>
      </c>
      <c r="K7" s="324">
        <f>H7/12</f>
        <v>3134.8125</v>
      </c>
      <c r="M7" s="323" t="s">
        <v>982</v>
      </c>
    </row>
    <row r="8" spans="1:13">
      <c r="C8" s="324"/>
      <c r="E8" s="324"/>
      <c r="F8" s="325"/>
      <c r="H8" s="324"/>
      <c r="I8" s="325"/>
      <c r="K8" s="324"/>
    </row>
    <row r="9" spans="1:13">
      <c r="A9" s="323">
        <v>2012</v>
      </c>
      <c r="C9" s="324">
        <v>109844.7</v>
      </c>
      <c r="E9" s="324">
        <v>12166</v>
      </c>
      <c r="F9" s="325">
        <f>E9/C9</f>
        <v>0.11075636785388826</v>
      </c>
      <c r="H9" s="324">
        <v>42001.120000000003</v>
      </c>
      <c r="I9" s="325">
        <f>H9/C9</f>
        <v>0.3823681980104639</v>
      </c>
      <c r="K9" s="324">
        <f>H9/12</f>
        <v>3500.0933333333337</v>
      </c>
    </row>
    <row r="10" spans="1:13">
      <c r="C10" s="324"/>
      <c r="E10" s="324"/>
      <c r="F10" s="325"/>
      <c r="H10" s="324"/>
      <c r="I10" s="325"/>
      <c r="K10" s="324"/>
    </row>
    <row r="11" spans="1:13">
      <c r="A11" s="323">
        <v>2013</v>
      </c>
      <c r="C11" s="324">
        <v>133324.93</v>
      </c>
      <c r="E11" s="324">
        <v>13528</v>
      </c>
      <c r="F11" s="325">
        <f>E11/C11</f>
        <v>0.10146639491953981</v>
      </c>
      <c r="H11" s="324">
        <v>40660.01</v>
      </c>
      <c r="I11" s="325">
        <f>H11/C11</f>
        <v>0.30496929568986086</v>
      </c>
      <c r="K11" s="324">
        <f>H11/12</f>
        <v>3388.334166666667</v>
      </c>
      <c r="M11" s="323" t="s">
        <v>983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0"/>
  <sheetViews>
    <sheetView topLeftCell="A21" zoomScale="86" zoomScaleNormal="86" workbookViewId="0">
      <selection activeCell="E46" sqref="E46"/>
    </sheetView>
  </sheetViews>
  <sheetFormatPr defaultColWidth="9" defaultRowHeight="14.25"/>
  <cols>
    <col min="1" max="1" width="24.42578125" style="267" customWidth="1"/>
    <col min="2" max="2" width="18" style="267" customWidth="1"/>
    <col min="3" max="3" width="17.140625" style="267" customWidth="1"/>
    <col min="4" max="5" width="16.5703125" style="267" customWidth="1"/>
    <col min="6" max="6" width="15.28515625" style="267" customWidth="1"/>
    <col min="7" max="7" width="13.5703125" style="267" customWidth="1"/>
    <col min="8" max="8" width="13.85546875" style="267" customWidth="1"/>
    <col min="9" max="10" width="14" style="267" customWidth="1"/>
    <col min="11" max="11" width="2.28515625" style="268" customWidth="1"/>
    <col min="12" max="12" width="11.5703125" style="267" customWidth="1"/>
    <col min="13" max="13" width="11.85546875" style="267" customWidth="1"/>
    <col min="14" max="15" width="11.5703125" style="267" customWidth="1"/>
    <col min="16" max="16" width="1.7109375" style="267" customWidth="1"/>
    <col min="17" max="17" width="11.7109375" style="267" customWidth="1"/>
    <col min="18" max="18" width="11.5703125" style="267" customWidth="1"/>
    <col min="19" max="16384" width="9" style="267"/>
  </cols>
  <sheetData>
    <row r="1" spans="1:16">
      <c r="A1" s="265" t="s">
        <v>277</v>
      </c>
      <c r="B1" s="266">
        <v>2013</v>
      </c>
      <c r="C1" s="266"/>
      <c r="L1" s="267" t="s">
        <v>519</v>
      </c>
    </row>
    <row r="2" spans="1:16">
      <c r="A2" s="265" t="s">
        <v>264</v>
      </c>
      <c r="B2" s="265" t="s">
        <v>11</v>
      </c>
      <c r="C2" s="265"/>
    </row>
    <row r="3" spans="1:16">
      <c r="O3" s="269"/>
    </row>
    <row r="4" spans="1:16">
      <c r="A4" s="265" t="s">
        <v>4</v>
      </c>
      <c r="B4" s="270">
        <f>SUM(G5:G9)</f>
        <v>10322.48</v>
      </c>
      <c r="C4" s="270"/>
      <c r="G4" s="267" t="s">
        <v>71</v>
      </c>
      <c r="L4" s="271"/>
      <c r="O4" s="269"/>
    </row>
    <row r="5" spans="1:16">
      <c r="B5" s="267" t="s">
        <v>27</v>
      </c>
      <c r="C5" s="267">
        <v>3336.93</v>
      </c>
      <c r="D5" s="269">
        <v>3336.93</v>
      </c>
      <c r="E5" s="267">
        <v>3336.93</v>
      </c>
      <c r="F5" s="267">
        <v>0</v>
      </c>
      <c r="G5" s="271">
        <f>SUM(C5:F5)</f>
        <v>10010.789999999999</v>
      </c>
      <c r="H5" s="271"/>
      <c r="I5" s="271"/>
      <c r="J5" s="271"/>
      <c r="K5" s="272"/>
      <c r="L5" s="271"/>
      <c r="O5" s="269"/>
    </row>
    <row r="6" spans="1:16">
      <c r="B6" s="267" t="s">
        <v>29</v>
      </c>
      <c r="D6" s="269"/>
      <c r="G6" s="271">
        <f>SUM(C6:F6)</f>
        <v>0</v>
      </c>
      <c r="H6" s="271"/>
      <c r="I6" s="271"/>
      <c r="J6" s="271"/>
      <c r="K6" s="272"/>
      <c r="L6" s="271"/>
      <c r="O6" s="269"/>
    </row>
    <row r="7" spans="1:16">
      <c r="B7" s="267" t="s">
        <v>327</v>
      </c>
      <c r="G7" s="271">
        <f>SUM(C7:F7)</f>
        <v>0</v>
      </c>
      <c r="H7" s="271"/>
      <c r="I7" s="271"/>
      <c r="J7" s="271"/>
      <c r="K7" s="272"/>
      <c r="L7" s="271"/>
      <c r="O7" s="269"/>
    </row>
    <row r="8" spans="1:16">
      <c r="B8" s="267" t="s">
        <v>30</v>
      </c>
      <c r="C8" s="267">
        <v>311.69</v>
      </c>
      <c r="D8" s="267">
        <v>0</v>
      </c>
      <c r="G8" s="271">
        <f>SUM(C8:F8)</f>
        <v>311.69</v>
      </c>
      <c r="H8" s="271"/>
      <c r="I8" s="271"/>
      <c r="J8" s="271"/>
      <c r="K8" s="272"/>
      <c r="L8" s="271" t="s">
        <v>520</v>
      </c>
      <c r="P8" s="269"/>
    </row>
    <row r="9" spans="1:16">
      <c r="L9" s="267" t="s">
        <v>723</v>
      </c>
    </row>
    <row r="10" spans="1:16">
      <c r="A10" s="265"/>
      <c r="B10" s="273"/>
      <c r="G10" s="274"/>
      <c r="I10" s="275" t="s">
        <v>80</v>
      </c>
      <c r="J10" s="276" t="s">
        <v>439</v>
      </c>
      <c r="K10" s="277"/>
      <c r="L10" s="267" t="s">
        <v>728</v>
      </c>
    </row>
    <row r="11" spans="1:16">
      <c r="A11" s="265"/>
      <c r="B11" s="273"/>
      <c r="G11" s="274" t="s">
        <v>331</v>
      </c>
      <c r="H11" s="267" t="s">
        <v>84</v>
      </c>
      <c r="I11" s="278" t="s">
        <v>83</v>
      </c>
      <c r="J11" s="279" t="s">
        <v>83</v>
      </c>
      <c r="K11" s="280"/>
      <c r="L11" s="267" t="s">
        <v>729</v>
      </c>
    </row>
    <row r="12" spans="1:16">
      <c r="A12" s="265" t="s">
        <v>422</v>
      </c>
      <c r="B12" s="273"/>
      <c r="D12" s="267" t="s">
        <v>426</v>
      </c>
      <c r="E12" s="267">
        <f>G12/B4</f>
        <v>5.32817694972526E-2</v>
      </c>
      <c r="G12" s="281">
        <f>Tithe!D10</f>
        <v>550</v>
      </c>
      <c r="H12" s="267">
        <v>800</v>
      </c>
      <c r="I12" s="282">
        <f>H12-G12</f>
        <v>250</v>
      </c>
      <c r="J12" s="283">
        <f>Jan!I12+Feb!I12+Mar!I12+Apr!I12+May!I12</f>
        <v>1010</v>
      </c>
      <c r="K12" s="284"/>
      <c r="L12" s="267" t="s">
        <v>730</v>
      </c>
    </row>
    <row r="13" spans="1:16">
      <c r="A13" s="265"/>
      <c r="B13" s="273"/>
      <c r="G13" s="274"/>
      <c r="I13" s="282"/>
      <c r="J13" s="283"/>
      <c r="K13" s="284"/>
      <c r="L13" s="267" t="s">
        <v>731</v>
      </c>
    </row>
    <row r="14" spans="1:16">
      <c r="A14" s="265" t="s">
        <v>427</v>
      </c>
      <c r="B14" s="273"/>
      <c r="G14" s="274"/>
      <c r="I14" s="282"/>
      <c r="J14" s="283"/>
      <c r="K14" s="284"/>
    </row>
    <row r="15" spans="1:16">
      <c r="B15" s="265" t="s">
        <v>329</v>
      </c>
      <c r="G15" s="281">
        <v>750</v>
      </c>
      <c r="H15" s="267">
        <v>750</v>
      </c>
      <c r="I15" s="282">
        <f t="shared" ref="I15:I26" si="0">H15-G15</f>
        <v>0</v>
      </c>
      <c r="J15" s="283">
        <f>Jan!I15+Feb!I15+Mar!I15+Apr!I15+May!I15</f>
        <v>0</v>
      </c>
      <c r="K15" s="284"/>
    </row>
    <row r="16" spans="1:16">
      <c r="B16" s="265" t="s">
        <v>395</v>
      </c>
      <c r="G16" s="281">
        <v>200</v>
      </c>
      <c r="H16" s="267">
        <v>200</v>
      </c>
      <c r="I16" s="282">
        <f t="shared" si="0"/>
        <v>0</v>
      </c>
      <c r="J16" s="283">
        <f>Jan!I16+Feb!I16+Mar!I16+Apr!I16+May!I16</f>
        <v>0</v>
      </c>
      <c r="K16" s="284"/>
    </row>
    <row r="17" spans="1:12">
      <c r="B17" s="265" t="s">
        <v>460</v>
      </c>
      <c r="G17" s="281">
        <v>300</v>
      </c>
      <c r="H17" s="267">
        <v>300</v>
      </c>
      <c r="I17" s="282">
        <f t="shared" si="0"/>
        <v>0</v>
      </c>
      <c r="J17" s="283">
        <f>Jan!I17+Feb!I17+Mar!I17+Apr!I17+May!I17</f>
        <v>0</v>
      </c>
      <c r="K17" s="284"/>
    </row>
    <row r="18" spans="1:12" ht="15.95" customHeight="1">
      <c r="B18" s="265" t="s">
        <v>396</v>
      </c>
      <c r="G18" s="281">
        <v>200</v>
      </c>
      <c r="H18" s="267">
        <v>200</v>
      </c>
      <c r="I18" s="282">
        <f t="shared" si="0"/>
        <v>0</v>
      </c>
      <c r="J18" s="283">
        <f>Jan!I18+Feb!I18+Mar!I18+Apr!I18+May!I18</f>
        <v>0</v>
      </c>
      <c r="K18" s="284"/>
    </row>
    <row r="19" spans="1:12" ht="15.95" customHeight="1">
      <c r="B19" s="265" t="s">
        <v>461</v>
      </c>
      <c r="G19" s="281">
        <v>300</v>
      </c>
      <c r="H19" s="267">
        <v>300</v>
      </c>
      <c r="I19" s="282">
        <f t="shared" si="0"/>
        <v>0</v>
      </c>
      <c r="J19" s="283">
        <f>Jan!I19+Feb!I19+Mar!I19+Apr!I19+May!I19</f>
        <v>0</v>
      </c>
      <c r="K19" s="284"/>
    </row>
    <row r="20" spans="1:12" ht="15.95" customHeight="1">
      <c r="B20" s="265" t="s">
        <v>397</v>
      </c>
      <c r="G20" s="281">
        <v>50</v>
      </c>
      <c r="H20" s="267">
        <v>50</v>
      </c>
      <c r="I20" s="282">
        <f t="shared" si="0"/>
        <v>0</v>
      </c>
      <c r="J20" s="283">
        <f>Jan!I20+Feb!I20+Mar!I20+Apr!I20+May!I20</f>
        <v>0</v>
      </c>
      <c r="K20" s="284"/>
    </row>
    <row r="21" spans="1:12" ht="15.95" customHeight="1">
      <c r="A21" s="265"/>
      <c r="B21" s="273"/>
      <c r="G21" s="274"/>
      <c r="I21" s="282"/>
      <c r="J21" s="283"/>
      <c r="K21" s="284"/>
    </row>
    <row r="22" spans="1:12" ht="15.95" customHeight="1">
      <c r="A22" s="265" t="s">
        <v>428</v>
      </c>
      <c r="B22" s="265" t="s">
        <v>594</v>
      </c>
      <c r="G22" s="274">
        <v>500</v>
      </c>
      <c r="H22" s="267">
        <v>500</v>
      </c>
      <c r="I22" s="282">
        <f t="shared" si="0"/>
        <v>0</v>
      </c>
      <c r="J22" s="283">
        <f>Jan!I22+Feb!I22+Mar!I22+Apr!I22+May!I22</f>
        <v>0</v>
      </c>
      <c r="K22" s="284"/>
    </row>
    <row r="23" spans="1:12" ht="15.95" customHeight="1">
      <c r="A23" s="265"/>
      <c r="B23" s="273" t="s">
        <v>595</v>
      </c>
      <c r="G23" s="274"/>
      <c r="I23" s="282"/>
      <c r="J23" s="283"/>
      <c r="K23" s="284"/>
    </row>
    <row r="24" spans="1:12" ht="15.95" customHeight="1">
      <c r="A24" s="265" t="s">
        <v>429</v>
      </c>
      <c r="B24" s="273"/>
      <c r="G24" s="274"/>
      <c r="I24" s="282"/>
      <c r="J24" s="283"/>
      <c r="K24" s="284"/>
    </row>
    <row r="25" spans="1:12" ht="15.95" customHeight="1">
      <c r="B25" s="265" t="s">
        <v>363</v>
      </c>
      <c r="G25" s="274"/>
      <c r="H25" s="267">
        <v>1500</v>
      </c>
      <c r="I25" s="282">
        <f t="shared" si="0"/>
        <v>1500</v>
      </c>
      <c r="J25" s="283">
        <f>Jan!I25+Feb!I25+Mar!I25+Apr!I25+May!I25</f>
        <v>6000</v>
      </c>
      <c r="K25" s="284"/>
    </row>
    <row r="26" spans="1:12" ht="12.75" customHeight="1">
      <c r="B26" s="265" t="s">
        <v>399</v>
      </c>
      <c r="H26" s="267">
        <v>500</v>
      </c>
      <c r="I26" s="282">
        <f t="shared" si="0"/>
        <v>500</v>
      </c>
      <c r="J26" s="285">
        <f>Jan!I26+Feb!I26+Mar!I26+Apr!I26+May!I26</f>
        <v>2500</v>
      </c>
      <c r="K26" s="284"/>
    </row>
    <row r="27" spans="1:12" ht="12.75" customHeight="1">
      <c r="A27" s="265"/>
      <c r="G27" s="286"/>
      <c r="H27" s="286"/>
      <c r="I27" s="287"/>
      <c r="J27" s="288"/>
      <c r="K27" s="288"/>
    </row>
    <row r="28" spans="1:12" ht="12.75" customHeight="1" thickBot="1">
      <c r="A28" s="265"/>
      <c r="B28" s="265"/>
      <c r="G28" s="289">
        <f>SUM(G12:G26)</f>
        <v>2850</v>
      </c>
      <c r="H28" s="289">
        <f>SUM(H12:H26)</f>
        <v>5100</v>
      </c>
      <c r="I28" s="289">
        <f>SUM(I12:I26)</f>
        <v>2250</v>
      </c>
      <c r="J28" s="289">
        <f>SUM(J12:J26)</f>
        <v>9510</v>
      </c>
      <c r="K28" s="290"/>
    </row>
    <row r="29" spans="1:12" ht="12.75" customHeight="1" thickTop="1">
      <c r="A29" s="265"/>
      <c r="B29" s="265"/>
      <c r="G29" s="291"/>
      <c r="H29" s="291"/>
      <c r="I29" s="291"/>
      <c r="J29" s="291"/>
      <c r="K29" s="290"/>
    </row>
    <row r="30" spans="1:12" ht="12.75" customHeight="1" thickBot="1">
      <c r="A30" s="265"/>
      <c r="B30" s="265"/>
      <c r="G30" s="291"/>
      <c r="H30" s="291"/>
      <c r="I30" s="291"/>
      <c r="J30" s="291"/>
      <c r="K30" s="290"/>
    </row>
    <row r="31" spans="1:12" ht="12.75" customHeight="1" thickBot="1">
      <c r="A31" s="265" t="s">
        <v>442</v>
      </c>
      <c r="B31" s="265"/>
      <c r="G31" s="292">
        <f>5000</f>
        <v>5000</v>
      </c>
      <c r="H31" s="291" t="s">
        <v>684</v>
      </c>
      <c r="I31" s="291"/>
      <c r="J31" s="291"/>
      <c r="K31" s="290"/>
      <c r="L31" s="291"/>
    </row>
    <row r="32" spans="1:12" ht="12.75" customHeight="1" thickBot="1">
      <c r="A32" s="265"/>
      <c r="B32" s="265"/>
      <c r="G32" s="291"/>
      <c r="H32" s="291"/>
      <c r="I32" s="291"/>
      <c r="J32" s="291"/>
      <c r="K32" s="290"/>
      <c r="L32" s="291"/>
    </row>
    <row r="33" spans="1:14" ht="12.75" customHeight="1" thickBot="1">
      <c r="A33" s="265" t="s">
        <v>425</v>
      </c>
      <c r="B33" s="265"/>
      <c r="G33" s="293">
        <f>B4-G28+G31</f>
        <v>12472.48</v>
      </c>
      <c r="H33" s="291"/>
      <c r="I33" s="291"/>
      <c r="J33" s="291"/>
      <c r="K33" s="290"/>
      <c r="L33" s="291"/>
    </row>
    <row r="34" spans="1:14" ht="12.75" customHeight="1">
      <c r="A34" s="265"/>
      <c r="B34" s="265"/>
      <c r="G34" s="294"/>
      <c r="H34" s="291"/>
      <c r="I34" s="291"/>
      <c r="J34" s="291"/>
      <c r="K34" s="290"/>
      <c r="L34" s="291"/>
    </row>
    <row r="35" spans="1:14" ht="12.75" customHeight="1">
      <c r="A35" s="265" t="s">
        <v>432</v>
      </c>
      <c r="B35" s="265"/>
      <c r="G35" s="294">
        <f>E46</f>
        <v>12186.67</v>
      </c>
      <c r="H35" s="291"/>
      <c r="I35" s="291"/>
      <c r="J35" s="291"/>
      <c r="K35" s="290"/>
      <c r="L35" s="291"/>
    </row>
    <row r="36" spans="1:14" ht="12.75" customHeight="1">
      <c r="A36" s="265"/>
      <c r="B36" s="265"/>
      <c r="G36" s="294"/>
      <c r="H36" s="291"/>
      <c r="I36" s="291"/>
      <c r="J36" s="291"/>
      <c r="K36" s="290"/>
      <c r="L36" s="291"/>
    </row>
    <row r="37" spans="1:14">
      <c r="A37" s="265" t="s">
        <v>433</v>
      </c>
      <c r="B37" s="265"/>
      <c r="G37" s="294">
        <f>B131</f>
        <v>0</v>
      </c>
      <c r="H37" s="291" t="s">
        <v>435</v>
      </c>
      <c r="I37" s="291"/>
      <c r="J37" s="291"/>
      <c r="K37" s="290"/>
      <c r="L37" s="291"/>
    </row>
    <row r="38" spans="1:14" ht="15" thickBot="1">
      <c r="A38" s="265"/>
      <c r="B38" s="265"/>
      <c r="G38" s="294"/>
      <c r="H38" s="291"/>
      <c r="I38" s="291"/>
      <c r="J38" s="291"/>
      <c r="K38" s="290"/>
      <c r="L38" s="291"/>
    </row>
    <row r="39" spans="1:14" ht="15" thickBot="1">
      <c r="A39" s="265" t="s">
        <v>430</v>
      </c>
      <c r="B39" s="265"/>
      <c r="G39" s="186">
        <f>G33-G35-G37+G31</f>
        <v>5285.8099999999995</v>
      </c>
      <c r="H39" s="291"/>
      <c r="I39" s="291"/>
      <c r="J39" s="291"/>
      <c r="K39" s="290"/>
      <c r="L39" s="291"/>
    </row>
    <row r="40" spans="1:14">
      <c r="A40" s="265"/>
      <c r="B40" s="265"/>
      <c r="G40" s="295"/>
      <c r="H40" s="291"/>
      <c r="I40" s="291"/>
      <c r="J40" s="291"/>
      <c r="K40" s="290"/>
      <c r="L40" s="291"/>
      <c r="M40" s="267">
        <v>3048.6</v>
      </c>
      <c r="N40" s="267">
        <v>1006.63</v>
      </c>
    </row>
    <row r="41" spans="1:14">
      <c r="A41" s="296" t="s">
        <v>478</v>
      </c>
      <c r="B41" s="265"/>
      <c r="G41" s="295"/>
      <c r="H41" s="291"/>
      <c r="I41" s="291"/>
      <c r="J41" s="291"/>
      <c r="K41" s="290"/>
      <c r="L41" s="291"/>
    </row>
    <row r="42" spans="1:14">
      <c r="B42" s="296" t="s">
        <v>464</v>
      </c>
      <c r="C42" s="271">
        <f>H57+H58+H63+H64+H72+H73+H74+H81+H82+H83+H88+H91+H92+H93+H94+H95+H100+H104+H105+H106+H107+H108+H109+H110+H113+H117+H120+H121+H124</f>
        <v>1650</v>
      </c>
      <c r="D42" s="296" t="s">
        <v>465</v>
      </c>
      <c r="E42" s="271">
        <f>G57+G58+G63+G64+G72+G73+G74+G81+G82+G83+G88+G91+G92+G93+G94+G95+G100+G104+G105+G106+G107+G108+G109+G110+G113+G117+G120+G121+G124</f>
        <v>2563.89</v>
      </c>
      <c r="G42" s="295"/>
      <c r="H42" s="291"/>
      <c r="I42" s="291"/>
      <c r="J42" s="291"/>
      <c r="K42" s="290"/>
      <c r="L42" s="291"/>
      <c r="M42" s="267">
        <f>M46+M44-M43</f>
        <v>3048.6000000000004</v>
      </c>
      <c r="N42" s="267">
        <f>N46</f>
        <v>1006.6299999999999</v>
      </c>
    </row>
    <row r="43" spans="1:14">
      <c r="A43" s="265"/>
      <c r="B43" s="265"/>
      <c r="I43" s="275"/>
      <c r="J43" s="276" t="s">
        <v>439</v>
      </c>
      <c r="K43" s="277"/>
      <c r="L43" s="267" t="s">
        <v>534</v>
      </c>
    </row>
    <row r="44" spans="1:14">
      <c r="A44" s="265"/>
      <c r="B44" s="265"/>
      <c r="G44" s="274"/>
      <c r="I44" s="275" t="s">
        <v>80</v>
      </c>
      <c r="J44" s="276" t="s">
        <v>440</v>
      </c>
      <c r="K44" s="277"/>
      <c r="L44" s="267" t="s">
        <v>515</v>
      </c>
      <c r="M44" s="267">
        <v>100</v>
      </c>
    </row>
    <row r="45" spans="1:14" ht="15" thickBot="1">
      <c r="B45" s="265"/>
      <c r="G45" s="274" t="s">
        <v>331</v>
      </c>
      <c r="H45" s="267" t="s">
        <v>84</v>
      </c>
      <c r="I45" s="278" t="s">
        <v>83</v>
      </c>
      <c r="J45" s="279" t="s">
        <v>441</v>
      </c>
      <c r="K45" s="280"/>
      <c r="L45" s="297" t="s">
        <v>332</v>
      </c>
      <c r="M45" s="298" t="s">
        <v>333</v>
      </c>
      <c r="N45" s="298" t="s">
        <v>334</v>
      </c>
    </row>
    <row r="46" spans="1:14" ht="15" thickBot="1">
      <c r="A46" s="265" t="s">
        <v>434</v>
      </c>
      <c r="E46" s="262">
        <f>B48+B56+B62+B66+B71+B80+B85+B90+B97+B103+B112+B116+B119+B123+B126</f>
        <v>12186.67</v>
      </c>
      <c r="G46" s="299">
        <f>SUM(G49:G128)</f>
        <v>12186.67</v>
      </c>
      <c r="H46" s="299">
        <f>SUM(H49:H128)</f>
        <v>6153.14</v>
      </c>
      <c r="I46" s="299">
        <f>H46-G46</f>
        <v>-6033.53</v>
      </c>
      <c r="J46" s="299">
        <f>SUM(J48:J128)</f>
        <v>-11525.190000000004</v>
      </c>
      <c r="K46" s="300"/>
      <c r="L46" s="301">
        <f>SUM(L49:L139)</f>
        <v>8231.44</v>
      </c>
      <c r="M46" s="302">
        <f>SUM(M49:M139)</f>
        <v>2948.6000000000004</v>
      </c>
      <c r="N46" s="303">
        <f>SUM(N49:N139)</f>
        <v>1006.6299999999999</v>
      </c>
    </row>
    <row r="47" spans="1:14">
      <c r="A47" s="267" t="s">
        <v>421</v>
      </c>
      <c r="I47" s="275"/>
      <c r="J47" s="276"/>
      <c r="K47" s="277"/>
      <c r="L47" s="304"/>
      <c r="M47" s="305"/>
      <c r="N47" s="305"/>
    </row>
    <row r="48" spans="1:14">
      <c r="A48" s="265" t="s">
        <v>547</v>
      </c>
      <c r="B48" s="265">
        <f>SUM(G49:G54)</f>
        <v>6784.35</v>
      </c>
      <c r="C48" s="265">
        <f>SUM(H49:H54)</f>
        <v>3739.6400000000003</v>
      </c>
      <c r="D48" s="265">
        <f>SUM(I49:I54)</f>
        <v>-3044.71</v>
      </c>
      <c r="I48" s="275"/>
      <c r="J48" s="276"/>
      <c r="K48" s="277"/>
      <c r="L48" s="304"/>
      <c r="M48" s="305"/>
      <c r="N48" s="305"/>
    </row>
    <row r="49" spans="1:15">
      <c r="B49" s="267" t="s">
        <v>550</v>
      </c>
      <c r="G49" s="267">
        <f t="shared" ref="G49:G54" si="1">SUM(L49:N49)</f>
        <v>111.04</v>
      </c>
      <c r="H49" s="267">
        <v>0</v>
      </c>
      <c r="I49" s="275">
        <f t="shared" ref="I49:I54" si="2">H49-G49</f>
        <v>-111.04</v>
      </c>
      <c r="J49" s="276">
        <f>Jan!I49+Feb!I49+Mar!I49+Apr!I49+May!I49</f>
        <v>-1661.04</v>
      </c>
      <c r="K49" s="277"/>
      <c r="L49" s="304">
        <f>30.44+30.6+50</f>
        <v>111.04</v>
      </c>
      <c r="M49" s="305"/>
      <c r="N49" s="305"/>
      <c r="O49" s="267" t="s">
        <v>782</v>
      </c>
    </row>
    <row r="50" spans="1:15">
      <c r="B50" s="267" t="s">
        <v>622</v>
      </c>
      <c r="G50" s="267">
        <f t="shared" si="1"/>
        <v>3643.2200000000003</v>
      </c>
      <c r="H50" s="267">
        <v>1250</v>
      </c>
      <c r="I50" s="275">
        <f t="shared" si="2"/>
        <v>-2393.2200000000003</v>
      </c>
      <c r="J50" s="276">
        <f>Jan!I50+Feb!I50+Mar!I50+Apr!I50+May!I50</f>
        <v>-8390.9200000000019</v>
      </c>
      <c r="K50" s="277"/>
      <c r="L50" s="304">
        <v>3000</v>
      </c>
      <c r="M50" s="305">
        <f>516+98-(342.83)+271.63+15.84+84.58</f>
        <v>643.22</v>
      </c>
      <c r="N50" s="305"/>
      <c r="O50" s="267" t="s">
        <v>753</v>
      </c>
    </row>
    <row r="51" spans="1:15">
      <c r="B51" s="267" t="s">
        <v>624</v>
      </c>
      <c r="G51" s="267">
        <f t="shared" si="1"/>
        <v>1080.9000000000001</v>
      </c>
      <c r="H51" s="267">
        <v>540.45000000000005</v>
      </c>
      <c r="I51" s="275">
        <f t="shared" si="2"/>
        <v>-540.45000000000005</v>
      </c>
      <c r="J51" s="276">
        <f>Jan!I51+Feb!I51+Mar!I51+Apr!I51+May!I51</f>
        <v>261.5</v>
      </c>
      <c r="K51" s="277"/>
      <c r="L51" s="304">
        <v>1080.9000000000001</v>
      </c>
      <c r="M51" s="305"/>
      <c r="N51" s="305"/>
    </row>
    <row r="52" spans="1:15">
      <c r="B52" s="267" t="s">
        <v>551</v>
      </c>
      <c r="G52" s="267">
        <f t="shared" si="1"/>
        <v>1636.68</v>
      </c>
      <c r="H52" s="267">
        <v>1636.68</v>
      </c>
      <c r="I52" s="275">
        <f t="shared" si="2"/>
        <v>0</v>
      </c>
      <c r="J52" s="276">
        <f>Jan!I52+Feb!I52+Mar!I52+Apr!I52+May!I52</f>
        <v>1636.68</v>
      </c>
      <c r="K52" s="277"/>
      <c r="L52" s="304">
        <v>1636.68</v>
      </c>
      <c r="M52" s="305"/>
      <c r="N52" s="305"/>
    </row>
    <row r="53" spans="1:15">
      <c r="B53" s="267" t="s">
        <v>720</v>
      </c>
      <c r="G53" s="267">
        <f t="shared" si="1"/>
        <v>312.51</v>
      </c>
      <c r="H53" s="267">
        <v>312.51</v>
      </c>
      <c r="I53" s="275">
        <f t="shared" si="2"/>
        <v>0</v>
      </c>
      <c r="J53" s="276">
        <f>Jan!I53+Feb!I53+Mar!I53+Apr!I53+May!I53</f>
        <v>312.51</v>
      </c>
      <c r="K53" s="277"/>
      <c r="L53" s="304">
        <v>312.51</v>
      </c>
      <c r="M53" s="305"/>
      <c r="N53" s="305"/>
    </row>
    <row r="54" spans="1:15">
      <c r="B54" s="267" t="s">
        <v>625</v>
      </c>
      <c r="G54" s="267">
        <f t="shared" si="1"/>
        <v>0</v>
      </c>
      <c r="H54" s="267">
        <v>0</v>
      </c>
      <c r="I54" s="275">
        <f t="shared" si="2"/>
        <v>0</v>
      </c>
      <c r="J54" s="276">
        <f>Jan!I54+Feb!I54+Mar!I54+Apr!I54+May!I54</f>
        <v>0</v>
      </c>
      <c r="K54" s="277"/>
      <c r="L54" s="304"/>
      <c r="M54" s="305"/>
      <c r="N54" s="305"/>
    </row>
    <row r="55" spans="1:15">
      <c r="I55" s="275"/>
      <c r="J55" s="276"/>
      <c r="K55" s="277"/>
      <c r="L55" s="304"/>
      <c r="M55" s="305"/>
      <c r="N55" s="305"/>
    </row>
    <row r="56" spans="1:15">
      <c r="A56" s="265" t="s">
        <v>85</v>
      </c>
      <c r="B56" s="265">
        <f>SUM(G57:G60)</f>
        <v>1403.4099999999999</v>
      </c>
      <c r="C56" s="265">
        <f>SUM(H57:H60)</f>
        <v>355</v>
      </c>
      <c r="D56" s="265">
        <f>C56-B56</f>
        <v>-1048.4099999999999</v>
      </c>
      <c r="I56" s="275"/>
      <c r="J56" s="276"/>
      <c r="K56" s="277"/>
      <c r="L56" s="304"/>
      <c r="M56" s="305"/>
      <c r="N56" s="305"/>
    </row>
    <row r="57" spans="1:15">
      <c r="B57" s="267" t="s">
        <v>41</v>
      </c>
      <c r="C57" s="267" t="s">
        <v>42</v>
      </c>
      <c r="G57" s="267">
        <f>SUM(L57:N57)</f>
        <v>123.81</v>
      </c>
      <c r="H57" s="267">
        <v>110</v>
      </c>
      <c r="I57" s="275">
        <f>H57-G57</f>
        <v>-13.810000000000002</v>
      </c>
      <c r="J57" s="276">
        <f>Jan!I57+Feb!I57+Mar!I57+Apr!I57+May!I57</f>
        <v>-37.089999999999989</v>
      </c>
      <c r="K57" s="277"/>
      <c r="L57" s="304">
        <v>123.81</v>
      </c>
      <c r="M57" s="305"/>
      <c r="N57" s="305"/>
    </row>
    <row r="58" spans="1:15">
      <c r="B58" s="267" t="s">
        <v>43</v>
      </c>
      <c r="C58" s="267" t="s">
        <v>44</v>
      </c>
      <c r="G58" s="267">
        <f t="shared" ref="G58:G121" si="3">SUM(L58:N58)</f>
        <v>0</v>
      </c>
      <c r="H58" s="267">
        <v>45</v>
      </c>
      <c r="I58" s="275">
        <f t="shared" ref="I58:I121" si="4">H58-G58</f>
        <v>45</v>
      </c>
      <c r="J58" s="276">
        <f>Jan!I58+Feb!I58+Mar!I58+Apr!I58+May!I58</f>
        <v>225</v>
      </c>
      <c r="K58" s="277"/>
      <c r="L58" s="304"/>
      <c r="M58" s="305"/>
      <c r="N58" s="305"/>
    </row>
    <row r="59" spans="1:15">
      <c r="B59" s="306" t="s">
        <v>86</v>
      </c>
      <c r="C59" s="306" t="s">
        <v>87</v>
      </c>
      <c r="D59" s="306" t="s">
        <v>423</v>
      </c>
      <c r="E59" s="306"/>
      <c r="F59" s="306"/>
      <c r="G59" s="267">
        <f t="shared" si="3"/>
        <v>0</v>
      </c>
      <c r="H59" s="267">
        <v>90</v>
      </c>
      <c r="I59" s="275">
        <f t="shared" si="4"/>
        <v>90</v>
      </c>
      <c r="J59" s="276">
        <f>Jan!I59+Feb!I59+Mar!I59+Apr!I59+May!I59</f>
        <v>-775</v>
      </c>
      <c r="K59" s="277"/>
      <c r="L59" s="304"/>
      <c r="M59" s="305"/>
      <c r="N59" s="305"/>
    </row>
    <row r="60" spans="1:15">
      <c r="B60" s="306" t="s">
        <v>88</v>
      </c>
      <c r="C60" s="306" t="s">
        <v>89</v>
      </c>
      <c r="D60" s="306" t="s">
        <v>424</v>
      </c>
      <c r="E60" s="306"/>
      <c r="F60" s="306"/>
      <c r="G60" s="267">
        <f t="shared" si="3"/>
        <v>1279.5999999999999</v>
      </c>
      <c r="H60" s="267">
        <v>110</v>
      </c>
      <c r="I60" s="275">
        <f t="shared" si="4"/>
        <v>-1169.5999999999999</v>
      </c>
      <c r="J60" s="276">
        <f>Jan!I60+Feb!I60+Mar!I60+Apr!I60+May!I60</f>
        <v>-839.71999999999991</v>
      </c>
      <c r="K60" s="277"/>
      <c r="L60" s="304">
        <v>1279.5999999999999</v>
      </c>
      <c r="M60" s="305"/>
      <c r="N60" s="305"/>
      <c r="O60" s="267" t="s">
        <v>713</v>
      </c>
    </row>
    <row r="61" spans="1:15">
      <c r="I61" s="275"/>
      <c r="J61" s="276"/>
      <c r="K61" s="277"/>
      <c r="L61" s="304"/>
      <c r="M61" s="305"/>
      <c r="N61" s="305"/>
    </row>
    <row r="62" spans="1:15">
      <c r="A62" s="265" t="s">
        <v>91</v>
      </c>
      <c r="B62" s="265">
        <f>SUM(G63:G64)</f>
        <v>137.74</v>
      </c>
      <c r="C62" s="265">
        <f>SUM(H63:H64)</f>
        <v>138</v>
      </c>
      <c r="D62" s="265">
        <f>C62-B62</f>
        <v>0.25999999999999091</v>
      </c>
      <c r="I62" s="275"/>
      <c r="J62" s="276"/>
      <c r="K62" s="277"/>
      <c r="L62" s="304"/>
      <c r="M62" s="305"/>
      <c r="N62" s="305"/>
    </row>
    <row r="63" spans="1:15">
      <c r="B63" s="267" t="s">
        <v>50</v>
      </c>
      <c r="C63" s="267" t="s">
        <v>51</v>
      </c>
      <c r="G63" s="267">
        <f t="shared" si="3"/>
        <v>65.97</v>
      </c>
      <c r="H63" s="267">
        <v>63</v>
      </c>
      <c r="I63" s="275">
        <f t="shared" si="4"/>
        <v>-2.9699999999999989</v>
      </c>
      <c r="J63" s="276">
        <f>Jan!I63+Feb!I63+Mar!I63+Apr!I63+May!I63</f>
        <v>-8.8499999999999943</v>
      </c>
      <c r="K63" s="277"/>
      <c r="L63" s="304"/>
      <c r="M63" s="305">
        <v>65.97</v>
      </c>
      <c r="N63" s="305"/>
    </row>
    <row r="64" spans="1:15">
      <c r="B64" s="267" t="s">
        <v>92</v>
      </c>
      <c r="C64" s="267" t="s">
        <v>93</v>
      </c>
      <c r="G64" s="267">
        <f t="shared" si="3"/>
        <v>71.77</v>
      </c>
      <c r="H64" s="267">
        <v>75</v>
      </c>
      <c r="I64" s="275">
        <f t="shared" si="4"/>
        <v>3.230000000000004</v>
      </c>
      <c r="J64" s="276">
        <f>Jan!I64+Feb!I64+Mar!I64+Apr!I64+May!I64</f>
        <v>10.570000000000007</v>
      </c>
      <c r="K64" s="277"/>
      <c r="L64" s="304"/>
      <c r="M64" s="305">
        <v>71.77</v>
      </c>
      <c r="N64" s="305"/>
    </row>
    <row r="65" spans="1:15">
      <c r="I65" s="275"/>
      <c r="J65" s="276"/>
      <c r="K65" s="277"/>
      <c r="L65" s="304"/>
      <c r="M65" s="305"/>
      <c r="N65" s="305"/>
    </row>
    <row r="66" spans="1:15">
      <c r="A66" s="307" t="s">
        <v>94</v>
      </c>
      <c r="B66" s="265">
        <f>SUM(G67:G69)</f>
        <v>0</v>
      </c>
      <c r="C66" s="265">
        <f>SUM(H67:H69)</f>
        <v>177</v>
      </c>
      <c r="D66" s="265">
        <f>C66-B66</f>
        <v>177</v>
      </c>
      <c r="I66" s="275"/>
      <c r="J66" s="276"/>
      <c r="K66" s="277"/>
      <c r="L66" s="304"/>
      <c r="M66" s="305"/>
      <c r="N66" s="305"/>
    </row>
    <row r="67" spans="1:15">
      <c r="B67" s="306" t="s">
        <v>95</v>
      </c>
      <c r="C67" s="306"/>
      <c r="D67" s="306" t="s">
        <v>96</v>
      </c>
      <c r="E67" s="306"/>
      <c r="F67" s="306"/>
      <c r="G67" s="267">
        <f t="shared" si="3"/>
        <v>0</v>
      </c>
      <c r="H67" s="267">
        <v>56.5</v>
      </c>
      <c r="I67" s="275">
        <f t="shared" si="4"/>
        <v>56.5</v>
      </c>
      <c r="J67" s="276">
        <f>Jan!I67+Feb!I67+Mar!I67+Apr!I67+May!I67</f>
        <v>-433.5</v>
      </c>
      <c r="K67" s="277"/>
      <c r="L67" s="304"/>
      <c r="M67" s="305"/>
      <c r="N67" s="305"/>
    </row>
    <row r="68" spans="1:15">
      <c r="B68" s="306" t="s">
        <v>97</v>
      </c>
      <c r="C68" s="306"/>
      <c r="D68" s="306" t="s">
        <v>96</v>
      </c>
      <c r="E68" s="306"/>
      <c r="F68" s="306"/>
      <c r="G68" s="267">
        <f t="shared" si="3"/>
        <v>0</v>
      </c>
      <c r="H68" s="267">
        <v>84.5</v>
      </c>
      <c r="I68" s="275">
        <f t="shared" si="4"/>
        <v>84.5</v>
      </c>
      <c r="J68" s="276">
        <f>Jan!I68+Feb!I68+Mar!I68+Apr!I68+May!I68</f>
        <v>-532.5</v>
      </c>
      <c r="K68" s="277"/>
      <c r="L68" s="304"/>
      <c r="M68" s="305"/>
      <c r="N68" s="305"/>
    </row>
    <row r="69" spans="1:15">
      <c r="B69" s="306" t="s">
        <v>98</v>
      </c>
      <c r="C69" s="306"/>
      <c r="D69" s="306" t="s">
        <v>477</v>
      </c>
      <c r="E69" s="306"/>
      <c r="F69" s="306"/>
      <c r="G69" s="267">
        <f t="shared" si="3"/>
        <v>0</v>
      </c>
      <c r="H69" s="267">
        <v>36</v>
      </c>
      <c r="I69" s="275">
        <f t="shared" si="4"/>
        <v>36</v>
      </c>
      <c r="J69" s="276">
        <f>Jan!I69+Feb!I69+Mar!I69+Apr!I69+May!I69</f>
        <v>180</v>
      </c>
      <c r="K69" s="277"/>
      <c r="L69" s="304"/>
      <c r="M69" s="305"/>
      <c r="N69" s="305"/>
    </row>
    <row r="70" spans="1:15">
      <c r="I70" s="275"/>
      <c r="J70" s="276"/>
      <c r="K70" s="277"/>
      <c r="L70" s="304"/>
      <c r="M70" s="305"/>
      <c r="N70" s="305"/>
    </row>
    <row r="71" spans="1:15">
      <c r="A71" s="265" t="s">
        <v>99</v>
      </c>
      <c r="B71" s="265">
        <f>SUM(G72:G78)</f>
        <v>164.76999999999998</v>
      </c>
      <c r="C71" s="265">
        <f>SUM(H72:H78)</f>
        <v>166.5</v>
      </c>
      <c r="D71" s="265">
        <f>C71-B71</f>
        <v>1.7300000000000182</v>
      </c>
      <c r="I71" s="275"/>
      <c r="J71" s="276"/>
      <c r="K71" s="277"/>
      <c r="L71" s="304"/>
      <c r="M71" s="305"/>
      <c r="N71" s="305"/>
    </row>
    <row r="72" spans="1:15">
      <c r="B72" s="267" t="s">
        <v>100</v>
      </c>
      <c r="G72" s="267">
        <f t="shared" si="3"/>
        <v>0</v>
      </c>
      <c r="H72" s="267">
        <v>15</v>
      </c>
      <c r="I72" s="275">
        <f t="shared" si="4"/>
        <v>15</v>
      </c>
      <c r="J72" s="276">
        <f>Jan!I72+Feb!I72+Mar!I72+Apr!I72+May!I72</f>
        <v>13.829999999999998</v>
      </c>
      <c r="K72" s="277"/>
      <c r="L72" s="304"/>
      <c r="M72" s="305"/>
      <c r="N72" s="305"/>
    </row>
    <row r="73" spans="1:15">
      <c r="B73" s="267" t="s">
        <v>384</v>
      </c>
      <c r="G73" s="267">
        <f t="shared" si="3"/>
        <v>0</v>
      </c>
      <c r="H73" s="267">
        <v>5</v>
      </c>
      <c r="I73" s="275">
        <f t="shared" si="4"/>
        <v>5</v>
      </c>
      <c r="J73" s="276">
        <f>Jan!I73+Feb!I73+Mar!I73+Apr!I73+May!I73</f>
        <v>9.1199999999999992</v>
      </c>
      <c r="K73" s="277"/>
      <c r="L73" s="304"/>
      <c r="M73" s="305"/>
      <c r="N73" s="305"/>
    </row>
    <row r="74" spans="1:15">
      <c r="B74" s="267" t="s">
        <v>385</v>
      </c>
      <c r="G74" s="267">
        <f t="shared" si="3"/>
        <v>164.76999999999998</v>
      </c>
      <c r="H74" s="267">
        <v>65</v>
      </c>
      <c r="I74" s="275">
        <f t="shared" si="4"/>
        <v>-99.769999999999982</v>
      </c>
      <c r="J74" s="276">
        <f>Jan!I74+Feb!I74+Mar!I74+Apr!I74+May!I74</f>
        <v>-5.6499999999999773</v>
      </c>
      <c r="K74" s="277"/>
      <c r="L74" s="304"/>
      <c r="M74" s="305">
        <f>79.96</f>
        <v>79.959999999999994</v>
      </c>
      <c r="N74" s="305">
        <f>32.46-21.79+67.16+6.98</f>
        <v>84.81</v>
      </c>
      <c r="O74" s="267" t="s">
        <v>766</v>
      </c>
    </row>
    <row r="75" spans="1:15">
      <c r="B75" s="267" t="s">
        <v>386</v>
      </c>
      <c r="G75" s="267">
        <f t="shared" si="3"/>
        <v>0</v>
      </c>
      <c r="H75" s="267">
        <v>15</v>
      </c>
      <c r="I75" s="275">
        <f t="shared" si="4"/>
        <v>15</v>
      </c>
      <c r="J75" s="276">
        <f>Jan!I75+Feb!I75+Mar!I75+Apr!I75+May!I75</f>
        <v>75</v>
      </c>
      <c r="K75" s="277"/>
      <c r="L75" s="304"/>
      <c r="M75" s="305"/>
      <c r="N75" s="305"/>
    </row>
    <row r="76" spans="1:15">
      <c r="B76" s="306" t="s">
        <v>390</v>
      </c>
      <c r="C76" s="306"/>
      <c r="D76" s="306"/>
      <c r="E76" s="306"/>
      <c r="F76" s="306"/>
      <c r="G76" s="267">
        <f t="shared" si="3"/>
        <v>0</v>
      </c>
      <c r="H76" s="267">
        <v>35</v>
      </c>
      <c r="I76" s="275">
        <f t="shared" si="4"/>
        <v>35</v>
      </c>
      <c r="J76" s="276">
        <f>Jan!I76+Feb!I76+Mar!I76+Apr!I76+May!I76</f>
        <v>175</v>
      </c>
      <c r="K76" s="277"/>
      <c r="L76" s="304"/>
      <c r="M76" s="305"/>
      <c r="N76" s="305"/>
    </row>
    <row r="77" spans="1:15">
      <c r="B77" s="306" t="s">
        <v>387</v>
      </c>
      <c r="C77" s="306"/>
      <c r="D77" s="306"/>
      <c r="E77" s="306"/>
      <c r="F77" s="306"/>
      <c r="G77" s="267">
        <f t="shared" si="3"/>
        <v>0</v>
      </c>
      <c r="H77" s="267">
        <v>20</v>
      </c>
      <c r="I77" s="275">
        <f t="shared" si="4"/>
        <v>20</v>
      </c>
      <c r="J77" s="276">
        <f>Jan!I77+Feb!I77+Mar!I77+Apr!I77+May!I77</f>
        <v>100</v>
      </c>
      <c r="K77" s="277"/>
      <c r="L77" s="304"/>
      <c r="M77" s="305"/>
      <c r="N77" s="305"/>
    </row>
    <row r="78" spans="1:15">
      <c r="B78" s="306" t="s">
        <v>388</v>
      </c>
      <c r="C78" s="306"/>
      <c r="D78" s="306"/>
      <c r="E78" s="306"/>
      <c r="F78" s="306"/>
      <c r="G78" s="267">
        <f t="shared" si="3"/>
        <v>0</v>
      </c>
      <c r="H78" s="267">
        <v>11.5</v>
      </c>
      <c r="I78" s="275">
        <f t="shared" si="4"/>
        <v>11.5</v>
      </c>
      <c r="J78" s="276">
        <f>Jan!I78+Feb!I78+Mar!I78+Apr!I78+May!I78</f>
        <v>57.5</v>
      </c>
      <c r="K78" s="277"/>
      <c r="L78" s="304"/>
      <c r="M78" s="305"/>
      <c r="N78" s="305"/>
    </row>
    <row r="79" spans="1:15">
      <c r="I79" s="275"/>
      <c r="J79" s="276"/>
      <c r="K79" s="277"/>
      <c r="L79" s="304"/>
      <c r="M79" s="305"/>
      <c r="N79" s="305"/>
    </row>
    <row r="80" spans="1:15">
      <c r="A80" s="265" t="s">
        <v>335</v>
      </c>
      <c r="B80" s="265">
        <f>SUM(G81:G83)</f>
        <v>0</v>
      </c>
      <c r="C80" s="265">
        <f>SUM(H81:H83)</f>
        <v>30</v>
      </c>
      <c r="D80" s="265">
        <f>C80-B80</f>
        <v>30</v>
      </c>
      <c r="I80" s="275"/>
      <c r="J80" s="276"/>
      <c r="K80" s="277"/>
      <c r="L80" s="304"/>
      <c r="M80" s="305"/>
      <c r="N80" s="305"/>
    </row>
    <row r="81" spans="1:15">
      <c r="B81" s="306" t="s">
        <v>101</v>
      </c>
      <c r="C81" s="306"/>
      <c r="D81" s="306"/>
      <c r="E81" s="306"/>
      <c r="F81" s="306"/>
      <c r="G81" s="267">
        <f t="shared" si="3"/>
        <v>0</v>
      </c>
      <c r="H81" s="267">
        <v>10</v>
      </c>
      <c r="I81" s="275">
        <f t="shared" si="4"/>
        <v>10</v>
      </c>
      <c r="J81" s="276">
        <f>Jan!I81+Feb!I81+Mar!I81+Apr!I81+May!I81</f>
        <v>50</v>
      </c>
      <c r="K81" s="277"/>
      <c r="L81" s="304"/>
      <c r="M81" s="305"/>
      <c r="N81" s="305"/>
    </row>
    <row r="82" spans="1:15">
      <c r="B82" s="306" t="s">
        <v>102</v>
      </c>
      <c r="C82" s="306"/>
      <c r="D82" s="306"/>
      <c r="E82" s="306"/>
      <c r="F82" s="306"/>
      <c r="G82" s="267">
        <f t="shared" si="3"/>
        <v>0</v>
      </c>
      <c r="H82" s="267">
        <v>10</v>
      </c>
      <c r="I82" s="275">
        <f t="shared" si="4"/>
        <v>10</v>
      </c>
      <c r="J82" s="276">
        <f>Jan!I82+Feb!I82+Mar!I82+Apr!I82+May!I82</f>
        <v>-16.939999999999998</v>
      </c>
      <c r="K82" s="277"/>
      <c r="L82" s="304"/>
      <c r="M82" s="305"/>
      <c r="N82" s="305"/>
    </row>
    <row r="83" spans="1:15">
      <c r="B83" s="306" t="s">
        <v>383</v>
      </c>
      <c r="C83" s="306"/>
      <c r="D83" s="306"/>
      <c r="E83" s="306"/>
      <c r="F83" s="306"/>
      <c r="G83" s="267">
        <f t="shared" si="3"/>
        <v>0</v>
      </c>
      <c r="H83" s="267">
        <v>10</v>
      </c>
      <c r="I83" s="275">
        <f t="shared" si="4"/>
        <v>10</v>
      </c>
      <c r="J83" s="276">
        <f>Jan!I83+Feb!I83+Mar!I83+Apr!I83+May!I83</f>
        <v>-11.89</v>
      </c>
      <c r="K83" s="277"/>
      <c r="L83" s="304"/>
      <c r="M83" s="305"/>
      <c r="N83" s="305"/>
    </row>
    <row r="84" spans="1:15">
      <c r="I84" s="275"/>
      <c r="J84" s="276"/>
      <c r="K84" s="277"/>
      <c r="L84" s="304"/>
      <c r="M84" s="305"/>
      <c r="N84" s="305"/>
    </row>
    <row r="85" spans="1:15">
      <c r="A85" s="265" t="s">
        <v>110</v>
      </c>
      <c r="B85" s="265">
        <f>SUM(G86:G88)</f>
        <v>158.17000000000002</v>
      </c>
      <c r="C85" s="265">
        <f>SUM(H86:H88)</f>
        <v>115</v>
      </c>
      <c r="D85" s="265">
        <f>C85-B85</f>
        <v>-43.170000000000016</v>
      </c>
      <c r="I85" s="275"/>
      <c r="J85" s="276"/>
      <c r="K85" s="277"/>
      <c r="L85" s="304"/>
      <c r="M85" s="305"/>
      <c r="N85" s="305"/>
    </row>
    <row r="86" spans="1:15">
      <c r="B86" s="306" t="s">
        <v>389</v>
      </c>
      <c r="C86" s="306"/>
      <c r="D86" s="306"/>
      <c r="E86" s="306"/>
      <c r="F86" s="306"/>
      <c r="G86" s="267">
        <f t="shared" si="3"/>
        <v>0</v>
      </c>
      <c r="H86" s="267">
        <v>30</v>
      </c>
      <c r="I86" s="275">
        <f t="shared" si="4"/>
        <v>30</v>
      </c>
      <c r="J86" s="276">
        <f>Jan!I86+Feb!I86+Mar!I86+Apr!I86+May!I86</f>
        <v>72.930000000000007</v>
      </c>
      <c r="K86" s="277"/>
      <c r="L86" s="304"/>
      <c r="M86" s="305"/>
      <c r="N86" s="305"/>
    </row>
    <row r="87" spans="1:15">
      <c r="B87" s="306" t="s">
        <v>111</v>
      </c>
      <c r="C87" s="306"/>
      <c r="D87" s="306"/>
      <c r="E87" s="306"/>
      <c r="F87" s="306"/>
      <c r="G87" s="267">
        <f t="shared" si="3"/>
        <v>50</v>
      </c>
      <c r="H87" s="267">
        <v>20</v>
      </c>
      <c r="I87" s="275">
        <f t="shared" si="4"/>
        <v>-30</v>
      </c>
      <c r="J87" s="276">
        <f>Jan!I87+Feb!I87+Mar!I87+Apr!I87+May!I87</f>
        <v>-183.39999999999998</v>
      </c>
      <c r="K87" s="277"/>
      <c r="L87" s="304"/>
      <c r="M87" s="305">
        <v>50</v>
      </c>
      <c r="N87" s="305"/>
      <c r="O87" s="267" t="s">
        <v>692</v>
      </c>
    </row>
    <row r="88" spans="1:15">
      <c r="B88" s="267" t="s">
        <v>391</v>
      </c>
      <c r="G88" s="267">
        <f t="shared" si="3"/>
        <v>108.17</v>
      </c>
      <c r="H88" s="267">
        <v>65</v>
      </c>
      <c r="I88" s="275">
        <f t="shared" si="4"/>
        <v>-43.17</v>
      </c>
      <c r="J88" s="276">
        <f>Jan!I88+Feb!I88+Mar!I88+Apr!I88+May!I88</f>
        <v>-213.5</v>
      </c>
      <c r="K88" s="277"/>
      <c r="L88" s="304"/>
      <c r="M88" s="305">
        <f>58.74</f>
        <v>58.74</v>
      </c>
      <c r="N88" s="305">
        <v>49.43</v>
      </c>
    </row>
    <row r="89" spans="1:15">
      <c r="I89" s="275"/>
      <c r="J89" s="276"/>
      <c r="K89" s="277"/>
      <c r="L89" s="304"/>
      <c r="M89" s="305"/>
      <c r="N89" s="305"/>
    </row>
    <row r="90" spans="1:15">
      <c r="A90" s="265" t="s">
        <v>112</v>
      </c>
      <c r="B90" s="265">
        <f>SUM(G91:G95)</f>
        <v>200.35999999999999</v>
      </c>
      <c r="C90" s="265">
        <f>SUM(H91:H95)</f>
        <v>220</v>
      </c>
      <c r="D90" s="265">
        <f>C90-B90</f>
        <v>19.640000000000015</v>
      </c>
      <c r="I90" s="275"/>
      <c r="J90" s="276"/>
      <c r="K90" s="277"/>
      <c r="L90" s="304"/>
      <c r="M90" s="305"/>
      <c r="N90" s="305"/>
    </row>
    <row r="91" spans="1:15">
      <c r="B91" s="267" t="s">
        <v>113</v>
      </c>
      <c r="G91" s="267">
        <f t="shared" si="3"/>
        <v>35.64</v>
      </c>
      <c r="H91" s="267">
        <v>40</v>
      </c>
      <c r="I91" s="275">
        <f t="shared" si="4"/>
        <v>4.3599999999999994</v>
      </c>
      <c r="J91" s="276">
        <f>Jan!I91+Feb!I91+Mar!I91+Apr!I91+May!I91</f>
        <v>54.01</v>
      </c>
      <c r="K91" s="277"/>
      <c r="L91" s="304"/>
      <c r="M91" s="305">
        <f>35.64</f>
        <v>35.64</v>
      </c>
      <c r="N91" s="305"/>
    </row>
    <row r="92" spans="1:15">
      <c r="B92" s="267" t="s">
        <v>114</v>
      </c>
      <c r="D92" s="267" t="s">
        <v>115</v>
      </c>
      <c r="G92" s="267">
        <f t="shared" si="3"/>
        <v>120</v>
      </c>
      <c r="H92" s="267">
        <v>120</v>
      </c>
      <c r="I92" s="275">
        <f t="shared" si="4"/>
        <v>0</v>
      </c>
      <c r="J92" s="276">
        <f>Jan!I92+Feb!I92+Mar!I92+Apr!I92+May!I92</f>
        <v>216</v>
      </c>
      <c r="K92" s="277"/>
      <c r="L92" s="304">
        <v>15</v>
      </c>
      <c r="M92" s="305">
        <f>85+20</f>
        <v>105</v>
      </c>
      <c r="N92" s="305"/>
    </row>
    <row r="93" spans="1:15">
      <c r="B93" s="267" t="s">
        <v>116</v>
      </c>
      <c r="G93" s="267">
        <f t="shared" si="3"/>
        <v>0</v>
      </c>
      <c r="H93" s="267">
        <v>20</v>
      </c>
      <c r="I93" s="275">
        <f t="shared" si="4"/>
        <v>20</v>
      </c>
      <c r="J93" s="276">
        <f>Jan!I93+Feb!I93+Mar!I93+Apr!I93+May!I93</f>
        <v>26.969999999999995</v>
      </c>
      <c r="K93" s="277"/>
      <c r="L93" s="304"/>
      <c r="M93" s="305"/>
      <c r="N93" s="305"/>
    </row>
    <row r="94" spans="1:15">
      <c r="A94" s="265"/>
      <c r="B94" s="267" t="s">
        <v>117</v>
      </c>
      <c r="G94" s="267">
        <f t="shared" si="3"/>
        <v>0</v>
      </c>
      <c r="H94" s="267">
        <v>20</v>
      </c>
      <c r="I94" s="275">
        <f t="shared" si="4"/>
        <v>20</v>
      </c>
      <c r="J94" s="276">
        <f>Jan!I94+Feb!I94+Mar!I94+Apr!I94+May!I94</f>
        <v>-66.3</v>
      </c>
      <c r="K94" s="277"/>
      <c r="L94" s="304"/>
      <c r="M94" s="305"/>
      <c r="N94" s="305"/>
    </row>
    <row r="95" spans="1:15">
      <c r="A95" s="265"/>
      <c r="B95" s="267" t="s">
        <v>118</v>
      </c>
      <c r="G95" s="267">
        <f t="shared" si="3"/>
        <v>44.72</v>
      </c>
      <c r="H95" s="267">
        <v>20</v>
      </c>
      <c r="I95" s="275">
        <f t="shared" si="4"/>
        <v>-24.72</v>
      </c>
      <c r="J95" s="276">
        <f>Jan!I95+Feb!I95+Mar!I95+Apr!I95+May!I95</f>
        <v>-172.76000000000002</v>
      </c>
      <c r="K95" s="277"/>
      <c r="L95" s="304"/>
      <c r="M95" s="305">
        <f>11.6+3.15+7.95+1.65+6.5+3.25+7.95+2.67</f>
        <v>44.72</v>
      </c>
      <c r="N95" s="305"/>
    </row>
    <row r="96" spans="1:15">
      <c r="A96" s="265"/>
      <c r="B96" s="265"/>
      <c r="I96" s="275"/>
      <c r="J96" s="276"/>
      <c r="K96" s="277"/>
      <c r="L96" s="304"/>
      <c r="M96" s="305"/>
      <c r="N96" s="305"/>
    </row>
    <row r="97" spans="1:15">
      <c r="A97" s="265" t="s">
        <v>119</v>
      </c>
      <c r="B97" s="265">
        <f>SUM(G98:G101)</f>
        <v>1748.54</v>
      </c>
      <c r="C97" s="265">
        <f>SUM(H98:H101)</f>
        <v>435</v>
      </c>
      <c r="D97" s="265">
        <f>C97-B97</f>
        <v>-1313.54</v>
      </c>
      <c r="I97" s="275"/>
      <c r="J97" s="276"/>
      <c r="K97" s="277"/>
      <c r="L97" s="304"/>
      <c r="M97" s="305"/>
      <c r="N97" s="305"/>
    </row>
    <row r="98" spans="1:15">
      <c r="B98" s="306" t="s">
        <v>120</v>
      </c>
      <c r="C98" s="306"/>
      <c r="D98" s="306" t="s">
        <v>121</v>
      </c>
      <c r="E98" s="306"/>
      <c r="F98" s="306"/>
      <c r="G98" s="267">
        <f t="shared" si="3"/>
        <v>1094.8499999999999</v>
      </c>
      <c r="H98" s="267">
        <v>150</v>
      </c>
      <c r="I98" s="275">
        <f t="shared" si="4"/>
        <v>-944.84999999999991</v>
      </c>
      <c r="J98" s="276">
        <f>Jan!I98+Feb!I98+Mar!I98+Apr!I98+May!I98</f>
        <v>-344.84999999999991</v>
      </c>
      <c r="K98" s="277"/>
      <c r="L98" s="304"/>
      <c r="M98" s="305">
        <v>1094.8499999999999</v>
      </c>
      <c r="N98" s="305"/>
    </row>
    <row r="99" spans="1:15">
      <c r="B99" s="306" t="s">
        <v>122</v>
      </c>
      <c r="C99" s="306"/>
      <c r="D99" s="306" t="s">
        <v>123</v>
      </c>
      <c r="E99" s="306"/>
      <c r="F99" s="306"/>
      <c r="G99" s="267">
        <f t="shared" si="3"/>
        <v>0</v>
      </c>
      <c r="H99" s="267">
        <v>20</v>
      </c>
      <c r="I99" s="275">
        <f t="shared" si="4"/>
        <v>20</v>
      </c>
      <c r="J99" s="276">
        <f>Jan!I99+Feb!I99+Mar!I99+Apr!I99+May!I99</f>
        <v>-26.97</v>
      </c>
      <c r="K99" s="277"/>
      <c r="L99" s="304"/>
      <c r="M99" s="305"/>
      <c r="N99" s="305"/>
    </row>
    <row r="100" spans="1:15">
      <c r="A100" s="265"/>
      <c r="B100" s="267" t="s">
        <v>124</v>
      </c>
      <c r="G100" s="267">
        <f t="shared" si="3"/>
        <v>309.69</v>
      </c>
      <c r="H100" s="267">
        <v>215</v>
      </c>
      <c r="I100" s="275">
        <f t="shared" si="4"/>
        <v>-94.69</v>
      </c>
      <c r="J100" s="276">
        <f>Jan!I100+Feb!I100+Mar!I100+Apr!I100+May!I100</f>
        <v>7.8100000000000023</v>
      </c>
      <c r="K100" s="277"/>
      <c r="L100" s="304">
        <f>250+11.45+26.45</f>
        <v>287.89999999999998</v>
      </c>
      <c r="M100" s="305"/>
      <c r="N100" s="305">
        <f>21.79</f>
        <v>21.79</v>
      </c>
      <c r="O100" s="267" t="s">
        <v>758</v>
      </c>
    </row>
    <row r="101" spans="1:15">
      <c r="A101" s="265"/>
      <c r="B101" s="306" t="s">
        <v>125</v>
      </c>
      <c r="C101" s="306"/>
      <c r="D101" s="306"/>
      <c r="E101" s="306"/>
      <c r="F101" s="306"/>
      <c r="G101" s="267">
        <f t="shared" si="3"/>
        <v>344</v>
      </c>
      <c r="H101" s="267">
        <v>50</v>
      </c>
      <c r="I101" s="275">
        <f t="shared" si="4"/>
        <v>-294</v>
      </c>
      <c r="J101" s="276">
        <f>Jan!I101+Feb!I101+Mar!I101+Apr!I101+May!I101</f>
        <v>-122.98000000000002</v>
      </c>
      <c r="K101" s="277"/>
      <c r="L101" s="304">
        <f>110+90+44+40</f>
        <v>284</v>
      </c>
      <c r="M101" s="305"/>
      <c r="N101" s="305">
        <v>60</v>
      </c>
      <c r="O101" s="267" t="s">
        <v>781</v>
      </c>
    </row>
    <row r="102" spans="1:15">
      <c r="A102" s="265"/>
      <c r="I102" s="275"/>
      <c r="J102" s="276"/>
      <c r="K102" s="277"/>
      <c r="L102" s="304"/>
      <c r="M102" s="305"/>
      <c r="N102" s="305"/>
    </row>
    <row r="103" spans="1:15">
      <c r="A103" s="265" t="s">
        <v>103</v>
      </c>
      <c r="B103" s="265">
        <f>SUM(G104:G110)</f>
        <v>832.93000000000006</v>
      </c>
      <c r="C103" s="265">
        <f>SUM(H104:H110)</f>
        <v>637</v>
      </c>
      <c r="D103" s="265">
        <f>C103-B103</f>
        <v>-195.93000000000006</v>
      </c>
      <c r="I103" s="275"/>
      <c r="J103" s="276"/>
      <c r="K103" s="277"/>
      <c r="L103" s="304"/>
      <c r="M103" s="305"/>
      <c r="N103" s="305"/>
    </row>
    <row r="104" spans="1:15">
      <c r="B104" s="267" t="s">
        <v>456</v>
      </c>
      <c r="G104" s="267">
        <f t="shared" si="3"/>
        <v>100</v>
      </c>
      <c r="H104" s="267">
        <v>50</v>
      </c>
      <c r="I104" s="275">
        <f t="shared" si="4"/>
        <v>-50</v>
      </c>
      <c r="J104" s="276">
        <f>Jan!I104+Feb!I104+Mar!I104+Apr!I104+May!I104</f>
        <v>-110</v>
      </c>
      <c r="K104" s="277"/>
      <c r="L104" s="304">
        <v>100</v>
      </c>
      <c r="M104" s="305"/>
      <c r="N104" s="305"/>
      <c r="O104" s="310">
        <v>41491</v>
      </c>
    </row>
    <row r="105" spans="1:15">
      <c r="B105" s="267" t="s">
        <v>105</v>
      </c>
      <c r="D105" s="267" t="s">
        <v>457</v>
      </c>
      <c r="E105" s="267">
        <f>60*52/12</f>
        <v>260</v>
      </c>
      <c r="G105" s="267">
        <f t="shared" si="3"/>
        <v>444.1</v>
      </c>
      <c r="H105" s="267">
        <v>500</v>
      </c>
      <c r="I105" s="275">
        <f t="shared" si="4"/>
        <v>55.899999999999977</v>
      </c>
      <c r="J105" s="276">
        <f>Jan!I105+Feb!I105+Mar!I105+Apr!I105+May!I105</f>
        <v>454.63</v>
      </c>
      <c r="K105" s="277"/>
      <c r="L105" s="304"/>
      <c r="M105" s="305">
        <v>48.73</v>
      </c>
      <c r="N105" s="305">
        <f>71.04+11.5+2.49+66.8+27.34+12.82+70.58+17.92+48.14+(28.93-11.55)+28.99+48.14+43.33-71.1</f>
        <v>395.37</v>
      </c>
    </row>
    <row r="106" spans="1:15">
      <c r="B106" s="267" t="s">
        <v>392</v>
      </c>
      <c r="G106" s="267">
        <f t="shared" si="3"/>
        <v>0</v>
      </c>
      <c r="H106" s="267">
        <v>27</v>
      </c>
      <c r="I106" s="275">
        <f t="shared" si="4"/>
        <v>27</v>
      </c>
      <c r="J106" s="276">
        <f>Jan!I106+Feb!I106+Mar!I106+Apr!I106+May!I106</f>
        <v>58.75</v>
      </c>
      <c r="K106" s="277"/>
      <c r="L106" s="304"/>
      <c r="M106" s="305"/>
      <c r="N106" s="305"/>
    </row>
    <row r="107" spans="1:15">
      <c r="B107" s="267" t="s">
        <v>106</v>
      </c>
      <c r="G107" s="267">
        <f t="shared" si="3"/>
        <v>59.9</v>
      </c>
      <c r="H107" s="267">
        <v>15</v>
      </c>
      <c r="I107" s="275">
        <f t="shared" si="4"/>
        <v>-44.9</v>
      </c>
      <c r="J107" s="276">
        <f>Jan!I107+Feb!I107+Mar!I107+Apr!I107+May!I107</f>
        <v>-4.1899999999999977</v>
      </c>
      <c r="K107" s="277"/>
      <c r="L107" s="304"/>
      <c r="M107" s="305"/>
      <c r="N107" s="305">
        <f>(62.39-2.49)</f>
        <v>59.9</v>
      </c>
      <c r="O107" s="267" t="s">
        <v>732</v>
      </c>
    </row>
    <row r="108" spans="1:15">
      <c r="B108" s="267" t="s">
        <v>107</v>
      </c>
      <c r="G108" s="267">
        <f t="shared" si="3"/>
        <v>154.84</v>
      </c>
      <c r="H108" s="267">
        <v>20</v>
      </c>
      <c r="I108" s="275">
        <f t="shared" si="4"/>
        <v>-134.84</v>
      </c>
      <c r="J108" s="276">
        <f>Jan!I108+Feb!I108+Mar!I108+Apr!I108+May!I108</f>
        <v>-134.5</v>
      </c>
      <c r="K108" s="277"/>
      <c r="L108" s="304"/>
      <c r="M108" s="305">
        <f>8.98</f>
        <v>8.98</v>
      </c>
      <c r="N108" s="305">
        <f>(60.33-12.82-12.5)+32.46+78.39</f>
        <v>145.86000000000001</v>
      </c>
      <c r="O108" s="267" t="s">
        <v>756</v>
      </c>
    </row>
    <row r="109" spans="1:15">
      <c r="B109" s="267" t="s">
        <v>108</v>
      </c>
      <c r="G109" s="267">
        <f t="shared" si="3"/>
        <v>74.09</v>
      </c>
      <c r="H109" s="267">
        <v>20</v>
      </c>
      <c r="I109" s="275">
        <f t="shared" si="4"/>
        <v>-54.09</v>
      </c>
      <c r="J109" s="276">
        <f>Jan!I109+Feb!I109+Mar!I109+Apr!I109+May!I109</f>
        <v>-58.34</v>
      </c>
      <c r="K109" s="277"/>
      <c r="L109" s="304"/>
      <c r="M109" s="305">
        <f>6.36</f>
        <v>6.36</v>
      </c>
      <c r="N109" s="305">
        <f>12.5+28.87+26.36</f>
        <v>67.73</v>
      </c>
      <c r="O109" s="267" t="s">
        <v>757</v>
      </c>
    </row>
    <row r="110" spans="1:15">
      <c r="B110" s="267" t="s">
        <v>109</v>
      </c>
      <c r="G110" s="267">
        <f t="shared" si="3"/>
        <v>0</v>
      </c>
      <c r="H110" s="267">
        <v>5</v>
      </c>
      <c r="I110" s="275">
        <f t="shared" si="4"/>
        <v>5</v>
      </c>
      <c r="J110" s="276">
        <f>Jan!I110+Feb!I110+Mar!I110+Apr!I110+May!I110</f>
        <v>5.0399999999999991</v>
      </c>
      <c r="K110" s="277"/>
      <c r="L110" s="304"/>
      <c r="M110" s="305"/>
      <c r="N110" s="305"/>
    </row>
    <row r="111" spans="1:15">
      <c r="I111" s="275"/>
      <c r="J111" s="276"/>
      <c r="K111" s="277"/>
      <c r="L111" s="304"/>
      <c r="M111" s="305"/>
      <c r="N111" s="305"/>
    </row>
    <row r="112" spans="1:15">
      <c r="A112" s="265" t="s">
        <v>407</v>
      </c>
      <c r="B112" s="265">
        <f>G113+G114</f>
        <v>58.26</v>
      </c>
      <c r="C112" s="265">
        <f>H113</f>
        <v>20</v>
      </c>
      <c r="D112" s="265">
        <f>C112-B112</f>
        <v>-38.26</v>
      </c>
      <c r="I112" s="275"/>
      <c r="J112" s="276"/>
      <c r="K112" s="277"/>
      <c r="L112" s="304"/>
      <c r="M112" s="305"/>
      <c r="N112" s="305"/>
    </row>
    <row r="113" spans="1:15">
      <c r="B113" s="267" t="s">
        <v>408</v>
      </c>
      <c r="G113" s="267">
        <f t="shared" si="3"/>
        <v>58.26</v>
      </c>
      <c r="H113" s="267">
        <v>20</v>
      </c>
      <c r="I113" s="275">
        <f t="shared" si="4"/>
        <v>-38.26</v>
      </c>
      <c r="J113" s="276">
        <f>Jan!I113+Feb!I113+Mar!I113+Apr!I113+May!I113</f>
        <v>22.880000000000003</v>
      </c>
      <c r="K113" s="277"/>
      <c r="L113" s="304"/>
      <c r="M113" s="305">
        <v>58.26</v>
      </c>
      <c r="N113" s="305"/>
      <c r="O113" s="267" t="s">
        <v>688</v>
      </c>
    </row>
    <row r="114" spans="1:15">
      <c r="I114" s="275"/>
      <c r="J114" s="276"/>
      <c r="K114" s="277"/>
      <c r="L114" s="304"/>
      <c r="M114" s="305"/>
      <c r="N114" s="305"/>
    </row>
    <row r="115" spans="1:15">
      <c r="I115" s="275"/>
      <c r="J115" s="276"/>
      <c r="K115" s="277"/>
      <c r="L115" s="304"/>
      <c r="M115" s="305"/>
      <c r="N115" s="305"/>
    </row>
    <row r="116" spans="1:15">
      <c r="A116" s="265" t="s">
        <v>130</v>
      </c>
      <c r="B116" s="265">
        <f>G117</f>
        <v>495.65</v>
      </c>
      <c r="C116" s="265">
        <f>H117</f>
        <v>10</v>
      </c>
      <c r="D116" s="265">
        <f>I117</f>
        <v>-485.65</v>
      </c>
      <c r="I116" s="275"/>
      <c r="J116" s="276"/>
      <c r="K116" s="277"/>
      <c r="L116" s="304"/>
      <c r="M116" s="305"/>
      <c r="N116" s="305"/>
    </row>
    <row r="117" spans="1:15">
      <c r="B117" s="267" t="s">
        <v>455</v>
      </c>
      <c r="G117" s="267">
        <f t="shared" si="3"/>
        <v>495.65</v>
      </c>
      <c r="H117" s="267">
        <v>10</v>
      </c>
      <c r="I117" s="275">
        <f t="shared" si="4"/>
        <v>-485.65</v>
      </c>
      <c r="J117" s="276">
        <f>Jan!I117+Feb!I117+Mar!I117+Apr!I117+May!I117</f>
        <v>-936.16</v>
      </c>
      <c r="K117" s="277"/>
      <c r="L117" s="304"/>
      <c r="M117" s="305">
        <f>12.33+447.77+24</f>
        <v>484.09999999999997</v>
      </c>
      <c r="N117" s="305">
        <v>11.55</v>
      </c>
      <c r="O117" s="267" t="s">
        <v>759</v>
      </c>
    </row>
    <row r="118" spans="1:15">
      <c r="I118" s="275"/>
      <c r="J118" s="276"/>
      <c r="K118" s="277"/>
      <c r="L118" s="304"/>
      <c r="M118" s="305"/>
      <c r="N118" s="305"/>
    </row>
    <row r="119" spans="1:15">
      <c r="A119" s="265" t="s">
        <v>406</v>
      </c>
      <c r="B119" s="265">
        <f>SUM(G120:G121)</f>
        <v>114.11000000000001</v>
      </c>
      <c r="C119" s="265">
        <f>SUM(H120:H121)</f>
        <v>65</v>
      </c>
      <c r="D119" s="265">
        <f>C119-B119</f>
        <v>-49.110000000000014</v>
      </c>
      <c r="I119" s="275"/>
      <c r="J119" s="276"/>
      <c r="K119" s="277"/>
      <c r="L119" s="304"/>
      <c r="M119" s="305"/>
      <c r="N119" s="305"/>
    </row>
    <row r="120" spans="1:15">
      <c r="B120" s="267" t="s">
        <v>400</v>
      </c>
      <c r="G120" s="267">
        <f t="shared" si="3"/>
        <v>114.11000000000001</v>
      </c>
      <c r="H120" s="267">
        <v>60</v>
      </c>
      <c r="I120" s="275">
        <f t="shared" si="4"/>
        <v>-54.110000000000014</v>
      </c>
      <c r="J120" s="276">
        <f>Jan!I120+Feb!I120+Mar!I120+Apr!I120+May!I120</f>
        <v>-432.96000000000004</v>
      </c>
      <c r="K120" s="277"/>
      <c r="L120" s="304"/>
      <c r="M120" s="304">
        <f>8.03+42+42.27</f>
        <v>92.300000000000011</v>
      </c>
      <c r="N120" s="304">
        <v>21.81</v>
      </c>
    </row>
    <row r="121" spans="1:15">
      <c r="B121" s="267" t="s">
        <v>403</v>
      </c>
      <c r="G121" s="267">
        <f t="shared" si="3"/>
        <v>0</v>
      </c>
      <c r="H121" s="267">
        <v>5</v>
      </c>
      <c r="I121" s="275">
        <f t="shared" si="4"/>
        <v>5</v>
      </c>
      <c r="J121" s="276">
        <f>Jan!I121+Feb!I121+Mar!I121+Apr!I121+May!I121</f>
        <v>-26.5</v>
      </c>
      <c r="K121" s="277"/>
      <c r="L121" s="304"/>
      <c r="M121" s="304"/>
      <c r="N121" s="304"/>
    </row>
    <row r="122" spans="1:15">
      <c r="I122" s="275"/>
      <c r="J122" s="276"/>
      <c r="K122" s="277"/>
      <c r="L122" s="304"/>
      <c r="M122" s="304"/>
      <c r="N122" s="304"/>
    </row>
    <row r="123" spans="1:15">
      <c r="A123" s="265" t="s">
        <v>132</v>
      </c>
      <c r="B123" s="265">
        <f>G124</f>
        <v>18.399999999999999</v>
      </c>
      <c r="C123" s="265">
        <f>H124</f>
        <v>10</v>
      </c>
      <c r="D123" s="265">
        <f>C123-B123</f>
        <v>-8.3999999999999986</v>
      </c>
      <c r="I123" s="275"/>
      <c r="J123" s="276"/>
      <c r="K123" s="277"/>
      <c r="L123" s="304"/>
      <c r="M123" s="304"/>
      <c r="N123" s="304"/>
    </row>
    <row r="124" spans="1:15">
      <c r="B124" s="267" t="s">
        <v>133</v>
      </c>
      <c r="G124" s="267">
        <f>SUM(L124:N124)</f>
        <v>18.399999999999999</v>
      </c>
      <c r="H124" s="267">
        <v>10</v>
      </c>
      <c r="I124" s="275">
        <f>H124-G124</f>
        <v>-8.3999999999999986</v>
      </c>
      <c r="J124" s="276">
        <f>Jan!I124+Feb!I124+Mar!I124+Apr!I124+May!I124</f>
        <v>4.3800000000000026</v>
      </c>
      <c r="K124" s="277"/>
      <c r="L124" s="304"/>
      <c r="M124" s="304"/>
      <c r="N124" s="304">
        <v>18.399999999999999</v>
      </c>
      <c r="O124" s="267" t="s">
        <v>733</v>
      </c>
    </row>
    <row r="125" spans="1:15">
      <c r="I125" s="275"/>
      <c r="J125" s="276"/>
      <c r="K125" s="277"/>
      <c r="L125" s="304"/>
      <c r="M125" s="304"/>
      <c r="N125" s="304"/>
    </row>
    <row r="126" spans="1:15">
      <c r="A126" s="265" t="s">
        <v>404</v>
      </c>
      <c r="B126" s="265">
        <f>SUM(G127:G128)</f>
        <v>69.98</v>
      </c>
      <c r="C126" s="265">
        <f>SUM(H127:H128)</f>
        <v>35</v>
      </c>
      <c r="D126" s="265">
        <f>C126-B126</f>
        <v>-34.980000000000004</v>
      </c>
      <c r="I126" s="275"/>
      <c r="J126" s="276"/>
      <c r="K126" s="277"/>
      <c r="L126" s="304"/>
      <c r="M126" s="304"/>
      <c r="N126" s="304"/>
    </row>
    <row r="127" spans="1:15">
      <c r="B127" s="306" t="s">
        <v>128</v>
      </c>
      <c r="C127" s="306"/>
      <c r="D127" s="306"/>
      <c r="E127" s="306"/>
      <c r="F127" s="306"/>
      <c r="G127" s="267">
        <f>SUM(L127:N127)</f>
        <v>0</v>
      </c>
      <c r="H127" s="267">
        <v>20</v>
      </c>
      <c r="I127" s="275">
        <f>H127-G127</f>
        <v>20</v>
      </c>
      <c r="J127" s="276">
        <f>Jan!I127+Feb!I127+Mar!I127+Apr!I127+May!I127</f>
        <v>-2.8500000000000014</v>
      </c>
      <c r="K127" s="277"/>
      <c r="L127" s="304"/>
      <c r="M127" s="304"/>
      <c r="N127" s="304"/>
    </row>
    <row r="128" spans="1:15">
      <c r="B128" s="306" t="s">
        <v>129</v>
      </c>
      <c r="C128" s="306"/>
      <c r="D128" s="306" t="s">
        <v>405</v>
      </c>
      <c r="E128" s="306"/>
      <c r="F128" s="306"/>
      <c r="G128" s="267">
        <f>SUM(L128:N128)</f>
        <v>69.98</v>
      </c>
      <c r="H128" s="267">
        <v>15</v>
      </c>
      <c r="I128" s="275">
        <f>H128-G128</f>
        <v>-54.980000000000004</v>
      </c>
      <c r="J128" s="276">
        <f>Jan!I128+Feb!I128+Mar!I128+Apr!I128+May!I128</f>
        <v>-5.9400000000000048</v>
      </c>
      <c r="K128" s="277"/>
      <c r="L128" s="304"/>
      <c r="M128" s="304"/>
      <c r="N128" s="304">
        <v>69.98</v>
      </c>
      <c r="O128" s="267" t="s">
        <v>754</v>
      </c>
    </row>
    <row r="129" spans="1:14">
      <c r="I129" s="275"/>
      <c r="J129" s="276"/>
      <c r="K129" s="277"/>
      <c r="L129" s="304"/>
      <c r="M129" s="304"/>
      <c r="N129" s="304"/>
    </row>
    <row r="130" spans="1:14" ht="15" thickBot="1">
      <c r="I130" s="275"/>
      <c r="J130" s="276"/>
      <c r="K130" s="277"/>
      <c r="L130" s="304"/>
      <c r="M130" s="304"/>
      <c r="N130" s="304"/>
    </row>
    <row r="131" spans="1:14" ht="15" thickBot="1">
      <c r="A131" s="265" t="s">
        <v>436</v>
      </c>
      <c r="B131" s="267">
        <f>SUM(G133:G140)</f>
        <v>0</v>
      </c>
      <c r="C131" s="267">
        <f>SUM(H133:H140)</f>
        <v>450</v>
      </c>
      <c r="D131" s="267">
        <f>C131-B131</f>
        <v>450</v>
      </c>
      <c r="E131" s="308"/>
      <c r="I131" s="275"/>
      <c r="J131" s="276">
        <f>Jan!I131+Feb!I131+Mar!I131+Apr!I131+May!I131</f>
        <v>0</v>
      </c>
      <c r="K131" s="277"/>
      <c r="L131" s="304"/>
      <c r="M131" s="304"/>
      <c r="N131" s="304"/>
    </row>
    <row r="132" spans="1:14">
      <c r="A132" s="265" t="s">
        <v>437</v>
      </c>
      <c r="I132" s="275"/>
      <c r="J132" s="276"/>
      <c r="K132" s="277"/>
      <c r="L132" s="304"/>
      <c r="M132" s="304"/>
      <c r="N132" s="304"/>
    </row>
    <row r="133" spans="1:14">
      <c r="A133" s="265" t="s">
        <v>418</v>
      </c>
      <c r="B133" s="267" t="s">
        <v>445</v>
      </c>
      <c r="G133" s="267">
        <f t="shared" ref="G133:G140" si="5">SUM(L133:N133)</f>
        <v>0</v>
      </c>
      <c r="H133" s="267">
        <v>100</v>
      </c>
      <c r="I133" s="275">
        <f t="shared" ref="I133:I140" si="6">H133-G133</f>
        <v>100</v>
      </c>
      <c r="J133" s="276">
        <f>Jan!I133+Feb!I133+Mar!I133+Apr!I133+May!I133</f>
        <v>500</v>
      </c>
      <c r="K133" s="277"/>
      <c r="L133" s="304"/>
      <c r="M133" s="304"/>
      <c r="N133" s="304"/>
    </row>
    <row r="134" spans="1:14">
      <c r="A134" s="265" t="s">
        <v>516</v>
      </c>
      <c r="I134" s="275"/>
      <c r="J134" s="276"/>
      <c r="K134" s="277"/>
      <c r="L134" s="304"/>
      <c r="M134" s="304"/>
      <c r="N134" s="304"/>
    </row>
    <row r="135" spans="1:14">
      <c r="B135" s="267" t="s">
        <v>401</v>
      </c>
      <c r="G135" s="267">
        <f t="shared" si="5"/>
        <v>0</v>
      </c>
      <c r="H135" s="267">
        <v>100</v>
      </c>
      <c r="I135" s="275">
        <f t="shared" si="6"/>
        <v>100</v>
      </c>
      <c r="J135" s="276">
        <f>Jan!I135+Feb!I135+Mar!I135+Apr!I135+May!I135</f>
        <v>500</v>
      </c>
      <c r="K135" s="277"/>
      <c r="L135" s="304"/>
      <c r="M135" s="304"/>
      <c r="N135" s="304"/>
    </row>
    <row r="136" spans="1:14">
      <c r="B136" s="267" t="s">
        <v>402</v>
      </c>
      <c r="G136" s="267">
        <f t="shared" si="5"/>
        <v>0</v>
      </c>
      <c r="H136" s="267">
        <v>100</v>
      </c>
      <c r="I136" s="275">
        <f t="shared" si="6"/>
        <v>100</v>
      </c>
      <c r="J136" s="276">
        <f>Jan!I136+Feb!I136+Mar!I136+Apr!I136+May!I136</f>
        <v>500</v>
      </c>
      <c r="K136" s="277"/>
      <c r="L136" s="304"/>
      <c r="M136" s="304"/>
      <c r="N136" s="304"/>
    </row>
    <row r="137" spans="1:14">
      <c r="B137" s="267" t="s">
        <v>126</v>
      </c>
      <c r="G137" s="267">
        <f t="shared" si="5"/>
        <v>0</v>
      </c>
      <c r="H137" s="267">
        <v>30</v>
      </c>
      <c r="I137" s="275">
        <f t="shared" si="6"/>
        <v>30</v>
      </c>
      <c r="J137" s="276">
        <f>Jan!I137+Feb!I137+Mar!I137+Apr!I137+May!I137</f>
        <v>150</v>
      </c>
      <c r="K137" s="277"/>
      <c r="L137" s="304"/>
      <c r="M137" s="304"/>
      <c r="N137" s="304"/>
    </row>
    <row r="138" spans="1:14">
      <c r="B138" s="267" t="s">
        <v>127</v>
      </c>
      <c r="G138" s="267">
        <f t="shared" si="5"/>
        <v>0</v>
      </c>
      <c r="H138" s="267">
        <v>50</v>
      </c>
      <c r="I138" s="275">
        <f t="shared" si="6"/>
        <v>50</v>
      </c>
      <c r="J138" s="276">
        <f>Jan!I138+Feb!I138+Mar!I138+Apr!I138+May!I138</f>
        <v>250</v>
      </c>
      <c r="K138" s="277"/>
      <c r="L138" s="304"/>
      <c r="M138" s="304"/>
      <c r="N138" s="304"/>
    </row>
    <row r="139" spans="1:14">
      <c r="I139" s="275"/>
      <c r="J139" s="276"/>
      <c r="L139" s="304"/>
      <c r="M139" s="304"/>
      <c r="N139" s="304"/>
    </row>
    <row r="140" spans="1:14">
      <c r="A140" s="265" t="s">
        <v>431</v>
      </c>
      <c r="G140" s="267">
        <f t="shared" si="5"/>
        <v>0</v>
      </c>
      <c r="H140" s="267">
        <v>70</v>
      </c>
      <c r="I140" s="275">
        <f t="shared" si="6"/>
        <v>70</v>
      </c>
      <c r="J140" s="276">
        <f>Jan!I140+Feb!I140+Mar!I140+Apr!I140+May!I140</f>
        <v>350</v>
      </c>
      <c r="L140" s="304"/>
      <c r="M140" s="304"/>
      <c r="N140" s="304"/>
    </row>
    <row r="141" spans="1:14">
      <c r="J141" s="309"/>
    </row>
    <row r="142" spans="1:14">
      <c r="J142" s="309"/>
    </row>
    <row r="143" spans="1:14">
      <c r="J143" s="309"/>
    </row>
    <row r="144" spans="1:14">
      <c r="J144" s="309"/>
    </row>
    <row r="145" spans="10:10">
      <c r="J145" s="309"/>
    </row>
    <row r="146" spans="10:10">
      <c r="J146" s="309"/>
    </row>
    <row r="147" spans="10:10">
      <c r="J147" s="309"/>
    </row>
    <row r="148" spans="10:10">
      <c r="J148" s="309"/>
    </row>
    <row r="149" spans="10:10">
      <c r="J149" s="309"/>
    </row>
    <row r="150" spans="10:10">
      <c r="J150" s="309"/>
    </row>
  </sheetData>
  <sheetProtection selectLockedCells="1" selectUnlockedCells="1"/>
  <pageMargins left="0.75" right="0.75" top="1" bottom="1" header="0.51180555555555551" footer="0.51180555555555551"/>
  <pageSetup firstPageNumber="0"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0"/>
  <sheetViews>
    <sheetView topLeftCell="A30" zoomScale="84" zoomScaleNormal="84" workbookViewId="0">
      <selection activeCell="E46" sqref="E46"/>
    </sheetView>
  </sheetViews>
  <sheetFormatPr defaultColWidth="9" defaultRowHeight="15.75"/>
  <cols>
    <col min="1" max="1" width="24.42578125" style="165" customWidth="1"/>
    <col min="2" max="2" width="18" style="156" customWidth="1"/>
    <col min="3" max="3" width="17.140625" style="156" customWidth="1"/>
    <col min="4" max="5" width="16.5703125" style="156" customWidth="1"/>
    <col min="6" max="6" width="15.28515625" style="156" customWidth="1"/>
    <col min="7" max="7" width="13.5703125" style="156" customWidth="1"/>
    <col min="8" max="8" width="13.85546875" style="156" customWidth="1"/>
    <col min="9" max="10" width="14" style="156" customWidth="1"/>
    <col min="11" max="11" width="2.28515625" style="172" customWidth="1"/>
    <col min="12" max="12" width="11.5703125" style="156" customWidth="1"/>
    <col min="13" max="13" width="11.85546875" style="156" customWidth="1"/>
    <col min="14" max="15" width="11.5703125" style="156" customWidth="1"/>
    <col min="16" max="16" width="1.7109375" style="156" customWidth="1"/>
    <col min="17" max="17" width="11.7109375" style="156" customWidth="1"/>
    <col min="18" max="18" width="11.5703125" style="156" customWidth="1"/>
    <col min="19" max="16384" width="9" style="156"/>
  </cols>
  <sheetData>
    <row r="1" spans="1:17">
      <c r="A1" s="162" t="s">
        <v>277</v>
      </c>
      <c r="B1" s="163">
        <v>2013</v>
      </c>
      <c r="C1" s="163"/>
      <c r="L1" s="156" t="s">
        <v>519</v>
      </c>
    </row>
    <row r="2" spans="1:17">
      <c r="A2" s="162" t="s">
        <v>264</v>
      </c>
      <c r="B2" s="164" t="s">
        <v>12</v>
      </c>
      <c r="C2" s="164"/>
      <c r="L2" s="156" t="s">
        <v>764</v>
      </c>
      <c r="Q2" s="156">
        <f>B119</f>
        <v>677.25</v>
      </c>
    </row>
    <row r="3" spans="1:17">
      <c r="L3" s="156" t="s">
        <v>831</v>
      </c>
      <c r="O3" s="166"/>
    </row>
    <row r="4" spans="1:17">
      <c r="A4" s="162" t="s">
        <v>4</v>
      </c>
      <c r="B4" s="167">
        <f>SUM(G5:G9)</f>
        <v>12306.91</v>
      </c>
      <c r="C4" s="167"/>
      <c r="G4" s="156" t="s">
        <v>71</v>
      </c>
      <c r="L4" s="168"/>
      <c r="O4" s="166"/>
    </row>
    <row r="5" spans="1:17">
      <c r="B5" s="156" t="s">
        <v>27</v>
      </c>
      <c r="C5" s="156">
        <v>3336.93</v>
      </c>
      <c r="D5" s="166">
        <v>3336.94</v>
      </c>
      <c r="F5" s="156">
        <v>0</v>
      </c>
      <c r="G5" s="168">
        <f>SUM(C5:F5)</f>
        <v>6673.87</v>
      </c>
      <c r="H5" s="168"/>
      <c r="I5" s="168"/>
      <c r="J5" s="168"/>
      <c r="K5" s="173"/>
      <c r="L5" s="168"/>
      <c r="O5" s="166"/>
    </row>
    <row r="6" spans="1:17">
      <c r="B6" s="156" t="s">
        <v>29</v>
      </c>
      <c r="D6" s="166"/>
      <c r="G6" s="168">
        <f>SUM(C6:F6)</f>
        <v>0</v>
      </c>
      <c r="H6" s="168"/>
      <c r="I6" s="168"/>
      <c r="J6" s="168"/>
      <c r="K6" s="173"/>
      <c r="L6" s="168"/>
      <c r="O6" s="166"/>
    </row>
    <row r="7" spans="1:17">
      <c r="B7" s="156" t="s">
        <v>327</v>
      </c>
      <c r="C7" s="156">
        <v>1877.68</v>
      </c>
      <c r="D7" s="156">
        <v>1877.68</v>
      </c>
      <c r="E7" s="156">
        <v>1877.68</v>
      </c>
      <c r="G7" s="168">
        <f>SUM(C7:F7)</f>
        <v>5633.04</v>
      </c>
      <c r="H7" s="168"/>
      <c r="I7" s="168"/>
      <c r="J7" s="168"/>
      <c r="K7" s="173"/>
      <c r="L7" s="168"/>
      <c r="O7" s="166"/>
    </row>
    <row r="8" spans="1:17">
      <c r="B8" s="156" t="s">
        <v>30</v>
      </c>
      <c r="D8" s="156">
        <v>0</v>
      </c>
      <c r="G8" s="168">
        <f>SUM(C8:F8)</f>
        <v>0</v>
      </c>
      <c r="H8" s="168"/>
      <c r="I8" s="168"/>
      <c r="J8" s="168"/>
      <c r="K8" s="173"/>
      <c r="L8" s="168" t="s">
        <v>520</v>
      </c>
      <c r="P8" s="166"/>
    </row>
    <row r="9" spans="1:17">
      <c r="L9" s="156" t="s">
        <v>765</v>
      </c>
    </row>
    <row r="10" spans="1:17" s="131" customFormat="1" ht="13.5">
      <c r="A10" s="149"/>
      <c r="B10" s="153"/>
      <c r="G10" s="140"/>
      <c r="I10" s="152" t="s">
        <v>80</v>
      </c>
      <c r="J10" s="187" t="s">
        <v>439</v>
      </c>
      <c r="K10" s="174"/>
    </row>
    <row r="11" spans="1:17" s="131" customFormat="1" ht="13.5">
      <c r="A11" s="149"/>
      <c r="B11" s="153"/>
      <c r="G11" s="140" t="s">
        <v>331</v>
      </c>
      <c r="H11" s="131" t="s">
        <v>84</v>
      </c>
      <c r="I11" s="154" t="s">
        <v>83</v>
      </c>
      <c r="J11" s="188" t="s">
        <v>83</v>
      </c>
      <c r="K11" s="175"/>
    </row>
    <row r="12" spans="1:17" s="131" customFormat="1" ht="13.5">
      <c r="A12" s="149" t="s">
        <v>422</v>
      </c>
      <c r="B12" s="153"/>
      <c r="D12" s="131" t="s">
        <v>426</v>
      </c>
      <c r="E12" s="131">
        <f>G12/B4</f>
        <v>6.0941373586058563E-2</v>
      </c>
      <c r="G12" s="132">
        <f>Tithe!D11</f>
        <v>750</v>
      </c>
      <c r="H12" s="131">
        <v>800</v>
      </c>
      <c r="I12" s="155">
        <f>H12-G12</f>
        <v>50</v>
      </c>
      <c r="J12" s="189">
        <f>Jan!I12+Feb!I12+Mar!I12+Apr!I12+May!I12+Jun!I12</f>
        <v>1060</v>
      </c>
      <c r="K12" s="176"/>
    </row>
    <row r="13" spans="1:17" s="131" customFormat="1" ht="13.5">
      <c r="A13" s="149"/>
      <c r="B13" s="153"/>
      <c r="G13" s="140"/>
      <c r="I13" s="155"/>
      <c r="J13" s="189"/>
      <c r="K13" s="176"/>
    </row>
    <row r="14" spans="1:17" s="131" customFormat="1" ht="13.5">
      <c r="A14" s="149" t="s">
        <v>427</v>
      </c>
      <c r="B14" s="153"/>
      <c r="G14" s="140"/>
      <c r="I14" s="155"/>
      <c r="J14" s="189"/>
      <c r="K14" s="176"/>
    </row>
    <row r="15" spans="1:17" s="131" customFormat="1" ht="13.5">
      <c r="B15" s="149" t="s">
        <v>329</v>
      </c>
      <c r="G15" s="132">
        <v>750</v>
      </c>
      <c r="H15" s="131">
        <v>750</v>
      </c>
      <c r="I15" s="155">
        <f t="shared" ref="I15:I26" si="0">H15-G15</f>
        <v>0</v>
      </c>
      <c r="J15" s="189">
        <f>Jan!I15+Feb!I15+Mar!I15+Apr!I15+May!I15+Jun!I15</f>
        <v>0</v>
      </c>
      <c r="K15" s="176"/>
    </row>
    <row r="16" spans="1:17" s="131" customFormat="1" ht="13.5">
      <c r="B16" s="149" t="s">
        <v>395</v>
      </c>
      <c r="G16" s="132">
        <v>200</v>
      </c>
      <c r="H16" s="131">
        <v>200</v>
      </c>
      <c r="I16" s="155">
        <f t="shared" si="0"/>
        <v>0</v>
      </c>
      <c r="J16" s="189">
        <f>Jan!I16+Feb!I16+Mar!I16+Apr!I16+May!I16+Jun!I16</f>
        <v>0</v>
      </c>
      <c r="K16" s="176"/>
    </row>
    <row r="17" spans="1:12" s="131" customFormat="1" ht="13.5">
      <c r="B17" s="149" t="s">
        <v>460</v>
      </c>
      <c r="G17" s="132">
        <v>300</v>
      </c>
      <c r="H17" s="131">
        <v>300</v>
      </c>
      <c r="I17" s="155">
        <f t="shared" si="0"/>
        <v>0</v>
      </c>
      <c r="J17" s="189">
        <f>Jan!I17+Feb!I17+Mar!I17+Apr!I17+May!I17+Jun!I17</f>
        <v>0</v>
      </c>
      <c r="K17" s="176"/>
    </row>
    <row r="18" spans="1:12" s="131" customFormat="1" ht="15.95" customHeight="1">
      <c r="B18" s="149" t="s">
        <v>396</v>
      </c>
      <c r="G18" s="132">
        <v>200</v>
      </c>
      <c r="H18" s="131">
        <v>200</v>
      </c>
      <c r="I18" s="155">
        <f t="shared" si="0"/>
        <v>0</v>
      </c>
      <c r="J18" s="189">
        <f>Jan!I18+Feb!I18+Mar!I18+Apr!I18+May!I18+Jun!I18</f>
        <v>0</v>
      </c>
      <c r="K18" s="176"/>
    </row>
    <row r="19" spans="1:12" s="131" customFormat="1" ht="15.95" customHeight="1">
      <c r="B19" s="149" t="s">
        <v>461</v>
      </c>
      <c r="G19" s="132">
        <v>300</v>
      </c>
      <c r="H19" s="131">
        <v>300</v>
      </c>
      <c r="I19" s="155">
        <f t="shared" si="0"/>
        <v>0</v>
      </c>
      <c r="J19" s="189">
        <f>Jan!I19+Feb!I19+Mar!I19+Apr!I19+May!I19+Jun!I19</f>
        <v>0</v>
      </c>
      <c r="K19" s="176"/>
    </row>
    <row r="20" spans="1:12" s="131" customFormat="1" ht="15.95" customHeight="1">
      <c r="B20" s="149" t="s">
        <v>397</v>
      </c>
      <c r="G20" s="132">
        <v>50</v>
      </c>
      <c r="H20" s="131">
        <v>50</v>
      </c>
      <c r="I20" s="155">
        <f t="shared" si="0"/>
        <v>0</v>
      </c>
      <c r="J20" s="189">
        <f>Jan!I20+Feb!I20+Mar!I20+Apr!I20+May!I20+Jun!I20</f>
        <v>0</v>
      </c>
      <c r="K20" s="176"/>
    </row>
    <row r="21" spans="1:12" s="131" customFormat="1" ht="15.95" customHeight="1">
      <c r="A21" s="149"/>
      <c r="B21" s="153"/>
      <c r="G21" s="140"/>
      <c r="I21" s="155"/>
      <c r="J21" s="189"/>
      <c r="K21" s="176"/>
    </row>
    <row r="22" spans="1:12" s="131" customFormat="1" ht="15.95" customHeight="1">
      <c r="A22" s="149" t="s">
        <v>428</v>
      </c>
      <c r="B22" s="149" t="s">
        <v>594</v>
      </c>
      <c r="G22" s="140">
        <v>500</v>
      </c>
      <c r="H22" s="131">
        <v>500</v>
      </c>
      <c r="I22" s="155">
        <f t="shared" si="0"/>
        <v>0</v>
      </c>
      <c r="J22" s="189">
        <f>Jan!I22+Feb!I22+Mar!I22+Apr!I22+May!I22+Jun!I22</f>
        <v>0</v>
      </c>
      <c r="K22" s="176"/>
    </row>
    <row r="23" spans="1:12" s="131" customFormat="1" ht="15.95" customHeight="1">
      <c r="A23" s="149"/>
      <c r="B23" s="153" t="s">
        <v>595</v>
      </c>
      <c r="G23" s="140"/>
      <c r="I23" s="155"/>
      <c r="J23" s="189"/>
      <c r="K23" s="176"/>
    </row>
    <row r="24" spans="1:12" s="131" customFormat="1" ht="15.95" customHeight="1">
      <c r="A24" s="149" t="s">
        <v>429</v>
      </c>
      <c r="B24" s="153"/>
      <c r="G24" s="140"/>
      <c r="I24" s="155"/>
      <c r="J24" s="189"/>
      <c r="K24" s="176"/>
    </row>
    <row r="25" spans="1:12" s="131" customFormat="1" ht="15.95" customHeight="1">
      <c r="B25" s="149" t="s">
        <v>363</v>
      </c>
      <c r="G25" s="140"/>
      <c r="H25" s="131">
        <v>1500</v>
      </c>
      <c r="I25" s="155">
        <f t="shared" si="0"/>
        <v>1500</v>
      </c>
      <c r="J25" s="189">
        <f>Jan!I25+Feb!I25+Mar!I25+Apr!I25+May!I25+Jun!I25</f>
        <v>7500</v>
      </c>
      <c r="K25" s="176"/>
    </row>
    <row r="26" spans="1:12" s="131" customFormat="1" ht="12.75" customHeight="1">
      <c r="B26" s="149" t="s">
        <v>399</v>
      </c>
      <c r="H26" s="131">
        <v>500</v>
      </c>
      <c r="I26" s="155">
        <f t="shared" si="0"/>
        <v>500</v>
      </c>
      <c r="J26" s="192">
        <f>Jan!I26+Feb!I26+Mar!I26+Apr!I26+May!I26+Jun!I26</f>
        <v>3000</v>
      </c>
      <c r="K26" s="176"/>
    </row>
    <row r="27" spans="1:12" s="131" customFormat="1" ht="12.75" customHeight="1">
      <c r="A27" s="149"/>
      <c r="G27" s="157"/>
      <c r="H27" s="157"/>
      <c r="I27" s="159"/>
      <c r="J27" s="171"/>
      <c r="K27" s="171"/>
    </row>
    <row r="28" spans="1:12" s="131" customFormat="1" ht="12.75" customHeight="1" thickBot="1">
      <c r="A28" s="149"/>
      <c r="B28" s="149"/>
      <c r="G28" s="158">
        <f>SUM(G12:G26)</f>
        <v>3050</v>
      </c>
      <c r="H28" s="158">
        <f>SUM(H12:H26)</f>
        <v>5100</v>
      </c>
      <c r="I28" s="158">
        <f>SUM(I12:I26)</f>
        <v>2050</v>
      </c>
      <c r="J28" s="158">
        <f>SUM(J12:J26)</f>
        <v>11560</v>
      </c>
      <c r="K28" s="177"/>
    </row>
    <row r="29" spans="1:12" s="131" customFormat="1" ht="12.75" customHeight="1" thickTop="1">
      <c r="A29" s="149"/>
      <c r="B29" s="149"/>
      <c r="G29" s="142"/>
      <c r="H29" s="142"/>
      <c r="I29" s="142"/>
      <c r="J29" s="142"/>
      <c r="K29" s="177"/>
    </row>
    <row r="30" spans="1:12" s="131" customFormat="1" ht="12.75" customHeight="1" thickBot="1">
      <c r="A30" s="149"/>
      <c r="B30" s="149"/>
      <c r="G30" s="142"/>
      <c r="H30" s="142"/>
      <c r="I30" s="142"/>
      <c r="J30" s="142"/>
      <c r="K30" s="177"/>
    </row>
    <row r="31" spans="1:12" s="131" customFormat="1" ht="12.75" customHeight="1" thickBot="1">
      <c r="A31" s="149" t="s">
        <v>442</v>
      </c>
      <c r="B31" s="149"/>
      <c r="G31" s="185">
        <v>1008</v>
      </c>
      <c r="H31" s="142" t="s">
        <v>767</v>
      </c>
      <c r="I31" s="142"/>
      <c r="J31" s="142"/>
      <c r="K31" s="177"/>
      <c r="L31" s="142"/>
    </row>
    <row r="32" spans="1:12" s="131" customFormat="1" ht="12.75" customHeight="1" thickBot="1">
      <c r="A32" s="149"/>
      <c r="B32" s="149"/>
      <c r="G32" s="142"/>
      <c r="H32" s="142"/>
      <c r="I32" s="142"/>
      <c r="J32" s="142"/>
      <c r="K32" s="177"/>
      <c r="L32" s="142"/>
    </row>
    <row r="33" spans="1:14" s="131" customFormat="1" ht="12.75" customHeight="1" thickBot="1">
      <c r="A33" s="149" t="s">
        <v>425</v>
      </c>
      <c r="B33" s="149"/>
      <c r="G33" s="169">
        <f>B4-G28</f>
        <v>9256.91</v>
      </c>
      <c r="H33" s="142"/>
      <c r="I33" s="142"/>
      <c r="J33" s="142"/>
      <c r="K33" s="177"/>
      <c r="L33" s="142"/>
    </row>
    <row r="34" spans="1:14" s="131" customFormat="1" ht="12.75" customHeight="1">
      <c r="A34" s="149"/>
      <c r="B34" s="149"/>
      <c r="G34" s="170"/>
      <c r="H34" s="142"/>
      <c r="I34" s="142"/>
      <c r="J34" s="142"/>
      <c r="K34" s="177"/>
      <c r="L34" s="142"/>
    </row>
    <row r="35" spans="1:14" s="131" customFormat="1" ht="12.75" customHeight="1">
      <c r="A35" s="149" t="s">
        <v>432</v>
      </c>
      <c r="B35" s="149"/>
      <c r="G35" s="170">
        <f>E46</f>
        <v>5914.39</v>
      </c>
      <c r="H35" s="142"/>
      <c r="I35" s="142"/>
      <c r="J35" s="142"/>
      <c r="K35" s="177"/>
      <c r="L35" s="142"/>
    </row>
    <row r="36" spans="1:14" s="131" customFormat="1" ht="12.75" customHeight="1">
      <c r="A36" s="149"/>
      <c r="B36" s="149"/>
      <c r="G36" s="170"/>
      <c r="H36" s="142"/>
      <c r="I36" s="142"/>
      <c r="J36" s="142"/>
      <c r="K36" s="177"/>
      <c r="L36" s="142"/>
    </row>
    <row r="37" spans="1:14" s="131" customFormat="1" ht="13.5">
      <c r="A37" s="149" t="s">
        <v>433</v>
      </c>
      <c r="B37" s="149"/>
      <c r="G37" s="170">
        <f>B131</f>
        <v>0</v>
      </c>
      <c r="H37" s="142" t="s">
        <v>435</v>
      </c>
      <c r="I37" s="142"/>
      <c r="J37" s="142"/>
      <c r="K37" s="177"/>
      <c r="L37" s="142"/>
    </row>
    <row r="38" spans="1:14" s="131" customFormat="1" ht="14.25" thickBot="1">
      <c r="A38" s="149"/>
      <c r="B38" s="149"/>
      <c r="G38" s="170"/>
      <c r="H38" s="142"/>
      <c r="I38" s="142"/>
      <c r="J38" s="142"/>
      <c r="K38" s="177"/>
      <c r="L38" s="142"/>
    </row>
    <row r="39" spans="1:14" s="131" customFormat="1" ht="14.25" thickBot="1">
      <c r="A39" s="149" t="s">
        <v>430</v>
      </c>
      <c r="B39" s="149"/>
      <c r="G39" s="186">
        <f>G33-G35-G37+G31</f>
        <v>4350.5199999999995</v>
      </c>
      <c r="H39" s="142"/>
      <c r="I39" s="142"/>
      <c r="J39" s="142"/>
      <c r="K39" s="177"/>
      <c r="L39" s="142"/>
    </row>
    <row r="40" spans="1:14" s="131" customFormat="1" ht="13.5">
      <c r="A40" s="149"/>
      <c r="B40" s="149"/>
      <c r="G40" s="196"/>
      <c r="H40" s="142"/>
      <c r="I40" s="142"/>
      <c r="J40" s="142"/>
      <c r="K40" s="177"/>
      <c r="L40" s="142"/>
      <c r="M40" s="131">
        <v>2420.5</v>
      </c>
      <c r="N40" s="131">
        <v>550.89</v>
      </c>
    </row>
    <row r="41" spans="1:14" s="131" customFormat="1" ht="13.5">
      <c r="A41" s="197" t="s">
        <v>478</v>
      </c>
      <c r="B41" s="149"/>
      <c r="G41" s="196"/>
      <c r="H41" s="142"/>
      <c r="I41" s="142"/>
      <c r="J41" s="142"/>
      <c r="K41" s="177"/>
      <c r="L41" s="142"/>
    </row>
    <row r="42" spans="1:14" s="131" customFormat="1" ht="14.25">
      <c r="B42" s="197" t="s">
        <v>464</v>
      </c>
      <c r="C42" s="150">
        <f>H57+H58+H63+H64+H72+H73+H74+H81+H82+H83+H88+H91+H92+H93+H94+H95+H100+H104+H105+H106+H107+H108+H109+H110+H113+H117+H120+H121+H124</f>
        <v>1650</v>
      </c>
      <c r="D42" s="197" t="s">
        <v>465</v>
      </c>
      <c r="E42" s="150">
        <f>G57+G58+G63+G64+G72+G73+G74+G81+G82+G83+G88+G91+G92+G93+G94+G95+G100+G104+G105+G106+G107+G108+G109+G110+G113+G117+G120+G121+G124</f>
        <v>2524.6800000000003</v>
      </c>
      <c r="G42" s="196"/>
      <c r="H42" s="142"/>
      <c r="I42" s="142"/>
      <c r="J42" s="142"/>
      <c r="K42" s="177"/>
      <c r="L42" s="291"/>
      <c r="M42" s="267">
        <f>M46+M44-M43</f>
        <v>2420.5</v>
      </c>
      <c r="N42" s="267">
        <f>N46</f>
        <v>550.8900000000001</v>
      </c>
    </row>
    <row r="43" spans="1:14" s="131" customFormat="1" ht="14.25">
      <c r="A43" s="149"/>
      <c r="B43" s="149"/>
      <c r="I43" s="152"/>
      <c r="J43" s="187" t="s">
        <v>439</v>
      </c>
      <c r="K43" s="174"/>
      <c r="L43" s="267" t="s">
        <v>534</v>
      </c>
      <c r="M43" s="267"/>
      <c r="N43" s="267"/>
    </row>
    <row r="44" spans="1:14" s="131" customFormat="1" ht="14.25">
      <c r="A44" s="149"/>
      <c r="B44" s="149"/>
      <c r="G44" s="140"/>
      <c r="I44" s="152" t="s">
        <v>80</v>
      </c>
      <c r="J44" s="187" t="s">
        <v>440</v>
      </c>
      <c r="K44" s="174"/>
      <c r="L44" s="267" t="s">
        <v>515</v>
      </c>
      <c r="M44" s="267">
        <v>100</v>
      </c>
      <c r="N44" s="267"/>
    </row>
    <row r="45" spans="1:14" s="131" customFormat="1" ht="14.25" thickBot="1">
      <c r="B45" s="149"/>
      <c r="G45" s="140" t="s">
        <v>331</v>
      </c>
      <c r="H45" s="131" t="s">
        <v>84</v>
      </c>
      <c r="I45" s="154" t="s">
        <v>83</v>
      </c>
      <c r="J45" s="188" t="s">
        <v>441</v>
      </c>
      <c r="K45" s="175"/>
      <c r="L45" s="180" t="s">
        <v>332</v>
      </c>
      <c r="M45" s="181" t="s">
        <v>333</v>
      </c>
      <c r="N45" s="181" t="s">
        <v>334</v>
      </c>
    </row>
    <row r="46" spans="1:14" s="131" customFormat="1" ht="14.25" thickBot="1">
      <c r="A46" s="149" t="s">
        <v>434</v>
      </c>
      <c r="D46"/>
      <c r="E46" s="262">
        <f>B48+B56+B62+B66+B71+B80+B85+B90+B97+B103+B112+B116+B119+B123+B126</f>
        <v>5914.39</v>
      </c>
      <c r="G46" s="191">
        <f>SUM(G49:G140)</f>
        <v>5914.3899999999994</v>
      </c>
      <c r="H46" s="191">
        <f>SUM(H49:H140)</f>
        <v>6603.14</v>
      </c>
      <c r="I46" s="191">
        <f>H46-G46</f>
        <v>688.75000000000091</v>
      </c>
      <c r="J46" s="191">
        <f>SUM(J48:J128)</f>
        <v>-11286.440000000002</v>
      </c>
      <c r="K46" s="178"/>
      <c r="L46" s="182">
        <f>SUM(L49:L140)</f>
        <v>3043.0000000000005</v>
      </c>
      <c r="M46" s="182">
        <f>SUM(M49:M140)</f>
        <v>2320.5</v>
      </c>
      <c r="N46" s="244">
        <f>SUM(N49:N140)</f>
        <v>550.8900000000001</v>
      </c>
    </row>
    <row r="47" spans="1:14" s="131" customFormat="1" ht="13.5">
      <c r="A47" s="131" t="s">
        <v>421</v>
      </c>
      <c r="I47" s="152"/>
      <c r="J47" s="187"/>
      <c r="K47" s="174"/>
      <c r="L47" s="115"/>
      <c r="M47" s="116"/>
      <c r="N47" s="116"/>
    </row>
    <row r="48" spans="1:14" s="131" customFormat="1" ht="13.5">
      <c r="A48" s="149" t="s">
        <v>547</v>
      </c>
      <c r="B48" s="149">
        <f>SUM(G49:G54)</f>
        <v>2929.33</v>
      </c>
      <c r="C48" s="149">
        <f>SUM(H49:H54)</f>
        <v>3739.6400000000003</v>
      </c>
      <c r="D48" s="149">
        <f>SUM(I49:I54)</f>
        <v>810.31</v>
      </c>
      <c r="I48" s="152"/>
      <c r="J48" s="187"/>
      <c r="K48" s="174"/>
      <c r="L48" s="115"/>
      <c r="M48" s="116"/>
      <c r="N48" s="116"/>
    </row>
    <row r="49" spans="1:15" s="131" customFormat="1" ht="13.5">
      <c r="B49" s="131" t="s">
        <v>550</v>
      </c>
      <c r="G49" s="131">
        <f t="shared" ref="G49:G54" si="1">SUM(L49:N49)</f>
        <v>56.22</v>
      </c>
      <c r="H49" s="131">
        <v>0</v>
      </c>
      <c r="I49" s="152">
        <f t="shared" ref="I49:I54" si="2">H49-G49</f>
        <v>-56.22</v>
      </c>
      <c r="J49" s="187">
        <f>Jan!I49+Feb!I49+Mar!I49+Apr!I49+May!I49+Jun!I49</f>
        <v>-1717.26</v>
      </c>
      <c r="K49" s="174"/>
      <c r="L49" s="115">
        <f>31.22+25</f>
        <v>56.22</v>
      </c>
      <c r="M49" s="116"/>
      <c r="N49" s="116"/>
      <c r="O49" s="131" t="s">
        <v>783</v>
      </c>
    </row>
    <row r="50" spans="1:15" s="131" customFormat="1" ht="13.5">
      <c r="B50" s="131" t="s">
        <v>622</v>
      </c>
      <c r="G50" s="131">
        <f t="shared" si="1"/>
        <v>383.47</v>
      </c>
      <c r="H50" s="131">
        <v>1250</v>
      </c>
      <c r="I50" s="152">
        <f t="shared" si="2"/>
        <v>866.53</v>
      </c>
      <c r="J50" s="187">
        <f>Jan!I50+Feb!I50+Mar!I50+Apr!I50+May!I50+Jun!I50</f>
        <v>-7524.3900000000021</v>
      </c>
      <c r="K50" s="174"/>
      <c r="L50" s="115"/>
      <c r="M50" s="116">
        <f>219.75+128.62+19.48</f>
        <v>367.85</v>
      </c>
      <c r="N50" s="116">
        <v>15.62</v>
      </c>
      <c r="O50" s="131" t="s">
        <v>780</v>
      </c>
    </row>
    <row r="51" spans="1:15" s="131" customFormat="1" ht="13.5">
      <c r="B51" s="131" t="s">
        <v>624</v>
      </c>
      <c r="G51" s="131">
        <f t="shared" si="1"/>
        <v>540.45000000000005</v>
      </c>
      <c r="H51" s="131">
        <v>540.45000000000005</v>
      </c>
      <c r="I51" s="152">
        <f t="shared" si="2"/>
        <v>0</v>
      </c>
      <c r="J51" s="187">
        <f>Jan!I51+Feb!I51+Mar!I51+Apr!I51+May!I51+Jun!I51</f>
        <v>261.5</v>
      </c>
      <c r="K51" s="174"/>
      <c r="L51" s="115">
        <v>540.45000000000005</v>
      </c>
      <c r="M51" s="116"/>
      <c r="N51" s="116"/>
    </row>
    <row r="52" spans="1:15" s="131" customFormat="1" ht="13.5">
      <c r="B52" s="131" t="s">
        <v>551</v>
      </c>
      <c r="G52" s="131">
        <f t="shared" si="1"/>
        <v>1636.68</v>
      </c>
      <c r="H52" s="131">
        <v>1636.68</v>
      </c>
      <c r="I52" s="152">
        <f t="shared" si="2"/>
        <v>0</v>
      </c>
      <c r="J52" s="187">
        <f>Jan!I52+Feb!I52+Mar!I52+Apr!I52+May!I52+Jun!I52</f>
        <v>1636.68</v>
      </c>
      <c r="K52" s="174"/>
      <c r="L52" s="115">
        <v>1636.68</v>
      </c>
      <c r="M52" s="116"/>
      <c r="N52" s="116"/>
    </row>
    <row r="53" spans="1:15" s="131" customFormat="1" ht="13.5">
      <c r="B53" s="131" t="s">
        <v>720</v>
      </c>
      <c r="G53" s="131">
        <f t="shared" si="1"/>
        <v>312.51</v>
      </c>
      <c r="H53" s="131">
        <v>312.51</v>
      </c>
      <c r="I53" s="152">
        <f t="shared" si="2"/>
        <v>0</v>
      </c>
      <c r="J53" s="187">
        <f>Jan!I53+Feb!I53+Mar!I53+Apr!I53+May!I53+Jun!I53</f>
        <v>312.51</v>
      </c>
      <c r="K53" s="174"/>
      <c r="L53" s="115">
        <v>312.51</v>
      </c>
      <c r="M53" s="116"/>
      <c r="N53" s="116"/>
    </row>
    <row r="54" spans="1:15" s="131" customFormat="1" ht="13.5">
      <c r="B54" s="131" t="s">
        <v>625</v>
      </c>
      <c r="G54" s="131">
        <f t="shared" si="1"/>
        <v>0</v>
      </c>
      <c r="H54" s="131">
        <v>0</v>
      </c>
      <c r="I54" s="152">
        <f t="shared" si="2"/>
        <v>0</v>
      </c>
      <c r="J54" s="187">
        <f>Jan!I54+Feb!I54+Mar!I54+Apr!I54+May!I54+Jun!I54</f>
        <v>0</v>
      </c>
      <c r="K54" s="174"/>
      <c r="L54" s="115"/>
      <c r="M54" s="116"/>
      <c r="N54" s="116"/>
    </row>
    <row r="55" spans="1:15" s="131" customFormat="1" ht="13.5">
      <c r="I55" s="152"/>
      <c r="J55" s="187"/>
      <c r="K55" s="174"/>
      <c r="L55" s="115"/>
      <c r="M55" s="116"/>
      <c r="N55" s="116"/>
    </row>
    <row r="56" spans="1:15" s="131" customFormat="1" ht="13.5">
      <c r="A56" s="149" t="s">
        <v>85</v>
      </c>
      <c r="B56" s="149">
        <f>SUM(G57:G60)</f>
        <v>157.14999999999998</v>
      </c>
      <c r="C56" s="149">
        <f>SUM(H57:H60)</f>
        <v>355</v>
      </c>
      <c r="D56" s="149">
        <f>C56-B56</f>
        <v>197.85000000000002</v>
      </c>
      <c r="I56" s="152"/>
      <c r="J56" s="187"/>
      <c r="K56" s="174"/>
      <c r="L56" s="115"/>
      <c r="M56" s="116"/>
      <c r="N56" s="116"/>
    </row>
    <row r="57" spans="1:15" s="131" customFormat="1" ht="13.5">
      <c r="B57" s="131" t="s">
        <v>41</v>
      </c>
      <c r="C57" s="131" t="s">
        <v>42</v>
      </c>
      <c r="G57" s="131">
        <f>SUM(L57:N57)</f>
        <v>90.35</v>
      </c>
      <c r="H57" s="131">
        <v>110</v>
      </c>
      <c r="I57" s="152">
        <f>H57-G57</f>
        <v>19.650000000000006</v>
      </c>
      <c r="J57" s="187">
        <f>Jan!I57+Feb!I57+Mar!I57+Apr!I57+May!I57+Jun!I57</f>
        <v>-17.439999999999984</v>
      </c>
      <c r="K57" s="174"/>
      <c r="L57" s="115">
        <v>90.35</v>
      </c>
      <c r="M57" s="116"/>
      <c r="N57" s="116"/>
    </row>
    <row r="58" spans="1:15" s="131" customFormat="1" ht="13.5">
      <c r="B58" s="131" t="s">
        <v>43</v>
      </c>
      <c r="C58" s="131" t="s">
        <v>44</v>
      </c>
      <c r="G58" s="131">
        <f t="shared" ref="G58:G121" si="3">SUM(L58:N58)</f>
        <v>66.8</v>
      </c>
      <c r="H58" s="131">
        <v>45</v>
      </c>
      <c r="I58" s="152">
        <f t="shared" ref="I58:I121" si="4">H58-G58</f>
        <v>-21.799999999999997</v>
      </c>
      <c r="J58" s="187">
        <f>Jan!I58+Feb!I58+Mar!I58+Apr!I58+May!I58+Jun!I58</f>
        <v>203.2</v>
      </c>
      <c r="K58" s="174"/>
      <c r="L58" s="115">
        <v>66.8</v>
      </c>
      <c r="M58" s="116"/>
      <c r="N58" s="116"/>
    </row>
    <row r="59" spans="1:15" s="131" customFormat="1" ht="13.5">
      <c r="B59" s="198" t="s">
        <v>86</v>
      </c>
      <c r="C59" s="198" t="s">
        <v>87</v>
      </c>
      <c r="D59" s="198" t="s">
        <v>423</v>
      </c>
      <c r="E59" s="198"/>
      <c r="F59" s="198"/>
      <c r="G59" s="131">
        <f t="shared" si="3"/>
        <v>0</v>
      </c>
      <c r="H59" s="131">
        <v>90</v>
      </c>
      <c r="I59" s="152">
        <f t="shared" si="4"/>
        <v>90</v>
      </c>
      <c r="J59" s="187">
        <f>Jan!I59+Feb!I59+Mar!I59+Apr!I59+May!I59+Jun!I59</f>
        <v>-685</v>
      </c>
      <c r="K59" s="174"/>
      <c r="L59" s="115"/>
      <c r="M59" s="116"/>
      <c r="N59" s="116"/>
    </row>
    <row r="60" spans="1:15" s="131" customFormat="1" ht="13.5">
      <c r="B60" s="198" t="s">
        <v>88</v>
      </c>
      <c r="C60" s="198" t="s">
        <v>89</v>
      </c>
      <c r="D60" s="198" t="s">
        <v>424</v>
      </c>
      <c r="E60" s="198"/>
      <c r="F60" s="198"/>
      <c r="G60" s="131">
        <f t="shared" si="3"/>
        <v>0</v>
      </c>
      <c r="H60" s="131">
        <v>110</v>
      </c>
      <c r="I60" s="152">
        <f t="shared" si="4"/>
        <v>110</v>
      </c>
      <c r="J60" s="187">
        <f>Jan!I60+Feb!I60+Mar!I60+Apr!I60+May!I60+Jun!I60</f>
        <v>-729.71999999999991</v>
      </c>
      <c r="K60" s="174"/>
      <c r="L60" s="115"/>
      <c r="M60" s="116"/>
      <c r="N60" s="116"/>
    </row>
    <row r="61" spans="1:15" s="131" customFormat="1" ht="13.5">
      <c r="I61" s="152"/>
      <c r="J61" s="187"/>
      <c r="K61" s="174"/>
      <c r="L61" s="115"/>
      <c r="M61" s="116"/>
      <c r="N61" s="116"/>
    </row>
    <row r="62" spans="1:15" s="131" customFormat="1" ht="13.5">
      <c r="A62" s="149" t="s">
        <v>91</v>
      </c>
      <c r="B62" s="149">
        <f>SUM(G63:G64)</f>
        <v>139.95999999999998</v>
      </c>
      <c r="C62" s="149">
        <f>SUM(H63:H64)</f>
        <v>138</v>
      </c>
      <c r="D62" s="149">
        <f>C62-B62</f>
        <v>-1.9599999999999795</v>
      </c>
      <c r="I62" s="152"/>
      <c r="J62" s="187"/>
      <c r="K62" s="174"/>
      <c r="L62" s="115"/>
      <c r="M62" s="116"/>
      <c r="N62" s="116"/>
    </row>
    <row r="63" spans="1:15" s="131" customFormat="1" ht="13.5">
      <c r="B63" s="131" t="s">
        <v>50</v>
      </c>
      <c r="C63" s="131" t="s">
        <v>51</v>
      </c>
      <c r="G63" s="131">
        <f t="shared" si="3"/>
        <v>65.97</v>
      </c>
      <c r="H63" s="131">
        <v>63</v>
      </c>
      <c r="I63" s="152">
        <f t="shared" si="4"/>
        <v>-2.9699999999999989</v>
      </c>
      <c r="J63" s="187">
        <f>Jan!I63+Feb!I63+Mar!I63+Apr!I63+May!I63+Jun!I63</f>
        <v>-11.819999999999993</v>
      </c>
      <c r="K63" s="174"/>
      <c r="L63" s="115"/>
      <c r="M63" s="116">
        <v>65.97</v>
      </c>
      <c r="N63" s="116"/>
    </row>
    <row r="64" spans="1:15" s="131" customFormat="1" ht="13.5">
      <c r="B64" s="131" t="s">
        <v>92</v>
      </c>
      <c r="C64" s="131" t="s">
        <v>93</v>
      </c>
      <c r="D64" s="156"/>
      <c r="G64" s="131">
        <f t="shared" si="3"/>
        <v>73.989999999999995</v>
      </c>
      <c r="H64" s="131">
        <v>75</v>
      </c>
      <c r="I64" s="152">
        <f t="shared" si="4"/>
        <v>1.0100000000000051</v>
      </c>
      <c r="J64" s="187">
        <f>Jan!I64+Feb!I64+Mar!I64+Apr!I64+May!I64+Jun!I64</f>
        <v>11.580000000000013</v>
      </c>
      <c r="K64" s="174"/>
      <c r="L64" s="115"/>
      <c r="M64" s="116">
        <v>73.989999999999995</v>
      </c>
      <c r="N64" s="116"/>
    </row>
    <row r="65" spans="1:15" s="131" customFormat="1" ht="13.5">
      <c r="I65" s="152"/>
      <c r="J65" s="187"/>
      <c r="K65" s="174"/>
      <c r="L65" s="115"/>
      <c r="M65" s="116"/>
      <c r="N65" s="116"/>
    </row>
    <row r="66" spans="1:15" s="131" customFormat="1" ht="13.5">
      <c r="A66" s="193" t="s">
        <v>94</v>
      </c>
      <c r="B66" s="149">
        <f>SUM(G67:G69)</f>
        <v>0</v>
      </c>
      <c r="C66" s="149">
        <f>SUM(H67:H69)</f>
        <v>177</v>
      </c>
      <c r="D66" s="149">
        <f>C66-B66</f>
        <v>177</v>
      </c>
      <c r="I66" s="152"/>
      <c r="J66" s="187"/>
      <c r="K66" s="174"/>
      <c r="L66" s="115"/>
      <c r="M66" s="116"/>
      <c r="N66" s="116"/>
    </row>
    <row r="67" spans="1:15" s="131" customFormat="1" ht="13.5">
      <c r="B67" s="198" t="s">
        <v>95</v>
      </c>
      <c r="C67" s="198"/>
      <c r="D67" s="198" t="s">
        <v>96</v>
      </c>
      <c r="E67" s="198"/>
      <c r="F67" s="198"/>
      <c r="G67" s="131">
        <f t="shared" si="3"/>
        <v>0</v>
      </c>
      <c r="H67" s="131">
        <v>56.5</v>
      </c>
      <c r="I67" s="152">
        <f t="shared" si="4"/>
        <v>56.5</v>
      </c>
      <c r="J67" s="187">
        <f>Jan!I67+Feb!I67+Mar!I67+Apr!I67+May!I67+Jun!I67</f>
        <v>-377</v>
      </c>
      <c r="K67" s="174"/>
      <c r="L67" s="115"/>
      <c r="M67" s="116"/>
      <c r="N67" s="116"/>
    </row>
    <row r="68" spans="1:15" s="131" customFormat="1" ht="13.5">
      <c r="B68" s="198" t="s">
        <v>97</v>
      </c>
      <c r="C68" s="198"/>
      <c r="D68" s="198" t="s">
        <v>96</v>
      </c>
      <c r="E68" s="198"/>
      <c r="F68" s="198"/>
      <c r="G68" s="131">
        <f t="shared" si="3"/>
        <v>0</v>
      </c>
      <c r="H68" s="131">
        <v>84.5</v>
      </c>
      <c r="I68" s="152">
        <f t="shared" si="4"/>
        <v>84.5</v>
      </c>
      <c r="J68" s="187">
        <f>Jan!I68+Feb!I68+Mar!I68+Apr!I68+May!I68+Jun!I68</f>
        <v>-448</v>
      </c>
      <c r="K68" s="174"/>
      <c r="L68" s="115"/>
      <c r="M68" s="116"/>
      <c r="N68" s="116"/>
    </row>
    <row r="69" spans="1:15" s="131" customFormat="1" ht="13.5">
      <c r="B69" s="198" t="s">
        <v>98</v>
      </c>
      <c r="C69" s="198"/>
      <c r="D69" s="198" t="s">
        <v>477</v>
      </c>
      <c r="E69" s="198"/>
      <c r="F69" s="198"/>
      <c r="G69" s="131">
        <f t="shared" si="3"/>
        <v>0</v>
      </c>
      <c r="H69" s="131">
        <v>36</v>
      </c>
      <c r="I69" s="152">
        <f t="shared" si="4"/>
        <v>36</v>
      </c>
      <c r="J69" s="187">
        <f>Jan!I69+Feb!I69+Mar!I69+Apr!I69+May!I69+Jun!I69</f>
        <v>216</v>
      </c>
      <c r="K69" s="174"/>
      <c r="L69" s="115"/>
      <c r="M69" s="116"/>
      <c r="N69" s="116"/>
    </row>
    <row r="70" spans="1:15" s="131" customFormat="1" ht="13.5">
      <c r="I70" s="152"/>
      <c r="J70" s="187"/>
      <c r="K70" s="174"/>
      <c r="L70" s="115"/>
      <c r="M70" s="116"/>
      <c r="N70" s="116"/>
    </row>
    <row r="71" spans="1:15" s="131" customFormat="1" ht="13.5">
      <c r="A71" s="149" t="s">
        <v>99</v>
      </c>
      <c r="B71" s="149">
        <f>SUM(G72:G78)</f>
        <v>158.72</v>
      </c>
      <c r="C71" s="149">
        <f>SUM(H72:H78)</f>
        <v>166.5</v>
      </c>
      <c r="D71" s="149">
        <f>C71-B71</f>
        <v>7.7800000000000011</v>
      </c>
      <c r="I71" s="152"/>
      <c r="J71" s="187"/>
      <c r="K71" s="174"/>
      <c r="L71" s="115"/>
      <c r="M71" s="116"/>
      <c r="N71" s="116"/>
    </row>
    <row r="72" spans="1:15" s="131" customFormat="1" ht="13.5">
      <c r="B72" s="131" t="s">
        <v>100</v>
      </c>
      <c r="G72" s="131">
        <f t="shared" si="3"/>
        <v>0</v>
      </c>
      <c r="H72" s="131">
        <v>15</v>
      </c>
      <c r="I72" s="152">
        <f t="shared" si="4"/>
        <v>15</v>
      </c>
      <c r="J72" s="187">
        <f>Jan!I72+Feb!I72+Mar!I72+Apr!I72+May!I72+Jun!I72</f>
        <v>28.83</v>
      </c>
      <c r="K72" s="174"/>
      <c r="L72" s="115"/>
      <c r="M72" s="116"/>
      <c r="N72" s="116"/>
    </row>
    <row r="73" spans="1:15" s="131" customFormat="1" ht="13.5">
      <c r="B73" s="131" t="s">
        <v>384</v>
      </c>
      <c r="G73" s="131">
        <f t="shared" si="3"/>
        <v>20.73</v>
      </c>
      <c r="H73" s="131">
        <v>5</v>
      </c>
      <c r="I73" s="152">
        <f t="shared" si="4"/>
        <v>-15.73</v>
      </c>
      <c r="J73" s="187">
        <f>Jan!I73+Feb!I73+Mar!I73+Apr!I73+May!I73+Jun!I73</f>
        <v>-6.6100000000000012</v>
      </c>
      <c r="K73" s="174"/>
      <c r="L73" s="115"/>
      <c r="M73" s="116">
        <f>5.99</f>
        <v>5.99</v>
      </c>
      <c r="N73" s="116">
        <f>14.74</f>
        <v>14.74</v>
      </c>
      <c r="O73" s="131" t="s">
        <v>763</v>
      </c>
    </row>
    <row r="74" spans="1:15" s="131" customFormat="1" ht="13.5">
      <c r="B74" s="131" t="s">
        <v>385</v>
      </c>
      <c r="G74" s="131">
        <f t="shared" si="3"/>
        <v>12</v>
      </c>
      <c r="H74" s="131">
        <v>65</v>
      </c>
      <c r="I74" s="152">
        <f t="shared" si="4"/>
        <v>53</v>
      </c>
      <c r="J74" s="187">
        <f>Jan!I74+Feb!I74+Mar!I74+Apr!I74+May!I74+Jun!I74</f>
        <v>47.350000000000023</v>
      </c>
      <c r="K74" s="174"/>
      <c r="L74" s="115"/>
      <c r="M74" s="116">
        <v>12</v>
      </c>
      <c r="N74" s="116"/>
    </row>
    <row r="75" spans="1:15" s="131" customFormat="1" ht="13.5">
      <c r="B75" s="131" t="s">
        <v>386</v>
      </c>
      <c r="G75" s="131">
        <f t="shared" si="3"/>
        <v>0</v>
      </c>
      <c r="H75" s="131">
        <v>15</v>
      </c>
      <c r="I75" s="152">
        <f t="shared" si="4"/>
        <v>15</v>
      </c>
      <c r="J75" s="187">
        <f>Jan!I75+Feb!I75+Mar!I75+Apr!I75+May!I75+Jun!I75</f>
        <v>90</v>
      </c>
      <c r="K75" s="174"/>
      <c r="L75" s="115"/>
      <c r="M75" s="116"/>
      <c r="N75" s="116"/>
    </row>
    <row r="76" spans="1:15" s="131" customFormat="1" ht="13.5">
      <c r="B76" s="198" t="s">
        <v>390</v>
      </c>
      <c r="C76" s="198"/>
      <c r="D76" s="198"/>
      <c r="E76" s="198"/>
      <c r="F76" s="198"/>
      <c r="G76" s="131">
        <f t="shared" si="3"/>
        <v>0</v>
      </c>
      <c r="H76" s="131">
        <v>35</v>
      </c>
      <c r="I76" s="152">
        <f t="shared" si="4"/>
        <v>35</v>
      </c>
      <c r="J76" s="187">
        <f>Jan!I76+Feb!I76+Mar!I76+Apr!I76+May!I76+Jun!I76</f>
        <v>210</v>
      </c>
      <c r="K76" s="174"/>
      <c r="L76" s="115"/>
      <c r="M76" s="116"/>
      <c r="N76" s="116"/>
    </row>
    <row r="77" spans="1:15" s="131" customFormat="1" ht="13.5">
      <c r="B77" s="198" t="s">
        <v>387</v>
      </c>
      <c r="C77" s="198"/>
      <c r="D77" s="198"/>
      <c r="E77" s="198"/>
      <c r="F77" s="198"/>
      <c r="G77" s="131">
        <f t="shared" si="3"/>
        <v>0</v>
      </c>
      <c r="H77" s="131">
        <v>20</v>
      </c>
      <c r="I77" s="152">
        <f t="shared" si="4"/>
        <v>20</v>
      </c>
      <c r="J77" s="187">
        <f>Jan!I77+Feb!I77+Mar!I77+Apr!I77+May!I77+Jun!I77</f>
        <v>120</v>
      </c>
      <c r="K77" s="174"/>
      <c r="L77" s="115"/>
      <c r="M77" s="116"/>
      <c r="N77" s="116"/>
    </row>
    <row r="78" spans="1:15" s="131" customFormat="1" ht="13.5">
      <c r="B78" s="198" t="s">
        <v>388</v>
      </c>
      <c r="C78" s="198"/>
      <c r="D78" s="198"/>
      <c r="E78" s="198"/>
      <c r="F78" s="198"/>
      <c r="G78" s="131">
        <f t="shared" si="3"/>
        <v>125.99</v>
      </c>
      <c r="H78" s="131">
        <v>11.5</v>
      </c>
      <c r="I78" s="152">
        <f t="shared" si="4"/>
        <v>-114.49</v>
      </c>
      <c r="J78" s="187">
        <f>Jan!I78+Feb!I78+Mar!I78+Apr!I78+May!I78+Jun!I78</f>
        <v>-56.989999999999995</v>
      </c>
      <c r="K78" s="174"/>
      <c r="L78" s="115">
        <v>125.99</v>
      </c>
      <c r="M78" s="116"/>
      <c r="N78" s="116"/>
    </row>
    <row r="79" spans="1:15" s="131" customFormat="1" ht="13.5">
      <c r="I79" s="152"/>
      <c r="J79" s="187"/>
      <c r="K79" s="174"/>
      <c r="L79" s="115"/>
      <c r="M79" s="116"/>
      <c r="N79" s="116"/>
    </row>
    <row r="80" spans="1:15" s="131" customFormat="1" ht="13.5">
      <c r="A80" s="149" t="s">
        <v>335</v>
      </c>
      <c r="B80" s="149">
        <f>SUM(G81:G83)</f>
        <v>0</v>
      </c>
      <c r="C80" s="149">
        <f>SUM(H81:H83)</f>
        <v>30</v>
      </c>
      <c r="D80" s="149">
        <f>C80-B80</f>
        <v>30</v>
      </c>
      <c r="I80" s="152"/>
      <c r="J80" s="187"/>
      <c r="K80" s="174"/>
      <c r="L80" s="115"/>
      <c r="M80" s="116"/>
      <c r="N80" s="116"/>
    </row>
    <row r="81" spans="1:15" s="131" customFormat="1" ht="13.5">
      <c r="B81" s="198" t="s">
        <v>101</v>
      </c>
      <c r="C81" s="198"/>
      <c r="D81" s="198"/>
      <c r="E81" s="198"/>
      <c r="F81" s="198"/>
      <c r="G81" s="131">
        <f t="shared" si="3"/>
        <v>0</v>
      </c>
      <c r="H81" s="131">
        <v>10</v>
      </c>
      <c r="I81" s="152">
        <f t="shared" si="4"/>
        <v>10</v>
      </c>
      <c r="J81" s="187">
        <f>Jan!I81+Feb!I81+Mar!I81+Apr!I81+May!I81+Jun!I81</f>
        <v>60</v>
      </c>
      <c r="K81" s="174"/>
      <c r="L81" s="115"/>
      <c r="M81" s="116"/>
      <c r="N81" s="116"/>
    </row>
    <row r="82" spans="1:15" s="131" customFormat="1" ht="13.5">
      <c r="B82" s="198" t="s">
        <v>102</v>
      </c>
      <c r="C82" s="198"/>
      <c r="D82" s="198"/>
      <c r="E82" s="198"/>
      <c r="F82" s="198"/>
      <c r="G82" s="131">
        <f t="shared" si="3"/>
        <v>0</v>
      </c>
      <c r="H82" s="131">
        <v>10</v>
      </c>
      <c r="I82" s="152">
        <f t="shared" si="4"/>
        <v>10</v>
      </c>
      <c r="J82" s="187">
        <f>Jan!I82+Feb!I82+Mar!I82+Apr!I82+May!I82+Jun!I82</f>
        <v>-6.9399999999999977</v>
      </c>
      <c r="K82" s="174"/>
      <c r="L82" s="115"/>
      <c r="M82" s="116"/>
      <c r="N82" s="116"/>
    </row>
    <row r="83" spans="1:15" s="131" customFormat="1" ht="13.5">
      <c r="B83" s="198" t="s">
        <v>383</v>
      </c>
      <c r="C83" s="198"/>
      <c r="D83" s="198"/>
      <c r="E83" s="198"/>
      <c r="F83" s="198"/>
      <c r="G83" s="131">
        <f t="shared" si="3"/>
        <v>0</v>
      </c>
      <c r="H83" s="131">
        <v>10</v>
      </c>
      <c r="I83" s="152">
        <f t="shared" si="4"/>
        <v>10</v>
      </c>
      <c r="J83" s="187">
        <f>Jan!I83+Feb!I83+Mar!I83+Apr!I83+May!I83+Jun!I83</f>
        <v>-1.8900000000000006</v>
      </c>
      <c r="K83" s="174"/>
      <c r="L83" s="115"/>
      <c r="M83" s="116"/>
      <c r="N83" s="116"/>
    </row>
    <row r="84" spans="1:15" s="131" customFormat="1" ht="13.5">
      <c r="I84" s="152"/>
      <c r="J84" s="187"/>
      <c r="K84" s="174"/>
      <c r="L84" s="115"/>
      <c r="M84" s="116"/>
      <c r="N84" s="116"/>
    </row>
    <row r="85" spans="1:15" s="131" customFormat="1" ht="13.5">
      <c r="A85" s="149" t="s">
        <v>110</v>
      </c>
      <c r="B85" s="149">
        <f>SUM(G86:G88)</f>
        <v>142.57999999999998</v>
      </c>
      <c r="C85" s="149">
        <f>SUM(H86:H88)</f>
        <v>115</v>
      </c>
      <c r="D85" s="149">
        <f>C85-B85</f>
        <v>-27.579999999999984</v>
      </c>
      <c r="I85" s="152"/>
      <c r="J85" s="187"/>
      <c r="K85" s="174"/>
      <c r="L85" s="115"/>
      <c r="M85" s="116"/>
      <c r="N85" s="116"/>
    </row>
    <row r="86" spans="1:15" s="131" customFormat="1" ht="13.5">
      <c r="B86" s="198" t="s">
        <v>389</v>
      </c>
      <c r="C86" s="198"/>
      <c r="D86" s="198"/>
      <c r="E86" s="198"/>
      <c r="F86" s="198"/>
      <c r="G86" s="131">
        <f t="shared" si="3"/>
        <v>0</v>
      </c>
      <c r="H86" s="131">
        <v>30</v>
      </c>
      <c r="I86" s="152">
        <f t="shared" si="4"/>
        <v>30</v>
      </c>
      <c r="J86" s="187">
        <f>Jan!I86+Feb!I86+Mar!I86+Apr!I86+May!I86+Jun!I86</f>
        <v>102.93</v>
      </c>
      <c r="K86" s="174"/>
      <c r="L86" s="115"/>
      <c r="M86" s="116"/>
      <c r="N86" s="116"/>
    </row>
    <row r="87" spans="1:15" s="131" customFormat="1" ht="13.5">
      <c r="B87" s="198" t="s">
        <v>111</v>
      </c>
      <c r="C87" s="198"/>
      <c r="D87" s="198"/>
      <c r="E87" s="198"/>
      <c r="F87" s="198"/>
      <c r="G87" s="131">
        <f t="shared" si="3"/>
        <v>0</v>
      </c>
      <c r="H87" s="131">
        <v>20</v>
      </c>
      <c r="I87" s="152">
        <f t="shared" si="4"/>
        <v>20</v>
      </c>
      <c r="J87" s="187">
        <f>Jan!I87+Feb!I87+Mar!I87+Apr!I87+May!I87+Jun!I87</f>
        <v>-163.39999999999998</v>
      </c>
      <c r="K87" s="174"/>
      <c r="L87" s="115"/>
      <c r="M87" s="116"/>
      <c r="N87" s="116"/>
    </row>
    <row r="88" spans="1:15" s="131" customFormat="1" ht="13.5">
      <c r="B88" s="131" t="s">
        <v>391</v>
      </c>
      <c r="G88" s="131">
        <f t="shared" si="3"/>
        <v>142.57999999999998</v>
      </c>
      <c r="H88" s="131">
        <v>65</v>
      </c>
      <c r="I88" s="152">
        <f t="shared" si="4"/>
        <v>-77.579999999999984</v>
      </c>
      <c r="J88" s="187">
        <f>Jan!I88+Feb!I88+Mar!I88+Apr!I88+May!I88+Jun!I88</f>
        <v>-291.08</v>
      </c>
      <c r="K88" s="174"/>
      <c r="L88" s="115"/>
      <c r="M88" s="116">
        <f>41.72+39.61+61.25</f>
        <v>142.57999999999998</v>
      </c>
      <c r="N88" s="116"/>
    </row>
    <row r="89" spans="1:15" s="131" customFormat="1" ht="13.5">
      <c r="I89" s="152"/>
      <c r="J89" s="187"/>
      <c r="K89" s="174"/>
      <c r="L89" s="115"/>
      <c r="M89" s="116"/>
      <c r="N89" s="116"/>
    </row>
    <row r="90" spans="1:15" s="131" customFormat="1" ht="13.5">
      <c r="A90" s="149" t="s">
        <v>112</v>
      </c>
      <c r="B90" s="149">
        <f>SUM(G91:G95)</f>
        <v>429.69000000000005</v>
      </c>
      <c r="C90" s="149">
        <f>SUM(H91:H95)</f>
        <v>220</v>
      </c>
      <c r="D90" s="149">
        <f>C90-B90</f>
        <v>-209.69000000000005</v>
      </c>
      <c r="I90" s="152"/>
      <c r="J90" s="187"/>
      <c r="K90" s="174"/>
      <c r="L90" s="115"/>
      <c r="M90" s="116"/>
      <c r="N90" s="116"/>
    </row>
    <row r="91" spans="1:15" s="131" customFormat="1" ht="13.5">
      <c r="B91" s="131" t="s">
        <v>113</v>
      </c>
      <c r="G91" s="131">
        <f t="shared" si="3"/>
        <v>95.23</v>
      </c>
      <c r="H91" s="131">
        <v>40</v>
      </c>
      <c r="I91" s="152">
        <f t="shared" si="4"/>
        <v>-55.230000000000004</v>
      </c>
      <c r="J91" s="187">
        <f>Jan!I91+Feb!I91+Mar!I91+Apr!I91+May!I91+Jun!I91</f>
        <v>-1.220000000000006</v>
      </c>
      <c r="K91" s="174"/>
      <c r="L91" s="115"/>
      <c r="M91" s="116">
        <f>24.54+34.38+36.31</f>
        <v>95.23</v>
      </c>
      <c r="N91" s="116"/>
    </row>
    <row r="92" spans="1:15" s="131" customFormat="1" ht="13.5">
      <c r="B92" s="131" t="s">
        <v>114</v>
      </c>
      <c r="D92" s="131" t="s">
        <v>115</v>
      </c>
      <c r="G92" s="131">
        <f t="shared" si="3"/>
        <v>291</v>
      </c>
      <c r="H92" s="131">
        <v>120</v>
      </c>
      <c r="I92" s="152">
        <f t="shared" si="4"/>
        <v>-171</v>
      </c>
      <c r="J92" s="187">
        <f>Jan!I92+Feb!I92+Mar!I92+Apr!I92+May!I92+Jun!I92</f>
        <v>45</v>
      </c>
      <c r="K92" s="174"/>
      <c r="L92" s="115"/>
      <c r="M92" s="116">
        <f>85+85+85+36</f>
        <v>291</v>
      </c>
      <c r="N92" s="116"/>
    </row>
    <row r="93" spans="1:15" s="131" customFormat="1" ht="13.5">
      <c r="B93" s="131" t="s">
        <v>116</v>
      </c>
      <c r="G93" s="131">
        <f t="shared" si="3"/>
        <v>0</v>
      </c>
      <c r="H93" s="131">
        <v>20</v>
      </c>
      <c r="I93" s="152">
        <f t="shared" si="4"/>
        <v>20</v>
      </c>
      <c r="J93" s="187">
        <f>Jan!I93+Feb!I93+Mar!I93+Apr!I93+May!I93+Jun!I93</f>
        <v>46.97</v>
      </c>
      <c r="K93" s="174"/>
      <c r="L93" s="115"/>
      <c r="M93" s="116"/>
      <c r="N93" s="116"/>
    </row>
    <row r="94" spans="1:15" s="131" customFormat="1" ht="13.5">
      <c r="A94" s="149"/>
      <c r="B94" s="131" t="s">
        <v>117</v>
      </c>
      <c r="G94" s="131">
        <f t="shared" si="3"/>
        <v>17.989999999999998</v>
      </c>
      <c r="H94" s="131">
        <v>20</v>
      </c>
      <c r="I94" s="152">
        <f t="shared" si="4"/>
        <v>2.0100000000000016</v>
      </c>
      <c r="J94" s="187">
        <f>Jan!I94+Feb!I94+Mar!I94+Apr!I94+May!I94+Jun!I94</f>
        <v>-64.289999999999992</v>
      </c>
      <c r="K94" s="174"/>
      <c r="L94" s="115"/>
      <c r="M94" s="116">
        <v>17.989999999999998</v>
      </c>
      <c r="N94" s="116"/>
      <c r="O94" s="131" t="s">
        <v>777</v>
      </c>
    </row>
    <row r="95" spans="1:15" s="131" customFormat="1" ht="13.5">
      <c r="A95" s="149"/>
      <c r="B95" s="131" t="s">
        <v>118</v>
      </c>
      <c r="G95" s="131">
        <f t="shared" si="3"/>
        <v>25.47</v>
      </c>
      <c r="H95" s="131">
        <v>20</v>
      </c>
      <c r="I95" s="152">
        <f t="shared" si="4"/>
        <v>-5.4699999999999989</v>
      </c>
      <c r="J95" s="187">
        <f>Jan!I95+Feb!I95+Mar!I95+Apr!I95+May!I95+Jun!I95</f>
        <v>-178.23000000000002</v>
      </c>
      <c r="K95" s="174"/>
      <c r="L95" s="115"/>
      <c r="M95" s="116">
        <f>2.09+6.5+4.47+1.3+3.04+2.06+6.01</f>
        <v>25.47</v>
      </c>
      <c r="N95" s="116"/>
    </row>
    <row r="96" spans="1:15" s="131" customFormat="1" ht="13.5">
      <c r="A96" s="149"/>
      <c r="B96" s="149"/>
      <c r="I96" s="152"/>
      <c r="J96" s="187"/>
      <c r="K96" s="174"/>
      <c r="L96" s="115"/>
      <c r="M96" s="116"/>
      <c r="N96" s="116"/>
    </row>
    <row r="97" spans="1:15" s="131" customFormat="1" ht="13.5">
      <c r="A97" s="149" t="s">
        <v>119</v>
      </c>
      <c r="B97" s="149">
        <f>SUM(G98:G101)</f>
        <v>154.26</v>
      </c>
      <c r="C97" s="149">
        <f>SUM(H98:H101)</f>
        <v>435</v>
      </c>
      <c r="D97" s="149">
        <f>C97-B97</f>
        <v>280.74</v>
      </c>
      <c r="I97" s="152"/>
      <c r="J97" s="187"/>
      <c r="K97" s="174"/>
      <c r="L97" s="115"/>
      <c r="M97" s="116"/>
      <c r="N97" s="116"/>
    </row>
    <row r="98" spans="1:15" s="131" customFormat="1" ht="13.5">
      <c r="B98" s="198" t="s">
        <v>120</v>
      </c>
      <c r="C98" s="198"/>
      <c r="D98" s="198" t="s">
        <v>121</v>
      </c>
      <c r="E98" s="198"/>
      <c r="F98" s="198"/>
      <c r="G98" s="131">
        <f t="shared" si="3"/>
        <v>31.7</v>
      </c>
      <c r="H98" s="131">
        <v>150</v>
      </c>
      <c r="I98" s="152">
        <f t="shared" si="4"/>
        <v>118.3</v>
      </c>
      <c r="J98" s="187">
        <f>Jan!I98+Feb!I98+Mar!I98+Apr!I98+May!I98+Jun!I98</f>
        <v>-226.5499999999999</v>
      </c>
      <c r="K98" s="174"/>
      <c r="L98" s="115"/>
      <c r="M98" s="116">
        <v>31.7</v>
      </c>
      <c r="N98" s="116"/>
      <c r="O98" s="131" t="s">
        <v>778</v>
      </c>
    </row>
    <row r="99" spans="1:15" s="131" customFormat="1" ht="13.5">
      <c r="B99" s="198" t="s">
        <v>122</v>
      </c>
      <c r="C99" s="198"/>
      <c r="D99" s="198" t="s">
        <v>123</v>
      </c>
      <c r="E99" s="198"/>
      <c r="F99" s="198"/>
      <c r="G99" s="131">
        <f t="shared" si="3"/>
        <v>3.59</v>
      </c>
      <c r="H99" s="131">
        <v>20</v>
      </c>
      <c r="I99" s="152">
        <f t="shared" si="4"/>
        <v>16.41</v>
      </c>
      <c r="J99" s="187">
        <f>Jan!I99+Feb!I99+Mar!I99+Apr!I99+May!I99+Jun!I99</f>
        <v>-10.559999999999999</v>
      </c>
      <c r="K99" s="174"/>
      <c r="L99" s="115"/>
      <c r="M99" s="116">
        <f>3.59</f>
        <v>3.59</v>
      </c>
      <c r="N99" s="116"/>
      <c r="O99" s="131" t="s">
        <v>789</v>
      </c>
    </row>
    <row r="100" spans="1:15" s="131" customFormat="1" ht="13.5">
      <c r="A100" s="149"/>
      <c r="B100" s="131" t="s">
        <v>124</v>
      </c>
      <c r="G100" s="131">
        <f t="shared" si="3"/>
        <v>118.97</v>
      </c>
      <c r="H100" s="131">
        <v>215</v>
      </c>
      <c r="I100" s="152">
        <f t="shared" si="4"/>
        <v>96.03</v>
      </c>
      <c r="J100" s="187">
        <f>Jan!I100+Feb!I100+Mar!I100+Apr!I100+May!I100+Jun!I100</f>
        <v>103.84</v>
      </c>
      <c r="K100" s="174"/>
      <c r="L100" s="115">
        <f>100+14</f>
        <v>114</v>
      </c>
      <c r="M100" s="116">
        <v>4.97</v>
      </c>
      <c r="N100" s="116"/>
      <c r="O100" s="131" t="s">
        <v>786</v>
      </c>
    </row>
    <row r="101" spans="1:15" s="131" customFormat="1" ht="13.5">
      <c r="A101" s="149"/>
      <c r="B101" s="198" t="s">
        <v>125</v>
      </c>
      <c r="C101" s="198"/>
      <c r="D101" s="198"/>
      <c r="E101" s="198"/>
      <c r="F101" s="198"/>
      <c r="G101" s="131">
        <f t="shared" si="3"/>
        <v>0</v>
      </c>
      <c r="H101" s="131">
        <v>50</v>
      </c>
      <c r="I101" s="152">
        <f t="shared" si="4"/>
        <v>50</v>
      </c>
      <c r="J101" s="187">
        <f>Jan!I101+Feb!I101+Mar!I101+Apr!I101+May!I101+Jun!I101</f>
        <v>-72.980000000000018</v>
      </c>
      <c r="K101" s="174"/>
      <c r="L101" s="115"/>
      <c r="M101" s="116"/>
      <c r="N101" s="116"/>
    </row>
    <row r="102" spans="1:15" s="131" customFormat="1" ht="13.5">
      <c r="A102" s="149"/>
      <c r="I102" s="152"/>
      <c r="J102" s="187"/>
      <c r="K102" s="174"/>
      <c r="L102" s="115"/>
      <c r="M102" s="116"/>
      <c r="N102" s="116"/>
    </row>
    <row r="103" spans="1:15" s="131" customFormat="1" ht="13.5">
      <c r="A103" s="149" t="s">
        <v>103</v>
      </c>
      <c r="B103" s="149">
        <f>SUM(G104:G110)</f>
        <v>786.35000000000014</v>
      </c>
      <c r="C103" s="149">
        <f>SUM(H104:H110)</f>
        <v>637</v>
      </c>
      <c r="D103" s="149">
        <f>C103-B103</f>
        <v>-149.35000000000014</v>
      </c>
      <c r="I103" s="152"/>
      <c r="J103" s="187"/>
      <c r="K103" s="174"/>
      <c r="L103" s="115"/>
      <c r="M103" s="116"/>
      <c r="N103" s="116"/>
    </row>
    <row r="104" spans="1:15" s="131" customFormat="1" ht="13.5">
      <c r="B104" s="131" t="s">
        <v>456</v>
      </c>
      <c r="G104" s="131">
        <f t="shared" si="3"/>
        <v>100</v>
      </c>
      <c r="H104" s="131">
        <v>50</v>
      </c>
      <c r="I104" s="152">
        <f t="shared" si="4"/>
        <v>-50</v>
      </c>
      <c r="J104" s="187">
        <f>Jan!I104+Feb!I104+Mar!I104+Apr!I104+May!I104+Jun!I104</f>
        <v>-160</v>
      </c>
      <c r="K104" s="174"/>
      <c r="L104" s="115">
        <v>100</v>
      </c>
      <c r="M104" s="116"/>
      <c r="N104" s="116"/>
      <c r="O104" s="231">
        <v>41614</v>
      </c>
    </row>
    <row r="105" spans="1:15" s="131" customFormat="1" ht="13.5">
      <c r="B105" s="131" t="s">
        <v>105</v>
      </c>
      <c r="D105" s="131" t="s">
        <v>457</v>
      </c>
      <c r="E105" s="131">
        <f>60*52/12</f>
        <v>260</v>
      </c>
      <c r="G105" s="131">
        <f t="shared" si="3"/>
        <v>618.22</v>
      </c>
      <c r="H105" s="131">
        <v>500</v>
      </c>
      <c r="I105" s="152">
        <f t="shared" si="4"/>
        <v>-118.22000000000003</v>
      </c>
      <c r="J105" s="187">
        <f>Jan!I105+Feb!I105+Mar!I105+Apr!I105+May!I105+Jun!I105</f>
        <v>336.40999999999997</v>
      </c>
      <c r="K105" s="174"/>
      <c r="L105" s="115"/>
      <c r="M105" s="116">
        <f>(16.56-5.99-5.99)+18.89+46.22+22+10.96+9.96+15.25</f>
        <v>127.86000000000001</v>
      </c>
      <c r="N105" s="116">
        <f>63.45+58.34+29.81+44.21+35.74+16.06+16.34+29.53+53.72+42.14+3.8+64.8+32.42</f>
        <v>490.36000000000007</v>
      </c>
    </row>
    <row r="106" spans="1:15" s="131" customFormat="1" ht="13.5">
      <c r="B106" s="131" t="s">
        <v>392</v>
      </c>
      <c r="G106" s="131">
        <f t="shared" si="3"/>
        <v>0</v>
      </c>
      <c r="H106" s="131">
        <v>27</v>
      </c>
      <c r="I106" s="152">
        <f t="shared" si="4"/>
        <v>27</v>
      </c>
      <c r="J106" s="187">
        <f>Jan!I106+Feb!I106+Mar!I106+Apr!I106+May!I106+Jun!I106</f>
        <v>85.75</v>
      </c>
      <c r="K106" s="174"/>
      <c r="L106" s="115"/>
      <c r="M106" s="116"/>
      <c r="N106" s="116"/>
    </row>
    <row r="107" spans="1:15" s="131" customFormat="1" ht="13.5">
      <c r="B107" s="131" t="s">
        <v>106</v>
      </c>
      <c r="G107" s="131">
        <f t="shared" si="3"/>
        <v>0</v>
      </c>
      <c r="H107" s="131">
        <v>15</v>
      </c>
      <c r="I107" s="152">
        <f t="shared" si="4"/>
        <v>15</v>
      </c>
      <c r="J107" s="187">
        <f>Jan!I107+Feb!I107+Mar!I107+Apr!I107+May!I107+Jun!I107</f>
        <v>10.810000000000002</v>
      </c>
      <c r="K107" s="174"/>
      <c r="L107" s="115"/>
      <c r="M107" s="116"/>
      <c r="N107" s="116"/>
    </row>
    <row r="108" spans="1:15" s="131" customFormat="1" ht="13.5">
      <c r="B108" s="131" t="s">
        <v>107</v>
      </c>
      <c r="G108" s="131">
        <f t="shared" si="3"/>
        <v>33.180000000000007</v>
      </c>
      <c r="H108" s="131">
        <v>20</v>
      </c>
      <c r="I108" s="152">
        <f t="shared" si="4"/>
        <v>-13.180000000000007</v>
      </c>
      <c r="J108" s="187">
        <f>Jan!I108+Feb!I108+Mar!I108+Apr!I108+May!I108+Jun!I108</f>
        <v>-147.68</v>
      </c>
      <c r="K108" s="174"/>
      <c r="L108" s="115"/>
      <c r="M108" s="116">
        <f>(24.8-9-9.98)+(101.79-53.28-22-4.97)</f>
        <v>27.360000000000007</v>
      </c>
      <c r="N108" s="116">
        <f>15.8-9.98</f>
        <v>5.82</v>
      </c>
    </row>
    <row r="109" spans="1:15" s="131" customFormat="1" ht="13.5">
      <c r="B109" s="131" t="s">
        <v>108</v>
      </c>
      <c r="G109" s="131">
        <f t="shared" si="3"/>
        <v>9</v>
      </c>
      <c r="H109" s="131">
        <v>20</v>
      </c>
      <c r="I109" s="152">
        <f t="shared" si="4"/>
        <v>11</v>
      </c>
      <c r="J109" s="187">
        <f>Jan!I109+Feb!I109+Mar!I109+Apr!I109+May!I109+Jun!I109</f>
        <v>-47.34</v>
      </c>
      <c r="K109" s="174"/>
      <c r="L109" s="115"/>
      <c r="M109" s="116">
        <f>9</f>
        <v>9</v>
      </c>
      <c r="N109" s="116"/>
    </row>
    <row r="110" spans="1:15" s="131" customFormat="1" ht="13.5">
      <c r="B110" s="131" t="s">
        <v>109</v>
      </c>
      <c r="G110" s="131">
        <f t="shared" si="3"/>
        <v>25.950000000000003</v>
      </c>
      <c r="H110" s="131">
        <v>5</v>
      </c>
      <c r="I110" s="152">
        <f t="shared" si="4"/>
        <v>-20.950000000000003</v>
      </c>
      <c r="J110" s="187">
        <f>Jan!I110+Feb!I110+Mar!I110+Apr!I110+May!I110+Jun!I110</f>
        <v>-15.910000000000004</v>
      </c>
      <c r="K110" s="174"/>
      <c r="L110" s="115"/>
      <c r="M110" s="116">
        <f>5.99+9.98</f>
        <v>15.97</v>
      </c>
      <c r="N110" s="116">
        <v>9.98</v>
      </c>
      <c r="O110" s="131" t="s">
        <v>755</v>
      </c>
    </row>
    <row r="111" spans="1:15" s="131" customFormat="1" ht="13.5">
      <c r="I111" s="152"/>
      <c r="J111" s="187"/>
      <c r="K111" s="174"/>
      <c r="L111" s="115"/>
      <c r="M111" s="116"/>
      <c r="N111" s="116"/>
    </row>
    <row r="112" spans="1:15" s="131" customFormat="1" ht="13.5">
      <c r="A112" s="149" t="s">
        <v>407</v>
      </c>
      <c r="B112" s="149">
        <f>G113+G114</f>
        <v>0</v>
      </c>
      <c r="C112" s="149">
        <f>H113</f>
        <v>20</v>
      </c>
      <c r="D112" s="149">
        <f>C112-B112</f>
        <v>20</v>
      </c>
      <c r="I112" s="152"/>
      <c r="J112" s="187"/>
      <c r="K112" s="174"/>
      <c r="L112" s="115"/>
      <c r="M112" s="116"/>
      <c r="N112" s="116"/>
    </row>
    <row r="113" spans="1:15" s="131" customFormat="1" ht="13.5">
      <c r="B113" s="131" t="s">
        <v>408</v>
      </c>
      <c r="G113" s="131">
        <f t="shared" si="3"/>
        <v>0</v>
      </c>
      <c r="H113" s="131">
        <v>20</v>
      </c>
      <c r="I113" s="152">
        <f t="shared" si="4"/>
        <v>20</v>
      </c>
      <c r="J113" s="187">
        <f>Jan!I113+Feb!I113+Mar!I113+Apr!I113+May!I113+Jun!I113</f>
        <v>42.88</v>
      </c>
      <c r="K113" s="174"/>
      <c r="L113" s="115"/>
      <c r="M113" s="116"/>
      <c r="N113" s="116"/>
    </row>
    <row r="114" spans="1:15" s="131" customFormat="1" ht="13.5">
      <c r="I114" s="152"/>
      <c r="J114" s="187"/>
      <c r="K114" s="174"/>
      <c r="L114" s="115"/>
      <c r="M114" s="116"/>
      <c r="N114" s="116"/>
    </row>
    <row r="115" spans="1:15" s="131" customFormat="1" ht="13.5">
      <c r="I115" s="152"/>
      <c r="J115" s="187"/>
      <c r="K115" s="174"/>
      <c r="L115" s="115"/>
      <c r="M115" s="116"/>
      <c r="N115" s="116"/>
    </row>
    <row r="116" spans="1:15" s="131" customFormat="1" ht="13.5">
      <c r="A116" s="149" t="s">
        <v>130</v>
      </c>
      <c r="B116" s="149">
        <f>G117</f>
        <v>40</v>
      </c>
      <c r="C116" s="149">
        <f>H117</f>
        <v>10</v>
      </c>
      <c r="D116" s="149">
        <f>I117</f>
        <v>-30</v>
      </c>
      <c r="I116" s="152"/>
      <c r="J116" s="187"/>
      <c r="K116" s="174"/>
      <c r="L116" s="115"/>
      <c r="M116" s="116"/>
      <c r="N116" s="116"/>
    </row>
    <row r="117" spans="1:15" s="131" customFormat="1" ht="13.5">
      <c r="B117" s="131" t="s">
        <v>455</v>
      </c>
      <c r="G117" s="131">
        <f t="shared" si="3"/>
        <v>40</v>
      </c>
      <c r="H117" s="131">
        <v>10</v>
      </c>
      <c r="I117" s="152">
        <f t="shared" si="4"/>
        <v>-30</v>
      </c>
      <c r="J117" s="187">
        <f>Jan!I117+Feb!I117+Mar!I117+Apr!I117+May!I117+Jun!I117</f>
        <v>-966.16</v>
      </c>
      <c r="K117" s="174"/>
      <c r="L117" s="115"/>
      <c r="M117" s="116">
        <v>40</v>
      </c>
      <c r="N117" s="116"/>
      <c r="O117" s="131" t="s">
        <v>787</v>
      </c>
    </row>
    <row r="118" spans="1:15" s="131" customFormat="1" ht="13.5">
      <c r="I118" s="152"/>
      <c r="J118" s="187"/>
      <c r="K118" s="174"/>
      <c r="L118" s="115"/>
      <c r="M118" s="116"/>
      <c r="N118" s="116"/>
    </row>
    <row r="119" spans="1:15" s="131" customFormat="1" ht="13.5">
      <c r="A119" s="149" t="s">
        <v>406</v>
      </c>
      <c r="B119" s="149">
        <f>SUM(G120:G121)</f>
        <v>677.25</v>
      </c>
      <c r="C119" s="149">
        <f>SUM(H120:H121)</f>
        <v>65</v>
      </c>
      <c r="D119" s="149">
        <f>C119-B119</f>
        <v>-612.25</v>
      </c>
      <c r="I119" s="152"/>
      <c r="J119" s="187"/>
      <c r="K119" s="174"/>
      <c r="L119" s="115"/>
      <c r="M119" s="116"/>
      <c r="N119" s="116"/>
    </row>
    <row r="120" spans="1:15" s="131" customFormat="1" ht="13.5">
      <c r="B120" s="131" t="s">
        <v>400</v>
      </c>
      <c r="G120" s="131">
        <f t="shared" si="3"/>
        <v>505.47</v>
      </c>
      <c r="H120" s="131">
        <v>60</v>
      </c>
      <c r="I120" s="152">
        <f t="shared" si="4"/>
        <v>-445.47</v>
      </c>
      <c r="J120" s="187">
        <f>Jan!I120+Feb!I120+Mar!I120+Apr!I120+May!I120+Jun!I120</f>
        <v>-878.43000000000006</v>
      </c>
      <c r="K120" s="174"/>
      <c r="L120" s="115"/>
      <c r="M120" s="115">
        <f>40+77.47+74.8+90+61+117.72+30.11</f>
        <v>491.1</v>
      </c>
      <c r="N120" s="115">
        <v>14.37</v>
      </c>
      <c r="O120" s="131" t="s">
        <v>776</v>
      </c>
    </row>
    <row r="121" spans="1:15" s="131" customFormat="1" ht="13.5">
      <c r="B121" s="131" t="s">
        <v>403</v>
      </c>
      <c r="G121" s="131">
        <f t="shared" si="3"/>
        <v>171.78</v>
      </c>
      <c r="H121" s="131">
        <v>5</v>
      </c>
      <c r="I121" s="152">
        <f t="shared" si="4"/>
        <v>-166.78</v>
      </c>
      <c r="J121" s="187">
        <f>Jan!I121+Feb!I121+Mar!I121+Apr!I121+May!I121+Jun!I121</f>
        <v>-193.28</v>
      </c>
      <c r="K121" s="174"/>
      <c r="L121" s="115"/>
      <c r="M121" s="115">
        <f>35+70.78+66</f>
        <v>171.78</v>
      </c>
      <c r="N121" s="115"/>
      <c r="O121" s="131" t="s">
        <v>788</v>
      </c>
    </row>
    <row r="122" spans="1:15" s="131" customFormat="1" ht="13.5">
      <c r="I122" s="152"/>
      <c r="J122" s="187"/>
      <c r="K122" s="174"/>
      <c r="L122" s="115"/>
      <c r="M122" s="115"/>
      <c r="N122" s="115"/>
    </row>
    <row r="123" spans="1:15" s="131" customFormat="1" ht="13.5">
      <c r="A123" s="149" t="s">
        <v>132</v>
      </c>
      <c r="B123" s="149">
        <f>G124</f>
        <v>0</v>
      </c>
      <c r="C123" s="149">
        <f>H124</f>
        <v>10</v>
      </c>
      <c r="D123" s="149">
        <f>C123-B123</f>
        <v>10</v>
      </c>
      <c r="I123" s="152"/>
      <c r="J123" s="187"/>
      <c r="K123" s="174"/>
      <c r="L123" s="115"/>
      <c r="M123" s="115"/>
      <c r="N123" s="115"/>
    </row>
    <row r="124" spans="1:15" s="131" customFormat="1" ht="13.5">
      <c r="B124" s="131" t="s">
        <v>133</v>
      </c>
      <c r="G124" s="131">
        <f>SUM(L124:N124)</f>
        <v>0</v>
      </c>
      <c r="H124" s="131">
        <v>10</v>
      </c>
      <c r="I124" s="152">
        <f>H124-G124</f>
        <v>10</v>
      </c>
      <c r="J124" s="187">
        <f>Jan!I124+Feb!I124+Mar!I124+Apr!I124+May!I124+Jun!I124</f>
        <v>14.380000000000003</v>
      </c>
      <c r="K124" s="174"/>
      <c r="L124" s="115"/>
      <c r="M124" s="115"/>
      <c r="N124" s="115"/>
    </row>
    <row r="125" spans="1:15" s="131" customFormat="1" ht="13.5">
      <c r="I125" s="152"/>
      <c r="J125" s="187"/>
      <c r="K125" s="174"/>
      <c r="L125" s="115"/>
      <c r="M125" s="115"/>
      <c r="N125" s="115"/>
    </row>
    <row r="126" spans="1:15" s="131" customFormat="1" ht="13.5">
      <c r="A126" s="149" t="s">
        <v>404</v>
      </c>
      <c r="B126" s="149">
        <f>SUM(G127:G128)</f>
        <v>299.10000000000002</v>
      </c>
      <c r="C126" s="149">
        <f>SUM(H127:H128)</f>
        <v>35</v>
      </c>
      <c r="D126" s="149">
        <f>C126-B126</f>
        <v>-264.10000000000002</v>
      </c>
      <c r="I126" s="152"/>
      <c r="J126" s="187"/>
      <c r="K126" s="174"/>
      <c r="L126" s="115"/>
      <c r="M126" s="115"/>
      <c r="N126" s="115"/>
    </row>
    <row r="127" spans="1:15" s="131" customFormat="1" ht="13.5">
      <c r="B127" s="198" t="s">
        <v>128</v>
      </c>
      <c r="C127" s="198"/>
      <c r="D127" s="198"/>
      <c r="E127" s="198"/>
      <c r="F127" s="198"/>
      <c r="G127" s="131">
        <f>SUM(L127:N127)</f>
        <v>299.10000000000002</v>
      </c>
      <c r="H127" s="131">
        <v>20</v>
      </c>
      <c r="I127" s="152">
        <f>H127-G127</f>
        <v>-279.10000000000002</v>
      </c>
      <c r="J127" s="187">
        <f>Jan!I127+Feb!I127+Mar!I127+Apr!I127+May!I127+Jun!I127</f>
        <v>-281.95000000000005</v>
      </c>
      <c r="K127" s="174"/>
      <c r="L127" s="115"/>
      <c r="M127" s="115">
        <f>164.02+25.08+53.28+27.88+23.84+10.96-5.96</f>
        <v>299.10000000000002</v>
      </c>
      <c r="N127" s="115"/>
      <c r="O127" s="131" t="s">
        <v>785</v>
      </c>
    </row>
    <row r="128" spans="1:15" s="131" customFormat="1" ht="13.5">
      <c r="B128" s="198" t="s">
        <v>129</v>
      </c>
      <c r="C128" s="198"/>
      <c r="D128" s="198" t="s">
        <v>405</v>
      </c>
      <c r="E128" s="198"/>
      <c r="F128" s="198"/>
      <c r="G128" s="131">
        <f>SUM(L128:N128)</f>
        <v>0</v>
      </c>
      <c r="H128" s="131">
        <v>15</v>
      </c>
      <c r="I128" s="152">
        <f>H128-G128</f>
        <v>15</v>
      </c>
      <c r="J128" s="187">
        <f>Jan!I128+Feb!I128+Mar!I128+Apr!I128+May!I128+Jun!I128</f>
        <v>9.0599999999999952</v>
      </c>
      <c r="K128" s="174"/>
      <c r="L128" s="115"/>
      <c r="M128" s="115"/>
      <c r="N128" s="115"/>
    </row>
    <row r="129" spans="1:14" s="131" customFormat="1" ht="13.5">
      <c r="I129" s="152"/>
      <c r="J129" s="187"/>
      <c r="K129" s="174"/>
      <c r="L129" s="115"/>
      <c r="M129" s="115"/>
      <c r="N129" s="115"/>
    </row>
    <row r="130" spans="1:14" s="131" customFormat="1" ht="14.25" thickBot="1">
      <c r="I130" s="152"/>
      <c r="J130" s="187"/>
      <c r="K130" s="174"/>
      <c r="L130" s="115"/>
      <c r="M130" s="115"/>
      <c r="N130" s="115"/>
    </row>
    <row r="131" spans="1:14" s="131" customFormat="1" ht="14.25" thickBot="1">
      <c r="A131" s="149" t="s">
        <v>436</v>
      </c>
      <c r="B131" s="131">
        <f>SUM(G133:G140)</f>
        <v>0</v>
      </c>
      <c r="C131" s="131">
        <f>SUM(H133:H140)</f>
        <v>450</v>
      </c>
      <c r="D131" s="131">
        <f>C131-B131</f>
        <v>450</v>
      </c>
      <c r="E131" s="185"/>
      <c r="I131" s="152"/>
      <c r="J131" s="187">
        <f>Jan!I131+Feb!I131+Mar!I131+Apr!I131+May!I131+Jun!I131</f>
        <v>0</v>
      </c>
      <c r="K131" s="174"/>
      <c r="L131" s="115"/>
      <c r="M131" s="115"/>
      <c r="N131" s="115"/>
    </row>
    <row r="132" spans="1:14" s="131" customFormat="1" ht="13.5">
      <c r="A132" s="149" t="s">
        <v>437</v>
      </c>
      <c r="I132" s="152"/>
      <c r="J132" s="187"/>
      <c r="K132" s="174"/>
      <c r="L132" s="115"/>
      <c r="M132" s="115"/>
      <c r="N132" s="115"/>
    </row>
    <row r="133" spans="1:14" s="131" customFormat="1" ht="13.5">
      <c r="A133" s="149" t="s">
        <v>418</v>
      </c>
      <c r="B133" s="131" t="s">
        <v>445</v>
      </c>
      <c r="G133" s="131">
        <f t="shared" ref="G133:G140" si="5">SUM(L133:N133)</f>
        <v>0</v>
      </c>
      <c r="H133" s="131">
        <v>100</v>
      </c>
      <c r="I133" s="152">
        <f t="shared" ref="I133:I140" si="6">H133-G133</f>
        <v>100</v>
      </c>
      <c r="J133" s="187">
        <f>Jan!I133+Feb!I133+Mar!I133+Apr!I133+May!I133+Jun!I133</f>
        <v>600</v>
      </c>
      <c r="K133" s="174"/>
      <c r="L133" s="115"/>
      <c r="M133" s="115"/>
      <c r="N133" s="115"/>
    </row>
    <row r="134" spans="1:14" s="131" customFormat="1" ht="13.5">
      <c r="A134" s="149" t="s">
        <v>516</v>
      </c>
      <c r="I134" s="152"/>
      <c r="J134" s="187"/>
      <c r="K134" s="174"/>
      <c r="L134" s="115"/>
      <c r="M134" s="115"/>
      <c r="N134" s="115"/>
    </row>
    <row r="135" spans="1:14" s="131" customFormat="1" ht="13.5">
      <c r="B135" s="131" t="s">
        <v>401</v>
      </c>
      <c r="G135" s="131">
        <f t="shared" si="5"/>
        <v>0</v>
      </c>
      <c r="H135" s="131">
        <v>100</v>
      </c>
      <c r="I135" s="152">
        <f t="shared" si="6"/>
        <v>100</v>
      </c>
      <c r="J135" s="187">
        <f>Jan!I135+Feb!I135+Mar!I135+Apr!I135+May!I135+Jun!I135</f>
        <v>600</v>
      </c>
      <c r="K135" s="174"/>
      <c r="L135" s="115"/>
      <c r="M135" s="115"/>
      <c r="N135" s="115"/>
    </row>
    <row r="136" spans="1:14" s="131" customFormat="1" ht="13.5">
      <c r="B136" s="131" t="s">
        <v>402</v>
      </c>
      <c r="G136" s="131">
        <f t="shared" si="5"/>
        <v>0</v>
      </c>
      <c r="H136" s="131">
        <v>100</v>
      </c>
      <c r="I136" s="152">
        <f t="shared" si="6"/>
        <v>100</v>
      </c>
      <c r="J136" s="187">
        <f>Jan!I136+Feb!I136+Mar!I136+Apr!I136+May!I136+Jun!I136</f>
        <v>600</v>
      </c>
      <c r="K136" s="174"/>
      <c r="L136" s="115"/>
      <c r="M136" s="115"/>
      <c r="N136" s="115"/>
    </row>
    <row r="137" spans="1:14" s="131" customFormat="1" ht="13.5">
      <c r="B137" s="131" t="s">
        <v>126</v>
      </c>
      <c r="G137" s="131">
        <f t="shared" si="5"/>
        <v>0</v>
      </c>
      <c r="H137" s="131">
        <v>30</v>
      </c>
      <c r="I137" s="152">
        <f t="shared" si="6"/>
        <v>30</v>
      </c>
      <c r="J137" s="187">
        <f>Jan!I137+Feb!I137+Mar!I137+Apr!I137+May!I137+Jun!I137</f>
        <v>180</v>
      </c>
      <c r="K137" s="174"/>
      <c r="L137" s="115"/>
      <c r="M137" s="115"/>
      <c r="N137" s="115"/>
    </row>
    <row r="138" spans="1:14" s="131" customFormat="1" ht="13.5">
      <c r="B138" s="131" t="s">
        <v>127</v>
      </c>
      <c r="G138" s="131">
        <f t="shared" si="5"/>
        <v>0</v>
      </c>
      <c r="H138" s="131">
        <v>50</v>
      </c>
      <c r="I138" s="152">
        <f t="shared" si="6"/>
        <v>50</v>
      </c>
      <c r="J138" s="187">
        <f>Jan!I138+Feb!I138+Mar!I138+Apr!I138+May!I138+Jun!I138</f>
        <v>300</v>
      </c>
      <c r="K138" s="174"/>
      <c r="L138" s="115"/>
      <c r="M138" s="115"/>
      <c r="N138" s="115"/>
    </row>
    <row r="139" spans="1:14" s="131" customFormat="1" ht="13.5">
      <c r="I139" s="152"/>
      <c r="J139" s="187"/>
      <c r="K139" s="179"/>
      <c r="L139" s="115"/>
      <c r="M139" s="115"/>
      <c r="N139" s="115"/>
    </row>
    <row r="140" spans="1:14" s="131" customFormat="1" ht="13.5">
      <c r="A140" s="149" t="s">
        <v>431</v>
      </c>
      <c r="G140" s="131">
        <f t="shared" si="5"/>
        <v>0</v>
      </c>
      <c r="H140" s="131">
        <v>70</v>
      </c>
      <c r="I140" s="152">
        <f t="shared" si="6"/>
        <v>70</v>
      </c>
      <c r="J140" s="187">
        <f>Jan!I140+Feb!I140+Mar!I140+Apr!I140+May!I140+Jun!I140</f>
        <v>420</v>
      </c>
      <c r="K140" s="179"/>
      <c r="L140" s="115"/>
      <c r="M140" s="115"/>
      <c r="N140" s="115"/>
    </row>
    <row r="141" spans="1:14">
      <c r="J141" s="190"/>
    </row>
    <row r="142" spans="1:14">
      <c r="J142" s="190"/>
    </row>
    <row r="143" spans="1:14">
      <c r="J143" s="190"/>
    </row>
    <row r="144" spans="1:14">
      <c r="J144" s="190"/>
    </row>
    <row r="145" spans="10:10">
      <c r="J145" s="190"/>
    </row>
    <row r="146" spans="10:10">
      <c r="J146" s="190"/>
    </row>
    <row r="147" spans="10:10">
      <c r="J147" s="190"/>
    </row>
    <row r="148" spans="10:10">
      <c r="J148" s="190"/>
    </row>
    <row r="149" spans="10:10">
      <c r="J149" s="190"/>
    </row>
    <row r="150" spans="10:10">
      <c r="J150" s="190"/>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0"/>
  <sheetViews>
    <sheetView topLeftCell="B33" zoomScale="84" zoomScaleNormal="84" workbookViewId="0">
      <selection activeCell="E46" sqref="E46"/>
    </sheetView>
  </sheetViews>
  <sheetFormatPr defaultColWidth="9" defaultRowHeight="15.75"/>
  <cols>
    <col min="1" max="1" width="24.42578125" style="165" customWidth="1"/>
    <col min="2" max="2" width="18" style="156" customWidth="1"/>
    <col min="3" max="3" width="17.140625" style="156" customWidth="1"/>
    <col min="4" max="5" width="16.5703125" style="156" customWidth="1"/>
    <col min="6" max="6" width="15.28515625" style="156" customWidth="1"/>
    <col min="7" max="7" width="13.5703125" style="156" customWidth="1"/>
    <col min="8" max="8" width="13.85546875" style="156" customWidth="1"/>
    <col min="9" max="10" width="14" style="156" customWidth="1"/>
    <col min="11" max="11" width="2.28515625" style="172" customWidth="1"/>
    <col min="12" max="12" width="11.5703125" style="156" customWidth="1"/>
    <col min="13" max="13" width="11.85546875" style="156" customWidth="1"/>
    <col min="14" max="15" width="11.5703125" style="156" customWidth="1"/>
    <col min="16" max="16" width="1.7109375" style="156" customWidth="1"/>
    <col min="17" max="17" width="11.7109375" style="156" customWidth="1"/>
    <col min="18" max="18" width="11.5703125" style="156" customWidth="1"/>
    <col min="19" max="16384" width="9" style="156"/>
  </cols>
  <sheetData>
    <row r="1" spans="1:17">
      <c r="A1" s="162" t="s">
        <v>277</v>
      </c>
      <c r="B1" s="163">
        <v>2013</v>
      </c>
      <c r="C1" s="163"/>
      <c r="L1" s="156" t="s">
        <v>519</v>
      </c>
    </row>
    <row r="2" spans="1:17">
      <c r="A2" s="162" t="s">
        <v>264</v>
      </c>
      <c r="B2" s="164" t="s">
        <v>13</v>
      </c>
      <c r="C2" s="164"/>
      <c r="L2" s="156" t="s">
        <v>790</v>
      </c>
    </row>
    <row r="3" spans="1:17">
      <c r="L3" s="156" t="s">
        <v>826</v>
      </c>
      <c r="O3" s="166">
        <f>M86</f>
        <v>909.33</v>
      </c>
    </row>
    <row r="4" spans="1:17">
      <c r="A4" s="162" t="s">
        <v>4</v>
      </c>
      <c r="B4" s="167">
        <f>SUM(G5:G9)</f>
        <v>10270.76</v>
      </c>
      <c r="C4" s="167"/>
      <c r="G4" s="156" t="s">
        <v>71</v>
      </c>
      <c r="L4" s="168" t="s">
        <v>827</v>
      </c>
      <c r="O4" s="166">
        <f>M117</f>
        <v>315.09000000000003</v>
      </c>
    </row>
    <row r="5" spans="1:17">
      <c r="B5" s="156" t="s">
        <v>27</v>
      </c>
      <c r="C5" s="156">
        <v>3257.69</v>
      </c>
      <c r="D5" s="166">
        <v>3257.71</v>
      </c>
      <c r="F5" s="156">
        <v>0</v>
      </c>
      <c r="G5" s="168">
        <f>SUM(C5:F5)</f>
        <v>6515.4</v>
      </c>
      <c r="H5" s="168"/>
      <c r="I5" s="168"/>
      <c r="J5" s="168"/>
      <c r="K5" s="173"/>
      <c r="L5" s="168" t="s">
        <v>828</v>
      </c>
      <c r="O5" s="166">
        <v>680</v>
      </c>
    </row>
    <row r="6" spans="1:17">
      <c r="B6" s="156" t="s">
        <v>29</v>
      </c>
      <c r="D6" s="166"/>
      <c r="G6" s="168">
        <f>SUM(C6:F6)</f>
        <v>0</v>
      </c>
      <c r="H6" s="168"/>
      <c r="I6" s="168"/>
      <c r="J6" s="168"/>
      <c r="K6" s="173"/>
      <c r="L6" s="168" t="s">
        <v>834</v>
      </c>
      <c r="O6" s="166"/>
      <c r="Q6" s="156">
        <f>M81</f>
        <v>453</v>
      </c>
    </row>
    <row r="7" spans="1:17">
      <c r="B7" s="156" t="s">
        <v>327</v>
      </c>
      <c r="C7" s="156">
        <v>1877.68</v>
      </c>
      <c r="D7" s="156">
        <v>1877.68</v>
      </c>
      <c r="G7" s="168">
        <f>SUM(C7:F7)</f>
        <v>3755.36</v>
      </c>
      <c r="H7" s="168"/>
      <c r="I7" s="168"/>
      <c r="J7" s="168"/>
      <c r="K7" s="173"/>
      <c r="L7" s="168"/>
      <c r="O7" s="166"/>
    </row>
    <row r="8" spans="1:17">
      <c r="B8" s="156" t="s">
        <v>30</v>
      </c>
      <c r="D8" s="156">
        <v>0</v>
      </c>
      <c r="G8" s="168">
        <f>SUM(C8:F8)</f>
        <v>0</v>
      </c>
      <c r="H8" s="168"/>
      <c r="I8" s="168"/>
      <c r="J8" s="168"/>
      <c r="K8" s="173"/>
      <c r="L8" s="168" t="s">
        <v>520</v>
      </c>
      <c r="P8" s="166"/>
    </row>
    <row r="9" spans="1:17">
      <c r="L9" s="156" t="s">
        <v>830</v>
      </c>
    </row>
    <row r="10" spans="1:17" s="131" customFormat="1" ht="13.5">
      <c r="A10" s="149"/>
      <c r="B10" s="153"/>
      <c r="G10" s="140"/>
      <c r="I10" s="152" t="s">
        <v>80</v>
      </c>
      <c r="J10" s="187" t="s">
        <v>439</v>
      </c>
      <c r="K10" s="174"/>
      <c r="L10" s="131" t="s">
        <v>829</v>
      </c>
    </row>
    <row r="11" spans="1:17" s="131" customFormat="1" ht="13.5">
      <c r="A11" s="149"/>
      <c r="B11" s="153"/>
      <c r="G11" s="140" t="s">
        <v>331</v>
      </c>
      <c r="H11" s="131" t="s">
        <v>84</v>
      </c>
      <c r="I11" s="154" t="s">
        <v>83</v>
      </c>
      <c r="J11" s="188" t="s">
        <v>83</v>
      </c>
      <c r="K11" s="175"/>
      <c r="L11" s="131" t="s">
        <v>832</v>
      </c>
    </row>
    <row r="12" spans="1:17" s="131" customFormat="1" ht="13.5">
      <c r="A12" s="149" t="s">
        <v>422</v>
      </c>
      <c r="B12" s="153"/>
      <c r="D12" s="131" t="s">
        <v>426</v>
      </c>
      <c r="E12" s="131">
        <f>G12/B4</f>
        <v>8.5680124937200355E-2</v>
      </c>
      <c r="G12" s="132">
        <f>Tithe!D12</f>
        <v>880</v>
      </c>
      <c r="H12" s="131">
        <v>800</v>
      </c>
      <c r="I12" s="155">
        <f>H12-G12</f>
        <v>-80</v>
      </c>
      <c r="J12" s="189">
        <f>Jan!I12+Feb!I12+Mar!I12+Apr!I12+May!I12+Jun!I12+July!I12</f>
        <v>980</v>
      </c>
      <c r="K12" s="176"/>
      <c r="L12" s="131" t="s">
        <v>833</v>
      </c>
    </row>
    <row r="13" spans="1:17" s="131" customFormat="1" ht="13.5">
      <c r="A13" s="149"/>
      <c r="B13" s="153"/>
      <c r="G13" s="140"/>
      <c r="I13" s="155"/>
      <c r="J13" s="189"/>
      <c r="K13" s="176"/>
    </row>
    <row r="14" spans="1:17" s="131" customFormat="1" ht="13.5">
      <c r="A14" s="149" t="s">
        <v>427</v>
      </c>
      <c r="B14" s="153"/>
      <c r="G14" s="140"/>
      <c r="I14" s="155"/>
      <c r="J14" s="189"/>
      <c r="K14" s="176"/>
    </row>
    <row r="15" spans="1:17" s="131" customFormat="1" ht="13.5">
      <c r="B15" s="149" t="s">
        <v>329</v>
      </c>
      <c r="G15" s="132">
        <v>750</v>
      </c>
      <c r="H15" s="131">
        <v>750</v>
      </c>
      <c r="I15" s="155">
        <f t="shared" ref="I15:I26" si="0">H15-G15</f>
        <v>0</v>
      </c>
      <c r="J15" s="189">
        <f>Jan!I15+Feb!I15+Mar!I15+Apr!I15+May!I15+Jun!I15+July!I15</f>
        <v>0</v>
      </c>
      <c r="K15" s="176"/>
    </row>
    <row r="16" spans="1:17" s="131" customFormat="1" ht="13.5">
      <c r="B16" s="149" t="s">
        <v>395</v>
      </c>
      <c r="G16" s="132">
        <v>200</v>
      </c>
      <c r="H16" s="131">
        <v>200</v>
      </c>
      <c r="I16" s="155">
        <f t="shared" si="0"/>
        <v>0</v>
      </c>
      <c r="J16" s="189">
        <f>Jan!I16+Feb!I16+Mar!I16+Apr!I16+May!I16+Jun!I16+July!I16</f>
        <v>0</v>
      </c>
      <c r="K16" s="176"/>
    </row>
    <row r="17" spans="1:12" s="131" customFormat="1" ht="13.5">
      <c r="B17" s="149" t="s">
        <v>460</v>
      </c>
      <c r="G17" s="132">
        <v>300</v>
      </c>
      <c r="H17" s="131">
        <v>300</v>
      </c>
      <c r="I17" s="155"/>
      <c r="J17" s="189"/>
      <c r="K17" s="176"/>
    </row>
    <row r="18" spans="1:12" s="131" customFormat="1" ht="15.95" customHeight="1">
      <c r="B18" s="149" t="s">
        <v>396</v>
      </c>
      <c r="G18" s="132">
        <v>200</v>
      </c>
      <c r="H18" s="131">
        <v>200</v>
      </c>
      <c r="I18" s="155">
        <f t="shared" si="0"/>
        <v>0</v>
      </c>
      <c r="J18" s="189">
        <f>Jan!I18+Feb!I18+Mar!I18+Apr!I18+May!I18+Jun!I18+July!I18</f>
        <v>0</v>
      </c>
      <c r="K18" s="176"/>
    </row>
    <row r="19" spans="1:12" s="131" customFormat="1" ht="15.95" customHeight="1">
      <c r="B19" s="149" t="s">
        <v>461</v>
      </c>
      <c r="G19" s="132">
        <v>300</v>
      </c>
      <c r="H19" s="131">
        <v>300</v>
      </c>
      <c r="I19" s="155"/>
      <c r="J19" s="189"/>
      <c r="K19" s="176"/>
    </row>
    <row r="20" spans="1:12" s="131" customFormat="1" ht="15.95" customHeight="1">
      <c r="B20" s="149" t="s">
        <v>397</v>
      </c>
      <c r="G20" s="132">
        <v>50</v>
      </c>
      <c r="H20" s="131">
        <v>50</v>
      </c>
      <c r="I20" s="155">
        <f t="shared" si="0"/>
        <v>0</v>
      </c>
      <c r="J20" s="189">
        <f>Jan!I20+Feb!I20+Mar!I20+Apr!I20+May!I20+Jun!I20+July!I20</f>
        <v>0</v>
      </c>
      <c r="K20" s="176"/>
    </row>
    <row r="21" spans="1:12" s="131" customFormat="1" ht="15.95" customHeight="1">
      <c r="A21" s="149"/>
      <c r="B21" s="153"/>
      <c r="G21" s="140"/>
      <c r="I21" s="155"/>
      <c r="J21" s="189"/>
      <c r="K21" s="176"/>
    </row>
    <row r="22" spans="1:12" s="131" customFormat="1" ht="15.95" customHeight="1">
      <c r="A22" s="149" t="s">
        <v>428</v>
      </c>
      <c r="B22" s="149" t="s">
        <v>594</v>
      </c>
      <c r="G22" s="140">
        <v>500</v>
      </c>
      <c r="H22" s="131">
        <v>500</v>
      </c>
      <c r="I22" s="155">
        <f t="shared" si="0"/>
        <v>0</v>
      </c>
      <c r="J22" s="189">
        <f>Jan!I22+Feb!I22+Mar!I22+Apr!I22+May!I22+Jun!I22+July!I22</f>
        <v>0</v>
      </c>
      <c r="K22" s="176"/>
    </row>
    <row r="23" spans="1:12" s="131" customFormat="1" ht="15.95" customHeight="1">
      <c r="A23" s="149"/>
      <c r="B23" s="153" t="s">
        <v>595</v>
      </c>
      <c r="G23" s="140"/>
      <c r="I23" s="155"/>
      <c r="J23" s="189"/>
      <c r="K23" s="176"/>
    </row>
    <row r="24" spans="1:12" s="131" customFormat="1" ht="15.95" customHeight="1">
      <c r="A24" s="149" t="s">
        <v>429</v>
      </c>
      <c r="B24" s="153"/>
      <c r="G24" s="140"/>
      <c r="I24" s="155"/>
      <c r="J24" s="189"/>
      <c r="K24" s="176"/>
    </row>
    <row r="25" spans="1:12" s="131" customFormat="1" ht="15.95" customHeight="1">
      <c r="B25" s="149" t="s">
        <v>363</v>
      </c>
      <c r="G25" s="140"/>
      <c r="H25" s="131">
        <v>1500</v>
      </c>
      <c r="I25" s="155">
        <f t="shared" si="0"/>
        <v>1500</v>
      </c>
      <c r="J25" s="189">
        <f>Jan!I25+Feb!I25+Mar!I25+Apr!I25+May!I25+Jun!I25+July!I25</f>
        <v>9000</v>
      </c>
      <c r="K25" s="176"/>
    </row>
    <row r="26" spans="1:12" s="131" customFormat="1" ht="12.75" customHeight="1">
      <c r="B26" s="149" t="s">
        <v>399</v>
      </c>
      <c r="H26" s="131">
        <v>500</v>
      </c>
      <c r="I26" s="155">
        <f t="shared" si="0"/>
        <v>500</v>
      </c>
      <c r="J26" s="192">
        <f>Jan!I26+Feb!I26+Mar!I26+Apr!I26+May!I26+Jun!I26+July!I26</f>
        <v>3500</v>
      </c>
      <c r="K26" s="176"/>
    </row>
    <row r="27" spans="1:12" s="131" customFormat="1" ht="12.75" customHeight="1">
      <c r="A27" s="149"/>
      <c r="G27" s="157"/>
      <c r="H27" s="157"/>
      <c r="I27" s="159"/>
      <c r="J27" s="171"/>
      <c r="K27" s="171"/>
    </row>
    <row r="28" spans="1:12" s="131" customFormat="1" ht="12.75" customHeight="1" thickBot="1">
      <c r="A28" s="149"/>
      <c r="B28" s="149"/>
      <c r="G28" s="158">
        <f>SUM(G12:G26)</f>
        <v>3180</v>
      </c>
      <c r="H28" s="158">
        <f>SUM(H12:H26)</f>
        <v>5100</v>
      </c>
      <c r="I28" s="158">
        <f>SUM(I12:I26)</f>
        <v>1920</v>
      </c>
      <c r="J28" s="158">
        <f>SUM(J12:J26)</f>
        <v>13480</v>
      </c>
      <c r="K28" s="177"/>
    </row>
    <row r="29" spans="1:12" s="131" customFormat="1" ht="12.75" customHeight="1" thickTop="1">
      <c r="A29" s="149"/>
      <c r="B29" s="149"/>
      <c r="G29" s="142"/>
      <c r="H29" s="142"/>
      <c r="I29" s="142"/>
      <c r="J29" s="142"/>
      <c r="K29" s="177"/>
    </row>
    <row r="30" spans="1:12" s="131" customFormat="1" ht="12.75" customHeight="1" thickBot="1">
      <c r="A30" s="149"/>
      <c r="B30" s="149"/>
      <c r="G30" s="142"/>
      <c r="H30" s="142"/>
      <c r="I30" s="142"/>
      <c r="J30" s="142"/>
      <c r="K30" s="177"/>
    </row>
    <row r="31" spans="1:12" s="131" customFormat="1" ht="12.75" customHeight="1" thickBot="1">
      <c r="A31" s="149" t="s">
        <v>442</v>
      </c>
      <c r="B31" s="149"/>
      <c r="G31" s="185"/>
      <c r="H31" s="142"/>
      <c r="I31" s="142"/>
      <c r="J31" s="142"/>
      <c r="K31" s="177"/>
      <c r="L31" s="142"/>
    </row>
    <row r="32" spans="1:12" s="131" customFormat="1" ht="12.75" customHeight="1" thickBot="1">
      <c r="A32" s="149"/>
      <c r="B32" s="149"/>
      <c r="G32" s="142"/>
      <c r="H32" s="142"/>
      <c r="I32" s="142"/>
      <c r="J32" s="142"/>
      <c r="K32" s="177"/>
      <c r="L32" s="142"/>
    </row>
    <row r="33" spans="1:14" s="131" customFormat="1" ht="12.75" customHeight="1" thickBot="1">
      <c r="A33" s="149" t="s">
        <v>425</v>
      </c>
      <c r="B33" s="149"/>
      <c r="G33" s="169">
        <f>B4-G28</f>
        <v>7090.76</v>
      </c>
      <c r="H33" s="142"/>
      <c r="I33" s="142"/>
      <c r="J33" s="142"/>
      <c r="K33" s="177"/>
      <c r="L33" s="142"/>
    </row>
    <row r="34" spans="1:14" s="131" customFormat="1" ht="12.75" customHeight="1">
      <c r="A34" s="149"/>
      <c r="B34" s="149"/>
      <c r="G34" s="170"/>
      <c r="H34" s="142"/>
      <c r="I34" s="142"/>
      <c r="J34" s="142"/>
      <c r="K34" s="177"/>
      <c r="L34" s="142"/>
    </row>
    <row r="35" spans="1:14" s="131" customFormat="1" ht="12.75" customHeight="1">
      <c r="A35" s="149" t="s">
        <v>432</v>
      </c>
      <c r="B35" s="149"/>
      <c r="G35" s="170">
        <f>E46</f>
        <v>6293.52</v>
      </c>
      <c r="H35" s="142"/>
      <c r="I35" s="142"/>
      <c r="J35" s="142"/>
      <c r="K35" s="177"/>
      <c r="L35" s="142"/>
    </row>
    <row r="36" spans="1:14" s="131" customFormat="1" ht="12.75" customHeight="1">
      <c r="A36" s="149"/>
      <c r="B36" s="149"/>
      <c r="G36" s="170"/>
      <c r="H36" s="142"/>
      <c r="I36" s="142"/>
      <c r="J36" s="142"/>
      <c r="K36" s="177"/>
      <c r="L36" s="142"/>
    </row>
    <row r="37" spans="1:14" s="131" customFormat="1" ht="13.5">
      <c r="A37" s="149" t="s">
        <v>433</v>
      </c>
      <c r="B37" s="149"/>
      <c r="G37" s="170">
        <f>B131</f>
        <v>500</v>
      </c>
      <c r="H37" s="142" t="s">
        <v>435</v>
      </c>
      <c r="I37" s="142"/>
      <c r="J37" s="142"/>
      <c r="K37" s="177"/>
      <c r="L37" s="142"/>
    </row>
    <row r="38" spans="1:14" s="131" customFormat="1" ht="13.5">
      <c r="A38" s="149"/>
      <c r="B38" s="149"/>
      <c r="G38" s="170"/>
      <c r="H38" s="142"/>
      <c r="I38" s="142"/>
      <c r="J38" s="142"/>
      <c r="K38" s="177"/>
      <c r="L38" s="142"/>
    </row>
    <row r="39" spans="1:14" s="131" customFormat="1" ht="13.5">
      <c r="A39" s="149" t="s">
        <v>430</v>
      </c>
      <c r="B39" s="149"/>
      <c r="G39" s="239">
        <f>G33-G35-G37+G31</f>
        <v>297.23999999999978</v>
      </c>
      <c r="H39" s="142"/>
      <c r="I39" s="142"/>
      <c r="J39" s="142"/>
      <c r="K39" s="177"/>
      <c r="L39" s="142"/>
    </row>
    <row r="40" spans="1:14" s="131" customFormat="1" ht="13.5">
      <c r="A40" s="149"/>
      <c r="B40" s="149"/>
      <c r="G40" s="196"/>
      <c r="H40" s="142"/>
      <c r="I40" s="142"/>
      <c r="J40" s="142"/>
      <c r="K40" s="177"/>
      <c r="L40" s="142"/>
    </row>
    <row r="41" spans="1:14" s="131" customFormat="1" ht="13.5">
      <c r="A41" s="197" t="s">
        <v>478</v>
      </c>
      <c r="B41" s="149"/>
      <c r="G41" s="196"/>
      <c r="H41" s="142"/>
      <c r="I41" s="142"/>
      <c r="J41" s="142"/>
      <c r="K41" s="177"/>
      <c r="L41" s="142"/>
    </row>
    <row r="42" spans="1:14" s="131" customFormat="1" ht="14.25">
      <c r="B42" s="197" t="s">
        <v>464</v>
      </c>
      <c r="C42" s="150">
        <f>H57+H58+H63+H64+H72+H73+H74+H81+H82+H83+H88+H91+H92+H93+H94+H95+H100+H104+H105+H106+H107+H108+H109+H110+H113+H117+H120+H121+H124</f>
        <v>1650</v>
      </c>
      <c r="D42" s="197" t="s">
        <v>465</v>
      </c>
      <c r="E42" s="150">
        <f>G57+G58+G63+G64+G72+G73+G74+G81+G82+G83+G88+G91+G92+G93+G94+G95+G100+G104+G105+G106+G107+G108+G109+G110+G113+G117+G120+G121+G124</f>
        <v>3027.5500000000006</v>
      </c>
      <c r="G42" s="196"/>
      <c r="H42" s="142"/>
      <c r="I42" s="142"/>
      <c r="J42" s="142"/>
      <c r="K42" s="177"/>
      <c r="L42" s="291"/>
      <c r="M42" s="267">
        <f>M46+M44-M43</f>
        <v>3700.05</v>
      </c>
      <c r="N42" s="267">
        <f>N46</f>
        <v>510.09000000000003</v>
      </c>
    </row>
    <row r="43" spans="1:14" s="131" customFormat="1" ht="14.25">
      <c r="A43" s="149"/>
      <c r="B43" s="149"/>
      <c r="I43" s="152"/>
      <c r="J43" s="187" t="s">
        <v>439</v>
      </c>
      <c r="K43" s="174"/>
      <c r="L43" s="267" t="s">
        <v>534</v>
      </c>
      <c r="M43" s="267">
        <v>100</v>
      </c>
      <c r="N43" s="267"/>
    </row>
    <row r="44" spans="1:14" s="131" customFormat="1" ht="14.25">
      <c r="A44" s="149"/>
      <c r="B44" s="149"/>
      <c r="G44" s="140"/>
      <c r="I44" s="152" t="s">
        <v>80</v>
      </c>
      <c r="J44" s="187" t="s">
        <v>440</v>
      </c>
      <c r="K44" s="174"/>
      <c r="L44" s="267" t="s">
        <v>515</v>
      </c>
      <c r="M44" s="267">
        <v>100</v>
      </c>
      <c r="N44" s="267"/>
    </row>
    <row r="45" spans="1:14" s="131" customFormat="1" ht="14.25" thickBot="1">
      <c r="B45" s="149"/>
      <c r="G45" s="140" t="s">
        <v>331</v>
      </c>
      <c r="H45" s="131" t="s">
        <v>84</v>
      </c>
      <c r="I45" s="154" t="s">
        <v>83</v>
      </c>
      <c r="J45" s="188" t="s">
        <v>441</v>
      </c>
      <c r="K45" s="175"/>
      <c r="L45" s="180" t="s">
        <v>332</v>
      </c>
      <c r="M45" s="181" t="s">
        <v>333</v>
      </c>
      <c r="N45" s="181" t="s">
        <v>334</v>
      </c>
    </row>
    <row r="46" spans="1:14" s="131" customFormat="1" ht="14.25" thickBot="1">
      <c r="A46" s="149" t="s">
        <v>434</v>
      </c>
      <c r="D46"/>
      <c r="E46" s="262">
        <f>B48+B56+B62+B66+B71+B80+B85+B90+B97+B103+B112+B116+B119+B123+B126</f>
        <v>6293.52</v>
      </c>
      <c r="G46" s="191">
        <f>SUM(G49:G140)</f>
        <v>6793.52</v>
      </c>
      <c r="H46" s="191">
        <f>SUM(H49:H140)</f>
        <v>4603.1400000000003</v>
      </c>
      <c r="I46" s="191">
        <f>H46-G46</f>
        <v>-2190.38</v>
      </c>
      <c r="J46" s="191">
        <f>SUM(J48:J140)</f>
        <v>-10776.820000000002</v>
      </c>
      <c r="K46" s="178"/>
      <c r="L46" s="182">
        <f>SUM(L49:L140)</f>
        <v>2583.3800000000006</v>
      </c>
      <c r="M46" s="183">
        <f>SUM(M49:M140)</f>
        <v>3700.05</v>
      </c>
      <c r="N46" s="184">
        <f>SUM(N49:N140)</f>
        <v>510.09000000000003</v>
      </c>
    </row>
    <row r="47" spans="1:14" s="131" customFormat="1" ht="13.5">
      <c r="A47" s="131" t="s">
        <v>421</v>
      </c>
      <c r="I47" s="152"/>
      <c r="J47" s="187"/>
      <c r="K47" s="174"/>
      <c r="L47" s="115"/>
      <c r="M47" s="116"/>
      <c r="N47" s="116"/>
    </row>
    <row r="48" spans="1:14" s="131" customFormat="1" ht="13.5">
      <c r="A48" s="149" t="s">
        <v>547</v>
      </c>
      <c r="B48" s="149">
        <f>SUM(G49:G54)</f>
        <v>2197.4400000000005</v>
      </c>
      <c r="C48" s="149">
        <f>SUM(H49:H54)</f>
        <v>1739.6400000000003</v>
      </c>
      <c r="D48" s="149">
        <f>SUM(I49:I54)</f>
        <v>-457.79999999999984</v>
      </c>
      <c r="I48" s="152"/>
      <c r="J48" s="187"/>
      <c r="K48" s="174"/>
      <c r="L48" s="115"/>
      <c r="M48" s="116"/>
      <c r="N48" s="116"/>
    </row>
    <row r="49" spans="1:15" s="131" customFormat="1" ht="13.5">
      <c r="B49" s="131" t="s">
        <v>550</v>
      </c>
      <c r="G49" s="131">
        <f t="shared" ref="G49:G54" si="1">SUM(L49:N49)</f>
        <v>708.8</v>
      </c>
      <c r="H49" s="131">
        <v>0</v>
      </c>
      <c r="I49" s="152">
        <f t="shared" ref="I49:I54" si="2">H49-G49</f>
        <v>-708.8</v>
      </c>
      <c r="J49" s="187">
        <f>Jan!I49+Feb!I49+Mar!I49+Apr!I49+May!I49+Jun!I49+July!I49</f>
        <v>-2426.06</v>
      </c>
      <c r="K49" s="174"/>
      <c r="L49" s="115">
        <v>28.8</v>
      </c>
      <c r="M49" s="116">
        <v>680</v>
      </c>
      <c r="N49" s="116"/>
      <c r="O49" s="131" t="s">
        <v>818</v>
      </c>
    </row>
    <row r="50" spans="1:15" s="131" customFormat="1" ht="13.5">
      <c r="B50" s="131" t="s">
        <v>622</v>
      </c>
      <c r="G50" s="131">
        <f t="shared" si="1"/>
        <v>-23.4</v>
      </c>
      <c r="H50" s="131">
        <v>1250</v>
      </c>
      <c r="I50" s="152">
        <f t="shared" si="2"/>
        <v>1273.4000000000001</v>
      </c>
      <c r="J50" s="187">
        <f>Jan!I50+Feb!I50+Mar!I50+Apr!I50+May!I50+Jun!I50+July!I50</f>
        <v>-6250.9900000000016</v>
      </c>
      <c r="K50" s="174"/>
      <c r="L50" s="115"/>
      <c r="M50" s="116">
        <f>-60.99+37.59</f>
        <v>-23.4</v>
      </c>
      <c r="N50" s="116"/>
    </row>
    <row r="51" spans="1:15" s="131" customFormat="1" ht="13.5">
      <c r="B51" s="131" t="s">
        <v>624</v>
      </c>
      <c r="G51" s="131">
        <f t="shared" si="1"/>
        <v>562.85</v>
      </c>
      <c r="H51" s="131">
        <v>540.45000000000005</v>
      </c>
      <c r="I51" s="152">
        <f t="shared" si="2"/>
        <v>-22.399999999999977</v>
      </c>
      <c r="J51" s="187">
        <f>Jan!I51+Feb!I51+Mar!I51+Apr!I51+May!I51+Jun!I51+July!I51</f>
        <v>239.10000000000002</v>
      </c>
      <c r="K51" s="174"/>
      <c r="L51" s="115">
        <v>540.45000000000005</v>
      </c>
      <c r="M51" s="116">
        <v>22.4</v>
      </c>
      <c r="N51" s="116"/>
      <c r="O51" s="131" t="s">
        <v>798</v>
      </c>
    </row>
    <row r="52" spans="1:15" s="131" customFormat="1" ht="13.5">
      <c r="B52" s="131" t="s">
        <v>551</v>
      </c>
      <c r="G52" s="131">
        <f t="shared" si="1"/>
        <v>1636.68</v>
      </c>
      <c r="H52" s="131">
        <v>1636.68</v>
      </c>
      <c r="I52" s="152">
        <f t="shared" si="2"/>
        <v>0</v>
      </c>
      <c r="J52" s="187">
        <f>Jan!I52+Feb!I52+Mar!I52+Apr!I52+May!I52+Jun!I52+July!I52</f>
        <v>1636.68</v>
      </c>
      <c r="K52" s="174"/>
      <c r="L52" s="115">
        <v>1636.68</v>
      </c>
      <c r="M52" s="116"/>
      <c r="N52" s="116"/>
    </row>
    <row r="53" spans="1:15" s="131" customFormat="1" ht="13.5">
      <c r="B53" s="131" t="s">
        <v>329</v>
      </c>
      <c r="G53" s="131">
        <f t="shared" si="1"/>
        <v>312.51</v>
      </c>
      <c r="H53" s="131">
        <v>312.51</v>
      </c>
      <c r="I53" s="152">
        <f t="shared" si="2"/>
        <v>0</v>
      </c>
      <c r="J53" s="187">
        <f>Jan!I53+Feb!I53+Mar!I53+Apr!I53+May!I53+Jun!I53+July!I53</f>
        <v>312.51</v>
      </c>
      <c r="K53" s="174"/>
      <c r="L53" s="115">
        <v>312.51</v>
      </c>
      <c r="M53" s="116"/>
      <c r="N53" s="116"/>
    </row>
    <row r="54" spans="1:15" s="131" customFormat="1" ht="13.5">
      <c r="B54" s="131" t="s">
        <v>625</v>
      </c>
      <c r="G54" s="131">
        <f t="shared" si="1"/>
        <v>-1000</v>
      </c>
      <c r="H54" s="131">
        <v>-2000</v>
      </c>
      <c r="I54" s="152">
        <f t="shared" si="2"/>
        <v>-1000</v>
      </c>
      <c r="J54" s="187">
        <f>Jan!I54+Feb!I54+Mar!I54+Apr!I54+May!I54+Jun!I54+July!I54</f>
        <v>-1000</v>
      </c>
      <c r="K54" s="174"/>
      <c r="L54" s="115">
        <f>1000-2000</f>
        <v>-1000</v>
      </c>
      <c r="M54" s="116"/>
      <c r="N54" s="116"/>
      <c r="O54" s="131" t="s">
        <v>807</v>
      </c>
    </row>
    <row r="55" spans="1:15" s="131" customFormat="1" ht="13.5">
      <c r="I55" s="152"/>
      <c r="J55" s="187"/>
      <c r="K55" s="174"/>
      <c r="L55" s="115"/>
      <c r="M55" s="116"/>
      <c r="N55" s="116"/>
    </row>
    <row r="56" spans="1:15" s="131" customFormat="1" ht="13.5">
      <c r="A56" s="149" t="s">
        <v>85</v>
      </c>
      <c r="B56" s="149">
        <f>SUM(G57:G60)</f>
        <v>124.94</v>
      </c>
      <c r="C56" s="149">
        <f>SUM(H57:H60)</f>
        <v>355</v>
      </c>
      <c r="D56" s="149">
        <f>C56-B56</f>
        <v>230.06</v>
      </c>
      <c r="I56" s="152"/>
      <c r="J56" s="187"/>
      <c r="K56" s="174"/>
      <c r="L56" s="115"/>
      <c r="M56" s="116"/>
      <c r="N56" s="116"/>
    </row>
    <row r="57" spans="1:15" s="131" customFormat="1" ht="13.5">
      <c r="B57" s="131" t="s">
        <v>41</v>
      </c>
      <c r="C57" s="131" t="s">
        <v>42</v>
      </c>
      <c r="G57" s="131">
        <f>SUM(L57:N57)</f>
        <v>124.94</v>
      </c>
      <c r="H57" s="131">
        <v>110</v>
      </c>
      <c r="I57" s="152">
        <f>H57-G57</f>
        <v>-14.939999999999998</v>
      </c>
      <c r="J57" s="187">
        <f>Jan!I57+Feb!I57+Mar!I57+Apr!I57+May!I57+Jun!I57+July!I57</f>
        <v>-32.379999999999981</v>
      </c>
      <c r="K57" s="174"/>
      <c r="L57" s="115">
        <v>124.94</v>
      </c>
      <c r="M57" s="116"/>
      <c r="N57" s="116"/>
    </row>
    <row r="58" spans="1:15" s="131" customFormat="1" ht="13.5">
      <c r="B58" s="131" t="s">
        <v>43</v>
      </c>
      <c r="C58" s="131" t="s">
        <v>44</v>
      </c>
      <c r="G58" s="131">
        <f t="shared" ref="G58:G121" si="3">SUM(L58:N58)</f>
        <v>0</v>
      </c>
      <c r="H58" s="131">
        <v>45</v>
      </c>
      <c r="I58" s="152">
        <f t="shared" ref="I58:I121" si="4">H58-G58</f>
        <v>45</v>
      </c>
      <c r="J58" s="187">
        <f>Jan!I58+Feb!I58+Mar!I58+Apr!I58+May!I58+Jun!I58+July!I58</f>
        <v>248.2</v>
      </c>
      <c r="K58" s="174"/>
      <c r="L58" s="115"/>
      <c r="M58" s="116"/>
      <c r="N58" s="116"/>
    </row>
    <row r="59" spans="1:15" s="131" customFormat="1" ht="13.5">
      <c r="B59" s="198" t="s">
        <v>86</v>
      </c>
      <c r="C59" s="198" t="s">
        <v>87</v>
      </c>
      <c r="D59" s="198" t="s">
        <v>423</v>
      </c>
      <c r="E59" s="198"/>
      <c r="F59" s="198"/>
      <c r="G59" s="131">
        <f t="shared" si="3"/>
        <v>0</v>
      </c>
      <c r="H59" s="131">
        <v>90</v>
      </c>
      <c r="I59" s="152">
        <f t="shared" si="4"/>
        <v>90</v>
      </c>
      <c r="J59" s="187">
        <f>Jan!I59+Feb!I59+Mar!I59+Apr!I59+May!I59+Jun!I59+July!I59</f>
        <v>-595</v>
      </c>
      <c r="K59" s="174"/>
      <c r="L59" s="115"/>
      <c r="M59" s="116"/>
      <c r="N59" s="116"/>
    </row>
    <row r="60" spans="1:15" s="131" customFormat="1" ht="13.5">
      <c r="B60" s="198" t="s">
        <v>88</v>
      </c>
      <c r="C60" s="198" t="s">
        <v>89</v>
      </c>
      <c r="D60" s="198" t="s">
        <v>424</v>
      </c>
      <c r="E60" s="198"/>
      <c r="F60" s="198"/>
      <c r="G60" s="131">
        <f t="shared" si="3"/>
        <v>0</v>
      </c>
      <c r="H60" s="131">
        <v>110</v>
      </c>
      <c r="I60" s="152">
        <f t="shared" si="4"/>
        <v>110</v>
      </c>
      <c r="J60" s="187">
        <f>Jan!I60+Feb!I60+Mar!I60+Apr!I60+May!I60+Jun!I60+July!I60</f>
        <v>-619.71999999999991</v>
      </c>
      <c r="K60" s="174"/>
      <c r="L60" s="115"/>
      <c r="M60" s="116"/>
      <c r="N60" s="116"/>
    </row>
    <row r="61" spans="1:15" s="131" customFormat="1" ht="13.5">
      <c r="I61" s="152"/>
      <c r="J61" s="187"/>
      <c r="K61" s="174"/>
      <c r="L61" s="115"/>
      <c r="M61" s="116"/>
      <c r="N61" s="116"/>
    </row>
    <row r="62" spans="1:15" s="131" customFormat="1" ht="13.5">
      <c r="A62" s="149" t="s">
        <v>91</v>
      </c>
      <c r="B62" s="149">
        <f>SUM(G63:G64)</f>
        <v>142.45999999999998</v>
      </c>
      <c r="C62" s="149">
        <f>SUM(H63:H64)</f>
        <v>138</v>
      </c>
      <c r="D62" s="149">
        <f>C62-B62</f>
        <v>-4.4599999999999795</v>
      </c>
      <c r="I62" s="152"/>
      <c r="J62" s="187"/>
      <c r="K62" s="174"/>
      <c r="L62" s="115"/>
      <c r="M62" s="116"/>
      <c r="N62" s="116"/>
    </row>
    <row r="63" spans="1:15" s="131" customFormat="1" ht="13.5">
      <c r="B63" s="131" t="s">
        <v>50</v>
      </c>
      <c r="C63" s="131" t="s">
        <v>51</v>
      </c>
      <c r="G63" s="131">
        <f t="shared" si="3"/>
        <v>65.97</v>
      </c>
      <c r="H63" s="131">
        <v>63</v>
      </c>
      <c r="I63" s="152">
        <f t="shared" si="4"/>
        <v>-2.9699999999999989</v>
      </c>
      <c r="J63" s="187">
        <f>Jan!I63+Feb!I63+Mar!I63+Apr!I63+May!I63+Jun!I63+July!I63</f>
        <v>-14.789999999999992</v>
      </c>
      <c r="K63" s="174"/>
      <c r="L63" s="115"/>
      <c r="M63" s="116">
        <v>65.97</v>
      </c>
      <c r="N63" s="116"/>
    </row>
    <row r="64" spans="1:15" s="131" customFormat="1" ht="13.5">
      <c r="B64" s="131" t="s">
        <v>92</v>
      </c>
      <c r="C64" s="131" t="s">
        <v>93</v>
      </c>
      <c r="D64" s="156"/>
      <c r="G64" s="131">
        <f t="shared" si="3"/>
        <v>76.489999999999995</v>
      </c>
      <c r="H64" s="131">
        <v>75</v>
      </c>
      <c r="I64" s="152">
        <f t="shared" si="4"/>
        <v>-1.4899999999999949</v>
      </c>
      <c r="J64" s="187">
        <f>Jan!I64+Feb!I64+Mar!I64+Apr!I64+May!I64+Jun!I64+July!I64</f>
        <v>10.090000000000018</v>
      </c>
      <c r="K64" s="174"/>
      <c r="L64" s="115"/>
      <c r="M64" s="116">
        <v>76.489999999999995</v>
      </c>
      <c r="N64" s="116"/>
    </row>
    <row r="65" spans="1:15" s="131" customFormat="1" ht="13.5">
      <c r="I65" s="152"/>
      <c r="J65" s="187"/>
      <c r="K65" s="174"/>
      <c r="L65" s="115"/>
      <c r="M65" s="116"/>
      <c r="N65" s="116"/>
    </row>
    <row r="66" spans="1:15" s="131" customFormat="1" ht="13.5">
      <c r="A66" s="193" t="s">
        <v>94</v>
      </c>
      <c r="B66" s="149">
        <f>SUM(G67:G69)</f>
        <v>0</v>
      </c>
      <c r="C66" s="149">
        <f>SUM(H67:H69)</f>
        <v>177</v>
      </c>
      <c r="D66" s="149">
        <f>C66-B66</f>
        <v>177</v>
      </c>
      <c r="I66" s="152"/>
      <c r="J66" s="187"/>
      <c r="K66" s="174"/>
      <c r="L66" s="115"/>
      <c r="M66" s="116"/>
      <c r="N66" s="116"/>
    </row>
    <row r="67" spans="1:15" s="131" customFormat="1" ht="13.5">
      <c r="B67" s="198" t="s">
        <v>95</v>
      </c>
      <c r="C67" s="198"/>
      <c r="D67" s="198" t="s">
        <v>96</v>
      </c>
      <c r="E67" s="198"/>
      <c r="F67" s="198"/>
      <c r="G67" s="131">
        <f t="shared" si="3"/>
        <v>0</v>
      </c>
      <c r="H67" s="131">
        <v>56.5</v>
      </c>
      <c r="I67" s="152">
        <f t="shared" si="4"/>
        <v>56.5</v>
      </c>
      <c r="J67" s="187">
        <f>Jan!I67+Feb!I67+Mar!I67+Apr!I67+May!I67+Jun!I67+July!I67</f>
        <v>-320.5</v>
      </c>
      <c r="K67" s="174"/>
      <c r="L67" s="115"/>
      <c r="M67" s="116"/>
      <c r="N67" s="116"/>
    </row>
    <row r="68" spans="1:15" s="131" customFormat="1" ht="13.5">
      <c r="B68" s="198" t="s">
        <v>97</v>
      </c>
      <c r="C68" s="198"/>
      <c r="D68" s="198" t="s">
        <v>96</v>
      </c>
      <c r="E68" s="198"/>
      <c r="F68" s="198"/>
      <c r="G68" s="131">
        <f t="shared" si="3"/>
        <v>0</v>
      </c>
      <c r="H68" s="131">
        <v>84.5</v>
      </c>
      <c r="I68" s="152">
        <f t="shared" si="4"/>
        <v>84.5</v>
      </c>
      <c r="J68" s="187">
        <f>Jan!I68+Feb!I68+Mar!I68+Apr!I68+May!I68+Jun!I68+July!I68</f>
        <v>-363.5</v>
      </c>
      <c r="K68" s="174"/>
      <c r="L68" s="115"/>
      <c r="M68" s="116"/>
      <c r="N68" s="116"/>
    </row>
    <row r="69" spans="1:15" s="131" customFormat="1" ht="13.5">
      <c r="B69" s="198" t="s">
        <v>98</v>
      </c>
      <c r="C69" s="198"/>
      <c r="D69" s="198" t="s">
        <v>477</v>
      </c>
      <c r="E69" s="198"/>
      <c r="F69" s="198"/>
      <c r="G69" s="131">
        <f t="shared" si="3"/>
        <v>0</v>
      </c>
      <c r="H69" s="131">
        <v>36</v>
      </c>
      <c r="I69" s="152">
        <f t="shared" si="4"/>
        <v>36</v>
      </c>
      <c r="J69" s="187">
        <f>Jan!I69+Feb!I69+Mar!I69+Apr!I69+May!I69+Jun!I69+July!I69</f>
        <v>252</v>
      </c>
      <c r="K69" s="174"/>
      <c r="L69" s="115"/>
      <c r="M69" s="116"/>
      <c r="N69" s="116"/>
    </row>
    <row r="70" spans="1:15" s="131" customFormat="1" ht="13.5">
      <c r="I70" s="152"/>
      <c r="J70" s="187"/>
      <c r="K70" s="174"/>
      <c r="L70" s="115"/>
      <c r="M70" s="116"/>
      <c r="N70" s="116"/>
    </row>
    <row r="71" spans="1:15" s="131" customFormat="1" ht="13.5">
      <c r="A71" s="149" t="s">
        <v>99</v>
      </c>
      <c r="B71" s="149">
        <f>SUM(G72:G78)</f>
        <v>265.99</v>
      </c>
      <c r="C71" s="149">
        <f>SUM(H72:H78)</f>
        <v>166.5</v>
      </c>
      <c r="D71" s="149">
        <f>C71-B71</f>
        <v>-99.490000000000009</v>
      </c>
      <c r="I71" s="152"/>
      <c r="J71" s="187"/>
      <c r="K71" s="174"/>
      <c r="L71" s="115"/>
      <c r="M71" s="116"/>
      <c r="N71" s="116"/>
    </row>
    <row r="72" spans="1:15" s="131" customFormat="1" ht="13.5">
      <c r="B72" s="131" t="s">
        <v>100</v>
      </c>
      <c r="G72" s="131">
        <f t="shared" si="3"/>
        <v>38.4</v>
      </c>
      <c r="H72" s="131">
        <v>15</v>
      </c>
      <c r="I72" s="152">
        <f t="shared" si="4"/>
        <v>-23.4</v>
      </c>
      <c r="J72" s="187">
        <f>Jan!I72+Feb!I72+Mar!I72+Apr!I72+May!I72+Jun!I72+July!I72</f>
        <v>5.43</v>
      </c>
      <c r="K72" s="174"/>
      <c r="L72" s="115"/>
      <c r="M72" s="116">
        <v>38.4</v>
      </c>
      <c r="N72" s="116"/>
      <c r="O72" s="131" t="s">
        <v>820</v>
      </c>
    </row>
    <row r="73" spans="1:15" s="131" customFormat="1" ht="13.5">
      <c r="B73" s="131" t="s">
        <v>384</v>
      </c>
      <c r="G73" s="131">
        <f t="shared" si="3"/>
        <v>0</v>
      </c>
      <c r="H73" s="131">
        <v>5</v>
      </c>
      <c r="I73" s="152">
        <f t="shared" si="4"/>
        <v>5</v>
      </c>
      <c r="J73" s="187">
        <f>Jan!I73+Feb!I73+Mar!I73+Apr!I73+May!I73+Jun!I73+July!I73</f>
        <v>-1.6100000000000012</v>
      </c>
      <c r="K73" s="174"/>
      <c r="L73" s="115"/>
      <c r="M73" s="116"/>
      <c r="N73" s="116"/>
    </row>
    <row r="74" spans="1:15" s="131" customFormat="1" ht="13.5">
      <c r="B74" s="131" t="s">
        <v>385</v>
      </c>
      <c r="G74" s="131">
        <f t="shared" si="3"/>
        <v>187.6</v>
      </c>
      <c r="H74" s="131">
        <v>65</v>
      </c>
      <c r="I74" s="152">
        <f t="shared" si="4"/>
        <v>-122.6</v>
      </c>
      <c r="J74" s="187">
        <f>Jan!I74+Feb!I74+Mar!I74+Apr!I74+May!I74+Jun!I74+July!I74</f>
        <v>-75.249999999999972</v>
      </c>
      <c r="K74" s="174"/>
      <c r="L74" s="115"/>
      <c r="M74" s="116">
        <f>79.33+12.49+50.43+2.25+15.34+27.76</f>
        <v>187.6</v>
      </c>
      <c r="N74" s="116"/>
      <c r="O74" s="131" t="s">
        <v>812</v>
      </c>
    </row>
    <row r="75" spans="1:15" s="131" customFormat="1" ht="13.5">
      <c r="B75" s="131" t="s">
        <v>386</v>
      </c>
      <c r="G75" s="131">
        <f t="shared" si="3"/>
        <v>39.99</v>
      </c>
      <c r="H75" s="131">
        <v>15</v>
      </c>
      <c r="I75" s="152">
        <f t="shared" si="4"/>
        <v>-24.990000000000002</v>
      </c>
      <c r="J75" s="187">
        <f>Jan!I75+Feb!I75+Mar!I75+Apr!I75+May!I75+Jun!I75+July!I75</f>
        <v>65.009999999999991</v>
      </c>
      <c r="K75" s="174"/>
      <c r="L75" s="115"/>
      <c r="M75" s="116">
        <f>39.99</f>
        <v>39.99</v>
      </c>
      <c r="N75" s="116"/>
      <c r="O75" s="131" t="s">
        <v>811</v>
      </c>
    </row>
    <row r="76" spans="1:15" s="131" customFormat="1" ht="13.5">
      <c r="B76" s="198" t="s">
        <v>390</v>
      </c>
      <c r="C76" s="198"/>
      <c r="D76" s="198"/>
      <c r="E76" s="198"/>
      <c r="F76" s="198"/>
      <c r="G76" s="131">
        <f t="shared" si="3"/>
        <v>0</v>
      </c>
      <c r="H76" s="131">
        <v>35</v>
      </c>
      <c r="I76" s="152">
        <f t="shared" si="4"/>
        <v>35</v>
      </c>
      <c r="J76" s="187">
        <f>Jan!I76+Feb!I76+Mar!I76+Apr!I76+May!I76+Jun!I76+July!I76</f>
        <v>245</v>
      </c>
      <c r="K76" s="174"/>
      <c r="L76" s="115"/>
      <c r="M76" s="116"/>
      <c r="N76" s="116"/>
    </row>
    <row r="77" spans="1:15" s="131" customFormat="1" ht="13.5">
      <c r="B77" s="198" t="s">
        <v>387</v>
      </c>
      <c r="C77" s="198"/>
      <c r="D77" s="198"/>
      <c r="E77" s="198"/>
      <c r="F77" s="198"/>
      <c r="G77" s="131">
        <f t="shared" si="3"/>
        <v>0</v>
      </c>
      <c r="H77" s="131">
        <v>20</v>
      </c>
      <c r="I77" s="152">
        <f t="shared" si="4"/>
        <v>20</v>
      </c>
      <c r="J77" s="187">
        <f>Jan!I77+Feb!I77+Mar!I77+Apr!I77+May!I77+Jun!I77+July!I77</f>
        <v>140</v>
      </c>
      <c r="K77" s="174"/>
      <c r="L77" s="115"/>
      <c r="M77" s="116"/>
      <c r="N77" s="116"/>
    </row>
    <row r="78" spans="1:15" s="131" customFormat="1" ht="13.5">
      <c r="B78" s="198" t="s">
        <v>388</v>
      </c>
      <c r="C78" s="198"/>
      <c r="D78" s="198"/>
      <c r="E78" s="198"/>
      <c r="F78" s="198"/>
      <c r="G78" s="131">
        <f t="shared" si="3"/>
        <v>0</v>
      </c>
      <c r="H78" s="131">
        <v>11.5</v>
      </c>
      <c r="I78" s="152">
        <f t="shared" si="4"/>
        <v>11.5</v>
      </c>
      <c r="J78" s="187">
        <f>Jan!I78+Feb!I78+Mar!I78+Apr!I78+May!I78+Jun!I78+July!I78</f>
        <v>-45.489999999999995</v>
      </c>
      <c r="K78" s="174"/>
      <c r="L78" s="115"/>
      <c r="M78" s="116"/>
      <c r="N78" s="116"/>
    </row>
    <row r="79" spans="1:15" s="131" customFormat="1" ht="13.5">
      <c r="I79" s="152"/>
      <c r="J79" s="187"/>
      <c r="K79" s="174"/>
      <c r="L79" s="115"/>
      <c r="M79" s="116"/>
      <c r="N79" s="116"/>
    </row>
    <row r="80" spans="1:15" s="131" customFormat="1" ht="13.5">
      <c r="A80" s="149" t="s">
        <v>335</v>
      </c>
      <c r="B80" s="149">
        <f>SUM(G81:G83)</f>
        <v>486.76</v>
      </c>
      <c r="C80" s="149">
        <f>SUM(H81:H83)</f>
        <v>30</v>
      </c>
      <c r="D80" s="149">
        <f>C80-B80</f>
        <v>-456.76</v>
      </c>
      <c r="I80" s="152"/>
      <c r="J80" s="187"/>
      <c r="K80" s="174"/>
      <c r="L80" s="115"/>
      <c r="M80" s="116"/>
      <c r="N80" s="116"/>
    </row>
    <row r="81" spans="1:15" s="131" customFormat="1" ht="13.5">
      <c r="B81" s="198" t="s">
        <v>101</v>
      </c>
      <c r="C81" s="198"/>
      <c r="D81" s="198"/>
      <c r="E81" s="198"/>
      <c r="F81" s="198"/>
      <c r="G81" s="131">
        <f t="shared" si="3"/>
        <v>453</v>
      </c>
      <c r="H81" s="131">
        <v>10</v>
      </c>
      <c r="I81" s="152">
        <f t="shared" si="4"/>
        <v>-443</v>
      </c>
      <c r="J81" s="187">
        <f>Jan!I81+Feb!I81+Mar!I81+Apr!I81+May!I81+Jun!I81+July!I81</f>
        <v>-383</v>
      </c>
      <c r="K81" s="174"/>
      <c r="L81" s="115"/>
      <c r="M81" s="116">
        <f>416.45+275.55-239</f>
        <v>453</v>
      </c>
      <c r="N81" s="116"/>
      <c r="O81" s="131" t="s">
        <v>819</v>
      </c>
    </row>
    <row r="82" spans="1:15" s="131" customFormat="1" ht="13.5">
      <c r="B82" s="198" t="s">
        <v>102</v>
      </c>
      <c r="C82" s="198"/>
      <c r="D82" s="198"/>
      <c r="E82" s="198"/>
      <c r="F82" s="198"/>
      <c r="G82" s="131">
        <f t="shared" si="3"/>
        <v>0</v>
      </c>
      <c r="H82" s="131">
        <v>10</v>
      </c>
      <c r="I82" s="152">
        <f t="shared" si="4"/>
        <v>10</v>
      </c>
      <c r="J82" s="187">
        <f>Jan!I82+Feb!I82+Mar!I82+Apr!I82+May!I82+Jun!I82+July!I82</f>
        <v>3.0600000000000023</v>
      </c>
      <c r="K82" s="174"/>
      <c r="L82" s="115"/>
      <c r="M82" s="116"/>
      <c r="N82" s="116"/>
    </row>
    <row r="83" spans="1:15" s="131" customFormat="1" ht="13.5">
      <c r="B83" s="198" t="s">
        <v>383</v>
      </c>
      <c r="C83" s="198"/>
      <c r="D83" s="198"/>
      <c r="E83" s="198"/>
      <c r="F83" s="198"/>
      <c r="G83" s="131">
        <f t="shared" si="3"/>
        <v>33.76</v>
      </c>
      <c r="H83" s="131">
        <v>10</v>
      </c>
      <c r="I83" s="152">
        <f t="shared" si="4"/>
        <v>-23.759999999999998</v>
      </c>
      <c r="J83" s="187">
        <f>Jan!I83+Feb!I83+Mar!I83+Apr!I83+May!I83+Jun!I83+July!I83</f>
        <v>-25.65</v>
      </c>
      <c r="K83" s="174"/>
      <c r="L83" s="115"/>
      <c r="M83" s="116">
        <f>16.88*2</f>
        <v>33.76</v>
      </c>
      <c r="N83" s="116"/>
      <c r="O83" s="131" t="s">
        <v>816</v>
      </c>
    </row>
    <row r="84" spans="1:15" s="131" customFormat="1" ht="13.5">
      <c r="I84" s="152"/>
      <c r="J84" s="187"/>
      <c r="K84" s="174"/>
      <c r="L84" s="115"/>
      <c r="M84" s="116"/>
      <c r="N84" s="116"/>
    </row>
    <row r="85" spans="1:15" s="131" customFormat="1" ht="13.5">
      <c r="A85" s="149" t="s">
        <v>110</v>
      </c>
      <c r="B85" s="149">
        <f>SUM(G86:G88)</f>
        <v>1088.1200000000001</v>
      </c>
      <c r="C85" s="149">
        <f>SUM(H86:H88)</f>
        <v>115</v>
      </c>
      <c r="D85" s="149">
        <f>C85-B85</f>
        <v>-973.12000000000012</v>
      </c>
      <c r="I85" s="152"/>
      <c r="J85" s="187"/>
      <c r="K85" s="174"/>
      <c r="L85" s="115"/>
      <c r="M85" s="116"/>
      <c r="N85" s="116"/>
    </row>
    <row r="86" spans="1:15" s="131" customFormat="1" ht="13.5">
      <c r="B86" s="198" t="s">
        <v>389</v>
      </c>
      <c r="C86" s="198"/>
      <c r="D86" s="198"/>
      <c r="E86" s="198"/>
      <c r="F86" s="198"/>
      <c r="G86" s="131">
        <f t="shared" si="3"/>
        <v>909.33</v>
      </c>
      <c r="H86" s="131">
        <v>30</v>
      </c>
      <c r="I86" s="152">
        <f t="shared" si="4"/>
        <v>-879.33</v>
      </c>
      <c r="J86" s="187">
        <f>Jan!I86+Feb!I86+Mar!I86+Apr!I86+May!I86+Jun!I86+July!I86</f>
        <v>-776.40000000000009</v>
      </c>
      <c r="K86" s="174"/>
      <c r="L86" s="115"/>
      <c r="M86" s="116">
        <f>788.97+33.98+91.38-5</f>
        <v>909.33</v>
      </c>
      <c r="N86" s="116"/>
      <c r="O86" s="131" t="s">
        <v>810</v>
      </c>
    </row>
    <row r="87" spans="1:15" s="131" customFormat="1" ht="13.5">
      <c r="B87" s="198" t="s">
        <v>111</v>
      </c>
      <c r="C87" s="198"/>
      <c r="D87" s="198"/>
      <c r="E87" s="198"/>
      <c r="F87" s="198"/>
      <c r="G87" s="131">
        <f t="shared" si="3"/>
        <v>0</v>
      </c>
      <c r="H87" s="131">
        <v>20</v>
      </c>
      <c r="I87" s="152">
        <f t="shared" si="4"/>
        <v>20</v>
      </c>
      <c r="J87" s="187">
        <f>Jan!I87+Feb!I87+Mar!I87+Apr!I87+May!I87+Jun!I87+July!I87</f>
        <v>-143.39999999999998</v>
      </c>
      <c r="K87" s="174"/>
      <c r="L87" s="115"/>
      <c r="M87" s="116"/>
      <c r="N87" s="116"/>
    </row>
    <row r="88" spans="1:15" s="131" customFormat="1" ht="13.5">
      <c r="B88" s="131" t="s">
        <v>391</v>
      </c>
      <c r="G88" s="131">
        <f t="shared" si="3"/>
        <v>178.79</v>
      </c>
      <c r="H88" s="131">
        <v>65</v>
      </c>
      <c r="I88" s="152">
        <f t="shared" si="4"/>
        <v>-113.78999999999999</v>
      </c>
      <c r="J88" s="187">
        <f>Jan!I88+Feb!I88+Mar!I88+Apr!I88+May!I88+Jun!I88+July!I88</f>
        <v>-404.87</v>
      </c>
      <c r="K88" s="174"/>
      <c r="L88" s="115"/>
      <c r="M88" s="116">
        <f>65.03+60.63+53.13</f>
        <v>178.79</v>
      </c>
      <c r="N88" s="116"/>
    </row>
    <row r="89" spans="1:15" s="131" customFormat="1" ht="13.5">
      <c r="I89" s="152"/>
      <c r="J89" s="187"/>
      <c r="K89" s="174"/>
      <c r="L89" s="115"/>
      <c r="M89" s="116"/>
      <c r="N89" s="116"/>
    </row>
    <row r="90" spans="1:15" s="131" customFormat="1" ht="13.5">
      <c r="A90" s="149" t="s">
        <v>112</v>
      </c>
      <c r="B90" s="149">
        <f>SUM(G91:G95)</f>
        <v>147.72</v>
      </c>
      <c r="C90" s="149">
        <f>SUM(H91:H95)</f>
        <v>220</v>
      </c>
      <c r="D90" s="149">
        <f>C90-B90</f>
        <v>72.28</v>
      </c>
      <c r="I90" s="152"/>
      <c r="J90" s="187"/>
      <c r="K90" s="174"/>
      <c r="L90" s="115"/>
      <c r="M90" s="116"/>
      <c r="N90" s="116"/>
    </row>
    <row r="91" spans="1:15" s="131" customFormat="1" ht="13.5">
      <c r="B91" s="131" t="s">
        <v>113</v>
      </c>
      <c r="G91" s="131">
        <f t="shared" si="3"/>
        <v>36.22</v>
      </c>
      <c r="H91" s="131">
        <v>40</v>
      </c>
      <c r="I91" s="152">
        <f t="shared" si="4"/>
        <v>3.7800000000000011</v>
      </c>
      <c r="J91" s="187">
        <f>Jan!I91+Feb!I91+Mar!I91+Apr!I91+May!I91+Jun!I91+July!I91</f>
        <v>2.5599999999999952</v>
      </c>
      <c r="K91" s="174"/>
      <c r="L91" s="115"/>
      <c r="M91" s="116">
        <v>36.22</v>
      </c>
      <c r="N91" s="116"/>
    </row>
    <row r="92" spans="1:15" s="131" customFormat="1" ht="13.5">
      <c r="B92" s="131" t="s">
        <v>114</v>
      </c>
      <c r="D92" s="131" t="s">
        <v>115</v>
      </c>
      <c r="G92" s="131">
        <f t="shared" si="3"/>
        <v>95</v>
      </c>
      <c r="H92" s="131">
        <v>120</v>
      </c>
      <c r="I92" s="152">
        <f t="shared" si="4"/>
        <v>25</v>
      </c>
      <c r="J92" s="187">
        <f>Jan!I92+Feb!I92+Mar!I92+Apr!I92+May!I92+Jun!I92+July!I92</f>
        <v>70</v>
      </c>
      <c r="K92" s="174"/>
      <c r="L92" s="115"/>
      <c r="M92" s="116">
        <f>85+10</f>
        <v>95</v>
      </c>
      <c r="N92" s="116"/>
    </row>
    <row r="93" spans="1:15" s="131" customFormat="1" ht="13.5">
      <c r="B93" s="131" t="s">
        <v>116</v>
      </c>
      <c r="G93" s="131">
        <f t="shared" si="3"/>
        <v>4</v>
      </c>
      <c r="H93" s="131">
        <v>20</v>
      </c>
      <c r="I93" s="152">
        <f t="shared" si="4"/>
        <v>16</v>
      </c>
      <c r="J93" s="187">
        <f>Jan!I93+Feb!I93+Mar!I93+Apr!I93+May!I93+Jun!I93+July!I93</f>
        <v>62.97</v>
      </c>
      <c r="K93" s="174"/>
      <c r="L93" s="115"/>
      <c r="M93" s="116">
        <f>4</f>
        <v>4</v>
      </c>
      <c r="N93" s="116"/>
    </row>
    <row r="94" spans="1:15" s="131" customFormat="1" ht="13.5">
      <c r="A94" s="149"/>
      <c r="B94" s="131" t="s">
        <v>117</v>
      </c>
      <c r="G94" s="131">
        <f t="shared" si="3"/>
        <v>0</v>
      </c>
      <c r="H94" s="131">
        <v>20</v>
      </c>
      <c r="I94" s="152">
        <f t="shared" si="4"/>
        <v>20</v>
      </c>
      <c r="J94" s="187">
        <f>Jan!I94+Feb!I94+Mar!I94+Apr!I94+May!I94+Jun!I94+July!I94</f>
        <v>-44.289999999999992</v>
      </c>
      <c r="K94" s="174"/>
      <c r="L94" s="115"/>
      <c r="M94" s="116"/>
      <c r="N94" s="116"/>
    </row>
    <row r="95" spans="1:15" s="131" customFormat="1" ht="13.5">
      <c r="A95" s="149"/>
      <c r="B95" s="131" t="s">
        <v>118</v>
      </c>
      <c r="G95" s="131">
        <f t="shared" si="3"/>
        <v>12.500000000000002</v>
      </c>
      <c r="H95" s="131">
        <v>20</v>
      </c>
      <c r="I95" s="152">
        <f t="shared" si="4"/>
        <v>7.4999999999999982</v>
      </c>
      <c r="J95" s="187">
        <f>Jan!I95+Feb!I95+Mar!I95+Apr!I95+May!I95+Jun!I95+July!I95</f>
        <v>-170.73000000000002</v>
      </c>
      <c r="K95" s="174"/>
      <c r="L95" s="115"/>
      <c r="M95" s="116">
        <f>1.87+1.5+7.48+1.65</f>
        <v>12.500000000000002</v>
      </c>
      <c r="N95" s="116"/>
    </row>
    <row r="96" spans="1:15" s="131" customFormat="1" ht="13.5">
      <c r="A96" s="149"/>
      <c r="B96" s="149"/>
      <c r="I96" s="152"/>
      <c r="J96" s="187"/>
      <c r="K96" s="174"/>
      <c r="L96" s="115"/>
      <c r="M96" s="116"/>
      <c r="N96" s="116"/>
    </row>
    <row r="97" spans="1:15" s="131" customFormat="1" ht="13.5">
      <c r="A97" s="149" t="s">
        <v>119</v>
      </c>
      <c r="B97" s="149">
        <f>SUM(G98:G101)</f>
        <v>340</v>
      </c>
      <c r="C97" s="149">
        <f>SUM(H98:H101)</f>
        <v>435</v>
      </c>
      <c r="D97" s="149">
        <f>C97-B97</f>
        <v>95</v>
      </c>
      <c r="I97" s="152"/>
      <c r="J97" s="187"/>
      <c r="K97" s="174"/>
      <c r="L97" s="115"/>
      <c r="M97" s="116"/>
      <c r="N97" s="116"/>
    </row>
    <row r="98" spans="1:15" s="131" customFormat="1" ht="13.5">
      <c r="B98" s="198" t="s">
        <v>120</v>
      </c>
      <c r="C98" s="198"/>
      <c r="D98" s="198" t="s">
        <v>121</v>
      </c>
      <c r="E98" s="198"/>
      <c r="F98" s="198"/>
      <c r="G98" s="131">
        <f t="shared" si="3"/>
        <v>0</v>
      </c>
      <c r="H98" s="131">
        <v>150</v>
      </c>
      <c r="I98" s="152">
        <f t="shared" si="4"/>
        <v>150</v>
      </c>
      <c r="J98" s="187">
        <f>Jan!I98+Feb!I98+Mar!I98+Apr!I98+May!I98+Jun!I98+July!I98</f>
        <v>-76.549999999999898</v>
      </c>
      <c r="K98" s="174"/>
      <c r="L98" s="115"/>
      <c r="M98" s="116"/>
      <c r="N98" s="116"/>
    </row>
    <row r="99" spans="1:15" s="131" customFormat="1" ht="13.5">
      <c r="B99" s="198" t="s">
        <v>122</v>
      </c>
      <c r="C99" s="198"/>
      <c r="D99" s="198" t="s">
        <v>123</v>
      </c>
      <c r="E99" s="198"/>
      <c r="F99" s="198"/>
      <c r="G99" s="131">
        <f t="shared" si="3"/>
        <v>0</v>
      </c>
      <c r="H99" s="131">
        <v>20</v>
      </c>
      <c r="I99" s="152">
        <f t="shared" si="4"/>
        <v>20</v>
      </c>
      <c r="J99" s="187">
        <f>Jan!I99+Feb!I99+Mar!I99+Apr!I99+May!I99+Jun!I99+July!I99</f>
        <v>9.4400000000000013</v>
      </c>
      <c r="K99" s="174"/>
      <c r="L99" s="115"/>
      <c r="M99" s="116"/>
      <c r="N99" s="116"/>
    </row>
    <row r="100" spans="1:15" s="131" customFormat="1" ht="13.5">
      <c r="A100" s="149"/>
      <c r="B100" s="131" t="s">
        <v>124</v>
      </c>
      <c r="G100" s="131">
        <f t="shared" si="3"/>
        <v>340</v>
      </c>
      <c r="H100" s="131">
        <v>215</v>
      </c>
      <c r="I100" s="152">
        <f t="shared" si="4"/>
        <v>-125</v>
      </c>
      <c r="J100" s="187">
        <f>Jan!I100+Feb!I100+Mar!I100+Apr!I100+May!I100+Jun!I100+July!I100</f>
        <v>-21.159999999999997</v>
      </c>
      <c r="K100" s="174"/>
      <c r="L100" s="115">
        <f>90+250</f>
        <v>340</v>
      </c>
      <c r="M100" s="116"/>
      <c r="N100" s="116"/>
      <c r="O100" s="131" t="s">
        <v>824</v>
      </c>
    </row>
    <row r="101" spans="1:15" s="131" customFormat="1" ht="13.5">
      <c r="A101" s="149"/>
      <c r="B101" s="198" t="s">
        <v>125</v>
      </c>
      <c r="C101" s="198"/>
      <c r="D101" s="198"/>
      <c r="E101" s="198"/>
      <c r="F101" s="198"/>
      <c r="G101" s="131">
        <f t="shared" si="3"/>
        <v>0</v>
      </c>
      <c r="H101" s="131">
        <v>50</v>
      </c>
      <c r="I101" s="152">
        <f t="shared" si="4"/>
        <v>50</v>
      </c>
      <c r="J101" s="187">
        <f>Jan!I101+Feb!I101+Mar!I101+Apr!I101+May!I101+Jun!I101+July!I101</f>
        <v>-22.980000000000018</v>
      </c>
      <c r="K101" s="174"/>
      <c r="L101" s="115"/>
      <c r="M101" s="116"/>
      <c r="N101" s="116"/>
    </row>
    <row r="102" spans="1:15" s="131" customFormat="1" ht="13.5">
      <c r="A102" s="149"/>
      <c r="I102" s="152"/>
      <c r="J102" s="187"/>
      <c r="K102" s="174"/>
      <c r="L102" s="115"/>
      <c r="M102" s="116"/>
      <c r="N102" s="116"/>
    </row>
    <row r="103" spans="1:15" s="131" customFormat="1" ht="13.5">
      <c r="A103" s="149" t="s">
        <v>103</v>
      </c>
      <c r="B103" s="149">
        <f>SUM(G104:G110)</f>
        <v>860.74</v>
      </c>
      <c r="C103" s="149">
        <f>SUM(H104:H110)</f>
        <v>637</v>
      </c>
      <c r="D103" s="149">
        <f>C103-B103</f>
        <v>-223.74</v>
      </c>
      <c r="I103" s="152"/>
      <c r="J103" s="187"/>
      <c r="K103" s="174"/>
      <c r="L103" s="115"/>
      <c r="M103" s="116"/>
      <c r="N103" s="116"/>
    </row>
    <row r="104" spans="1:15" s="131" customFormat="1" ht="13.5">
      <c r="B104" s="131" t="s">
        <v>456</v>
      </c>
      <c r="G104" s="131">
        <f t="shared" si="3"/>
        <v>100</v>
      </c>
      <c r="H104" s="131">
        <v>50</v>
      </c>
      <c r="I104" s="152">
        <f t="shared" si="4"/>
        <v>-50</v>
      </c>
      <c r="J104" s="187">
        <f>Jan!I104+Feb!I104+Mar!I104+Apr!I104+May!I104+Jun!I104+July!I104</f>
        <v>-210</v>
      </c>
      <c r="K104" s="174"/>
      <c r="L104" s="115">
        <v>100</v>
      </c>
      <c r="M104" s="116"/>
      <c r="N104" s="116"/>
      <c r="O104" s="231">
        <v>41615</v>
      </c>
    </row>
    <row r="105" spans="1:15" s="131" customFormat="1" ht="13.5">
      <c r="B105" s="131" t="s">
        <v>105</v>
      </c>
      <c r="D105" s="131" t="s">
        <v>457</v>
      </c>
      <c r="E105" s="131">
        <f>60*52/12</f>
        <v>260</v>
      </c>
      <c r="G105" s="131">
        <f t="shared" si="3"/>
        <v>576.67000000000007</v>
      </c>
      <c r="H105" s="131">
        <v>500</v>
      </c>
      <c r="I105" s="152">
        <f t="shared" si="4"/>
        <v>-76.670000000000073</v>
      </c>
      <c r="J105" s="187">
        <f>Jan!I105+Feb!I105+Mar!I105+Apr!I105+May!I105+Jun!I105+July!I105</f>
        <v>259.7399999999999</v>
      </c>
      <c r="K105" s="174"/>
      <c r="L105" s="115"/>
      <c r="M105" s="116">
        <f>20.76+5.99+10.59+26.09+19.48+30.97-22.17</f>
        <v>91.710000000000008</v>
      </c>
      <c r="N105" s="116">
        <f>23.37+27.45+29.39+47.04+32.82+21.5+80.03+64.77+14.17+17.59+29.55+49.73+47.55</f>
        <v>484.96000000000004</v>
      </c>
    </row>
    <row r="106" spans="1:15" s="131" customFormat="1" ht="13.5">
      <c r="B106" s="131" t="s">
        <v>392</v>
      </c>
      <c r="G106" s="131">
        <f t="shared" si="3"/>
        <v>25.130000000000003</v>
      </c>
      <c r="H106" s="131">
        <v>27</v>
      </c>
      <c r="I106" s="152">
        <f t="shared" si="4"/>
        <v>1.8699999999999974</v>
      </c>
      <c r="J106" s="187">
        <f>Jan!I106+Feb!I106+Mar!I106+Apr!I106+May!I106+Jun!I106+July!I106</f>
        <v>87.62</v>
      </c>
      <c r="K106" s="174"/>
      <c r="L106" s="115"/>
      <c r="M106" s="116"/>
      <c r="N106" s="116">
        <f>15+10.13</f>
        <v>25.130000000000003</v>
      </c>
      <c r="O106" s="131" t="s">
        <v>825</v>
      </c>
    </row>
    <row r="107" spans="1:15" s="131" customFormat="1" ht="13.5">
      <c r="B107" s="131" t="s">
        <v>106</v>
      </c>
      <c r="G107" s="131">
        <f t="shared" si="3"/>
        <v>0</v>
      </c>
      <c r="H107" s="131">
        <v>15</v>
      </c>
      <c r="I107" s="152">
        <f t="shared" si="4"/>
        <v>15</v>
      </c>
      <c r="J107" s="187">
        <f>Jan!I107+Feb!I107+Mar!I107+Apr!I107+May!I107+Jun!I107+July!I107</f>
        <v>25.810000000000002</v>
      </c>
      <c r="K107" s="174"/>
      <c r="L107" s="115"/>
      <c r="M107" s="116"/>
      <c r="N107" s="116"/>
    </row>
    <row r="108" spans="1:15" s="131" customFormat="1" ht="13.5">
      <c r="B108" s="131" t="s">
        <v>107</v>
      </c>
      <c r="G108" s="131">
        <f t="shared" si="3"/>
        <v>7.97</v>
      </c>
      <c r="H108" s="131">
        <v>20</v>
      </c>
      <c r="I108" s="152">
        <f t="shared" si="4"/>
        <v>12.030000000000001</v>
      </c>
      <c r="J108" s="187">
        <f>Jan!I108+Feb!I108+Mar!I108+Apr!I108+May!I108+Jun!I108+July!I108</f>
        <v>-135.65</v>
      </c>
      <c r="K108" s="174"/>
      <c r="L108" s="115"/>
      <c r="M108" s="116">
        <v>7.97</v>
      </c>
      <c r="N108" s="116"/>
    </row>
    <row r="109" spans="1:15" s="131" customFormat="1" ht="13.5">
      <c r="B109" s="131" t="s">
        <v>108</v>
      </c>
      <c r="G109" s="131">
        <f t="shared" si="3"/>
        <v>128.16999999999999</v>
      </c>
      <c r="H109" s="131">
        <v>20</v>
      </c>
      <c r="I109" s="152">
        <f t="shared" si="4"/>
        <v>-108.16999999999999</v>
      </c>
      <c r="J109" s="187">
        <f>Jan!I109+Feb!I109+Mar!I109+Apr!I109+May!I109+Jun!I109+July!I109</f>
        <v>-155.51</v>
      </c>
      <c r="K109" s="174"/>
      <c r="L109" s="115"/>
      <c r="M109" s="116">
        <f>92.94+(68.99-16.88*2)</f>
        <v>128.16999999999999</v>
      </c>
      <c r="N109" s="116"/>
      <c r="O109" s="131" t="s">
        <v>815</v>
      </c>
    </row>
    <row r="110" spans="1:15" s="131" customFormat="1" ht="13.5">
      <c r="B110" s="131" t="s">
        <v>109</v>
      </c>
      <c r="G110" s="131">
        <f t="shared" si="3"/>
        <v>22.8</v>
      </c>
      <c r="H110" s="131">
        <v>5</v>
      </c>
      <c r="I110" s="152">
        <f t="shared" si="4"/>
        <v>-17.8</v>
      </c>
      <c r="J110" s="187">
        <f>Jan!I110+Feb!I110+Mar!I110+Apr!I110+May!I110+Jun!I110+July!I110</f>
        <v>-33.710000000000008</v>
      </c>
      <c r="K110" s="174"/>
      <c r="L110" s="115"/>
      <c r="M110" s="116">
        <f>(55.54-4.98-27.76)</f>
        <v>22.8</v>
      </c>
      <c r="N110" s="116"/>
      <c r="O110" s="131" t="s">
        <v>813</v>
      </c>
    </row>
    <row r="111" spans="1:15" s="131" customFormat="1" ht="13.5">
      <c r="I111" s="152"/>
      <c r="J111" s="187"/>
      <c r="K111" s="174"/>
      <c r="L111" s="115"/>
      <c r="M111" s="116"/>
      <c r="N111" s="116"/>
    </row>
    <row r="112" spans="1:15" s="131" customFormat="1" ht="13.5">
      <c r="A112" s="149" t="s">
        <v>407</v>
      </c>
      <c r="B112" s="149">
        <f>G113+G114</f>
        <v>51.65</v>
      </c>
      <c r="C112" s="149">
        <f>H113</f>
        <v>20</v>
      </c>
      <c r="D112" s="149">
        <f>C112-B112</f>
        <v>-31.65</v>
      </c>
      <c r="I112" s="152"/>
      <c r="J112" s="187"/>
      <c r="K112" s="174"/>
      <c r="L112" s="115"/>
      <c r="M112" s="116"/>
      <c r="N112" s="116"/>
    </row>
    <row r="113" spans="1:15" s="131" customFormat="1" ht="13.5">
      <c r="B113" s="131" t="s">
        <v>408</v>
      </c>
      <c r="G113" s="131">
        <f t="shared" si="3"/>
        <v>51.65</v>
      </c>
      <c r="H113" s="131">
        <v>20</v>
      </c>
      <c r="I113" s="152">
        <f t="shared" si="4"/>
        <v>-31.65</v>
      </c>
      <c r="J113" s="187">
        <f>Jan!I113+Feb!I113+Mar!I113+Apr!I113+May!I113+Jun!I113+July!I113</f>
        <v>11.230000000000004</v>
      </c>
      <c r="K113" s="174"/>
      <c r="L113" s="115"/>
      <c r="M113" s="116">
        <v>51.65</v>
      </c>
      <c r="N113" s="116"/>
      <c r="O113" s="131" t="s">
        <v>814</v>
      </c>
    </row>
    <row r="114" spans="1:15" s="131" customFormat="1" ht="13.5">
      <c r="I114" s="152"/>
      <c r="J114" s="187"/>
      <c r="K114" s="174"/>
      <c r="L114" s="115"/>
      <c r="M114" s="116"/>
      <c r="N114" s="116"/>
    </row>
    <row r="115" spans="1:15" s="131" customFormat="1" ht="13.5">
      <c r="I115" s="152"/>
      <c r="J115" s="187"/>
      <c r="K115" s="174"/>
      <c r="L115" s="115"/>
      <c r="M115" s="116"/>
      <c r="N115" s="116"/>
    </row>
    <row r="116" spans="1:15" s="131" customFormat="1" ht="13.5">
      <c r="A116" s="149" t="s">
        <v>130</v>
      </c>
      <c r="B116" s="149">
        <f>G117</f>
        <v>315.09000000000003</v>
      </c>
      <c r="C116" s="149">
        <f>H117</f>
        <v>10</v>
      </c>
      <c r="D116" s="149">
        <f>I117</f>
        <v>-305.09000000000003</v>
      </c>
      <c r="I116" s="152"/>
      <c r="J116" s="187"/>
      <c r="K116" s="174"/>
      <c r="L116" s="115"/>
      <c r="M116" s="116"/>
      <c r="N116" s="116"/>
    </row>
    <row r="117" spans="1:15" s="131" customFormat="1" ht="13.5">
      <c r="B117" s="131" t="s">
        <v>455</v>
      </c>
      <c r="G117" s="131">
        <f t="shared" si="3"/>
        <v>315.09000000000003</v>
      </c>
      <c r="H117" s="131">
        <v>10</v>
      </c>
      <c r="I117" s="152">
        <f t="shared" si="4"/>
        <v>-305.09000000000003</v>
      </c>
      <c r="J117" s="187">
        <f>Jan!I117+Feb!I117+Mar!I117+Apr!I117+May!I117+Jun!I117+July!I117</f>
        <v>-1271.25</v>
      </c>
      <c r="K117" s="174"/>
      <c r="L117" s="115"/>
      <c r="M117" s="116">
        <f>27.15+214+73.94</f>
        <v>315.09000000000003</v>
      </c>
      <c r="N117" s="116"/>
      <c r="O117" s="131" t="s">
        <v>817</v>
      </c>
    </row>
    <row r="118" spans="1:15" s="131" customFormat="1" ht="13.5">
      <c r="I118" s="152"/>
      <c r="J118" s="187"/>
      <c r="K118" s="174"/>
      <c r="L118" s="115"/>
      <c r="M118" s="116"/>
      <c r="N118" s="116"/>
    </row>
    <row r="119" spans="1:15" s="131" customFormat="1" ht="13.5">
      <c r="A119" s="149" t="s">
        <v>406</v>
      </c>
      <c r="B119" s="149">
        <f>SUM(G120:G121)</f>
        <v>151.28</v>
      </c>
      <c r="C119" s="149">
        <f>SUM(H120:H121)</f>
        <v>65</v>
      </c>
      <c r="D119" s="149">
        <f>C119-B119</f>
        <v>-86.28</v>
      </c>
      <c r="I119" s="152"/>
      <c r="J119" s="187"/>
      <c r="K119" s="174"/>
      <c r="L119" s="115"/>
      <c r="M119" s="116"/>
      <c r="N119" s="116"/>
    </row>
    <row r="120" spans="1:15" s="131" customFormat="1" ht="13.5">
      <c r="B120" s="131" t="s">
        <v>400</v>
      </c>
      <c r="G120" s="131">
        <f t="shared" si="3"/>
        <v>151.28</v>
      </c>
      <c r="H120" s="131">
        <v>60</v>
      </c>
      <c r="I120" s="152">
        <f t="shared" si="4"/>
        <v>-91.28</v>
      </c>
      <c r="J120" s="187">
        <f>Jan!I120+Feb!I120+Mar!I120+Apr!I120+May!I120+Jun!I120+July!I120</f>
        <v>-969.71</v>
      </c>
      <c r="K120" s="174"/>
      <c r="L120" s="115"/>
      <c r="M120" s="115">
        <f>27.15+35.4+42+18.94+10.89+16.9</f>
        <v>151.28</v>
      </c>
      <c r="N120" s="115"/>
    </row>
    <row r="121" spans="1:15" s="131" customFormat="1" ht="13.5">
      <c r="B121" s="131" t="s">
        <v>403</v>
      </c>
      <c r="G121" s="131">
        <f t="shared" si="3"/>
        <v>0</v>
      </c>
      <c r="H121" s="131">
        <v>5</v>
      </c>
      <c r="I121" s="152">
        <f t="shared" si="4"/>
        <v>5</v>
      </c>
      <c r="J121" s="187">
        <f>Jan!I121+Feb!I121+Mar!I121+Apr!I121+May!I121+Jun!I121+July!I121</f>
        <v>-188.28</v>
      </c>
      <c r="K121" s="174"/>
      <c r="L121" s="115"/>
      <c r="M121" s="115"/>
      <c r="N121" s="115"/>
    </row>
    <row r="122" spans="1:15" s="131" customFormat="1" ht="13.5">
      <c r="I122" s="152"/>
      <c r="J122" s="187"/>
      <c r="K122" s="174"/>
      <c r="L122" s="115"/>
      <c r="M122" s="115"/>
      <c r="N122" s="115"/>
    </row>
    <row r="123" spans="1:15" s="131" customFormat="1" ht="13.5">
      <c r="A123" s="149" t="s">
        <v>132</v>
      </c>
      <c r="B123" s="149">
        <f>G124</f>
        <v>2.12</v>
      </c>
      <c r="C123" s="149">
        <f>H124</f>
        <v>10</v>
      </c>
      <c r="D123" s="149">
        <f>C123-B123</f>
        <v>7.88</v>
      </c>
      <c r="I123" s="152"/>
      <c r="J123" s="187"/>
      <c r="K123" s="174"/>
      <c r="L123" s="115"/>
      <c r="M123" s="115"/>
      <c r="N123" s="115"/>
    </row>
    <row r="124" spans="1:15" s="131" customFormat="1" ht="13.5">
      <c r="B124" s="131" t="s">
        <v>133</v>
      </c>
      <c r="G124" s="131">
        <f>SUM(L124:N124)</f>
        <v>2.12</v>
      </c>
      <c r="H124" s="131">
        <v>10</v>
      </c>
      <c r="I124" s="152">
        <f>H124-G124</f>
        <v>7.88</v>
      </c>
      <c r="J124" s="187">
        <f>Jan!I124+Feb!I124+Mar!I124+Apr!I124+May!I124+Jun!I124+July!I124</f>
        <v>22.26</v>
      </c>
      <c r="K124" s="174"/>
      <c r="L124" s="115"/>
      <c r="M124" s="115">
        <f>1+1.12</f>
        <v>2.12</v>
      </c>
      <c r="N124" s="115"/>
    </row>
    <row r="125" spans="1:15" s="131" customFormat="1" ht="13.5">
      <c r="I125" s="152"/>
      <c r="J125" s="187"/>
      <c r="K125" s="174"/>
      <c r="L125" s="115"/>
      <c r="M125" s="115"/>
      <c r="N125" s="115"/>
    </row>
    <row r="126" spans="1:15" s="131" customFormat="1" ht="13.5">
      <c r="A126" s="149" t="s">
        <v>404</v>
      </c>
      <c r="B126" s="149">
        <f>SUM(G127:G128)</f>
        <v>119.21</v>
      </c>
      <c r="C126" s="149">
        <f>SUM(H127:H128)</f>
        <v>35</v>
      </c>
      <c r="D126" s="149">
        <f>C126-B126</f>
        <v>-84.21</v>
      </c>
      <c r="I126" s="152"/>
      <c r="J126" s="187"/>
      <c r="K126" s="174"/>
      <c r="L126" s="115"/>
      <c r="M126" s="115"/>
      <c r="N126" s="115"/>
    </row>
    <row r="127" spans="1:15" s="131" customFormat="1" ht="13.5">
      <c r="B127" s="198" t="s">
        <v>128</v>
      </c>
      <c r="C127" s="198"/>
      <c r="D127" s="198"/>
      <c r="E127" s="198"/>
      <c r="F127" s="198"/>
      <c r="G127" s="131">
        <f>SUM(L127:N127)</f>
        <v>119.21</v>
      </c>
      <c r="H127" s="131">
        <v>20</v>
      </c>
      <c r="I127" s="152">
        <f>H127-G127</f>
        <v>-99.21</v>
      </c>
      <c r="J127" s="187">
        <f>Jan!I127+Feb!I127+Mar!I127+Apr!I127+May!I127+Jun!I127+July!I127</f>
        <v>-381.16</v>
      </c>
      <c r="K127" s="174"/>
      <c r="L127" s="115"/>
      <c r="M127" s="115">
        <f>78.97+22.04+18.2</f>
        <v>119.21</v>
      </c>
      <c r="N127" s="115"/>
      <c r="O127" s="131" t="s">
        <v>809</v>
      </c>
    </row>
    <row r="128" spans="1:15" s="131" customFormat="1" ht="13.5">
      <c r="B128" s="198" t="s">
        <v>129</v>
      </c>
      <c r="C128" s="198"/>
      <c r="D128" s="198" t="s">
        <v>405</v>
      </c>
      <c r="E128" s="198"/>
      <c r="F128" s="198"/>
      <c r="G128" s="131">
        <f>SUM(L128:N128)</f>
        <v>0</v>
      </c>
      <c r="H128" s="131">
        <v>15</v>
      </c>
      <c r="I128" s="152">
        <f>H128-G128</f>
        <v>15</v>
      </c>
      <c r="J128" s="187">
        <f>Jan!I128+Feb!I128+Mar!I128+Apr!I128+May!I128+Jun!I128+July!I128</f>
        <v>24.059999999999995</v>
      </c>
      <c r="K128" s="174"/>
      <c r="L128" s="115"/>
      <c r="M128" s="115"/>
      <c r="N128" s="115"/>
    </row>
    <row r="129" spans="1:15" s="131" customFormat="1" ht="13.5">
      <c r="I129" s="152"/>
      <c r="J129" s="187"/>
      <c r="K129" s="174"/>
      <c r="L129" s="115"/>
      <c r="M129" s="115"/>
      <c r="N129" s="115"/>
    </row>
    <row r="130" spans="1:15" s="131" customFormat="1" ht="14.25" thickBot="1">
      <c r="I130" s="152"/>
      <c r="J130" s="187"/>
      <c r="K130" s="174"/>
      <c r="L130" s="115"/>
      <c r="M130" s="115"/>
      <c r="N130" s="115"/>
    </row>
    <row r="131" spans="1:15" s="131" customFormat="1" ht="14.25" thickBot="1">
      <c r="A131" s="149" t="s">
        <v>436</v>
      </c>
      <c r="B131" s="131">
        <f>SUM(G133:G140)</f>
        <v>500</v>
      </c>
      <c r="C131" s="131">
        <f>SUM(H133:H140)</f>
        <v>450</v>
      </c>
      <c r="D131" s="131">
        <f>C131-B131</f>
        <v>-50</v>
      </c>
      <c r="E131" s="185"/>
      <c r="I131" s="152"/>
      <c r="J131" s="187">
        <f>Jan!I131+Feb!I131+Mar!I131+Apr!I131+May!I131+Jun!I131+July!I131</f>
        <v>0</v>
      </c>
      <c r="K131" s="174"/>
      <c r="L131" s="115"/>
      <c r="M131" s="115"/>
      <c r="N131" s="115"/>
    </row>
    <row r="132" spans="1:15" s="131" customFormat="1" ht="13.5">
      <c r="A132" s="149" t="s">
        <v>437</v>
      </c>
      <c r="I132" s="152"/>
      <c r="J132" s="187"/>
      <c r="K132" s="174"/>
      <c r="L132" s="115"/>
      <c r="M132" s="115"/>
      <c r="N132" s="115"/>
    </row>
    <row r="133" spans="1:15" s="131" customFormat="1" ht="13.5">
      <c r="A133" s="149" t="s">
        <v>418</v>
      </c>
      <c r="B133" s="131" t="s">
        <v>445</v>
      </c>
      <c r="G133" s="131">
        <f t="shared" ref="G133:G140" si="5">SUM(L133:N133)</f>
        <v>0</v>
      </c>
      <c r="H133" s="131">
        <v>100</v>
      </c>
      <c r="I133" s="152">
        <f t="shared" ref="I133:I140" si="6">H133-G133</f>
        <v>100</v>
      </c>
      <c r="J133" s="187">
        <f>Jan!I133+Feb!I133+Mar!I133+Apr!I133+May!I133+Jun!I133+July!I133</f>
        <v>700</v>
      </c>
      <c r="K133" s="174"/>
      <c r="L133" s="115"/>
      <c r="M133" s="115"/>
      <c r="N133" s="115"/>
    </row>
    <row r="134" spans="1:15" s="131" customFormat="1" ht="13.5">
      <c r="A134" s="149" t="s">
        <v>516</v>
      </c>
      <c r="I134" s="152"/>
      <c r="J134" s="187"/>
      <c r="K134" s="174"/>
      <c r="L134" s="115"/>
      <c r="M134" s="115"/>
      <c r="N134" s="115"/>
    </row>
    <row r="135" spans="1:15" s="131" customFormat="1" ht="13.5">
      <c r="B135" s="131" t="s">
        <v>401</v>
      </c>
      <c r="G135" s="131">
        <f t="shared" si="5"/>
        <v>0</v>
      </c>
      <c r="H135" s="131">
        <v>100</v>
      </c>
      <c r="I135" s="152">
        <f t="shared" si="6"/>
        <v>100</v>
      </c>
      <c r="J135" s="187">
        <f>Jan!I135+Feb!I135+Mar!I135+Apr!I135+May!I135+Jun!I135+July!I135</f>
        <v>700</v>
      </c>
      <c r="K135" s="174"/>
      <c r="L135" s="115"/>
      <c r="M135" s="115"/>
      <c r="N135" s="115"/>
    </row>
    <row r="136" spans="1:15" s="131" customFormat="1" ht="13.5">
      <c r="B136" s="131" t="s">
        <v>402</v>
      </c>
      <c r="G136" s="131">
        <f t="shared" si="5"/>
        <v>0</v>
      </c>
      <c r="H136" s="131">
        <v>100</v>
      </c>
      <c r="I136" s="152">
        <f t="shared" si="6"/>
        <v>100</v>
      </c>
      <c r="J136" s="187">
        <f>Jan!I136+Feb!I136+Mar!I136+Apr!I136+May!I136+Jun!I136+July!I136</f>
        <v>700</v>
      </c>
      <c r="K136" s="174"/>
      <c r="L136" s="115"/>
      <c r="M136" s="115"/>
      <c r="N136" s="115"/>
    </row>
    <row r="137" spans="1:15" s="131" customFormat="1" ht="13.5">
      <c r="B137" s="131" t="s">
        <v>126</v>
      </c>
      <c r="G137" s="131">
        <f t="shared" si="5"/>
        <v>0</v>
      </c>
      <c r="H137" s="131">
        <v>30</v>
      </c>
      <c r="I137" s="152">
        <f t="shared" si="6"/>
        <v>30</v>
      </c>
      <c r="J137" s="187">
        <f>Jan!I137+Feb!I137+Mar!I137+Apr!I137+May!I137+Jun!I137+July!I137</f>
        <v>210</v>
      </c>
      <c r="K137" s="174"/>
      <c r="L137" s="115"/>
      <c r="M137" s="115"/>
      <c r="N137" s="115"/>
    </row>
    <row r="138" spans="1:15" s="131" customFormat="1" ht="13.5">
      <c r="B138" s="131" t="s">
        <v>127</v>
      </c>
      <c r="G138" s="131">
        <f t="shared" si="5"/>
        <v>500</v>
      </c>
      <c r="H138" s="131">
        <v>50</v>
      </c>
      <c r="I138" s="152">
        <f t="shared" si="6"/>
        <v>-450</v>
      </c>
      <c r="J138" s="187">
        <f>Jan!I138+Feb!I138+Mar!I138+Apr!I138+May!I138+Jun!I138+July!I138</f>
        <v>-150</v>
      </c>
      <c r="K138" s="174"/>
      <c r="L138" s="115">
        <v>500</v>
      </c>
      <c r="M138" s="115"/>
      <c r="N138" s="115"/>
      <c r="O138" s="131" t="s">
        <v>874</v>
      </c>
    </row>
    <row r="139" spans="1:15" s="131" customFormat="1" ht="13.5">
      <c r="I139" s="152"/>
      <c r="J139" s="187"/>
      <c r="K139" s="179"/>
      <c r="L139" s="115"/>
      <c r="M139" s="115"/>
      <c r="N139" s="115"/>
    </row>
    <row r="140" spans="1:15" s="131" customFormat="1" ht="13.5">
      <c r="A140" s="149" t="s">
        <v>431</v>
      </c>
      <c r="G140" s="131">
        <f t="shared" si="5"/>
        <v>0</v>
      </c>
      <c r="H140" s="131">
        <v>70</v>
      </c>
      <c r="I140" s="152">
        <f t="shared" si="6"/>
        <v>70</v>
      </c>
      <c r="J140" s="187">
        <f>Jan!I140+Feb!I140+Mar!I140+Apr!I140+May!I140+Jun!I140+July!I140</f>
        <v>490</v>
      </c>
      <c r="K140" s="179"/>
      <c r="L140" s="115"/>
      <c r="M140" s="115"/>
      <c r="N140" s="115"/>
    </row>
    <row r="141" spans="1:15">
      <c r="J141" s="190"/>
    </row>
    <row r="142" spans="1:15">
      <c r="J142" s="190"/>
    </row>
    <row r="143" spans="1:15">
      <c r="J143" s="190"/>
    </row>
    <row r="144" spans="1:15">
      <c r="J144" s="190"/>
    </row>
    <row r="145" spans="10:10">
      <c r="J145" s="190"/>
    </row>
    <row r="146" spans="10:10">
      <c r="J146" s="190"/>
    </row>
    <row r="147" spans="10:10">
      <c r="J147" s="190"/>
    </row>
    <row r="148" spans="10:10">
      <c r="J148" s="190"/>
    </row>
    <row r="149" spans="10:10">
      <c r="J149" s="190"/>
    </row>
    <row r="150" spans="10:10">
      <c r="J150" s="190"/>
    </row>
  </sheetData>
  <sheetProtection selectLockedCells="1" selectUnlockedCells="1"/>
  <pageMargins left="0.75" right="0.75" top="1" bottom="1" header="0.51180555555555551" footer="0.51180555555555551"/>
  <pageSetup firstPageNumber="0"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0"/>
  <sheetViews>
    <sheetView topLeftCell="A19" zoomScale="84" zoomScaleNormal="84" workbookViewId="0">
      <selection activeCell="E46" sqref="E46"/>
    </sheetView>
  </sheetViews>
  <sheetFormatPr defaultColWidth="9" defaultRowHeight="15.75"/>
  <cols>
    <col min="1" max="1" width="24.42578125" style="165" customWidth="1"/>
    <col min="2" max="2" width="18" style="156" customWidth="1"/>
    <col min="3" max="3" width="17.140625" style="156" customWidth="1"/>
    <col min="4" max="5" width="16.5703125" style="156" customWidth="1"/>
    <col min="6" max="6" width="15.28515625" style="156" customWidth="1"/>
    <col min="7" max="7" width="13.5703125" style="156" customWidth="1"/>
    <col min="8" max="8" width="13.85546875" style="156" customWidth="1"/>
    <col min="9" max="10" width="14" style="156" customWidth="1"/>
    <col min="11" max="11" width="2.28515625" style="172" customWidth="1"/>
    <col min="12" max="12" width="11.5703125" style="156" customWidth="1"/>
    <col min="13" max="13" width="11.85546875" style="156" customWidth="1"/>
    <col min="14" max="15" width="11.5703125" style="156" customWidth="1"/>
    <col min="16" max="16" width="1.7109375" style="156" customWidth="1"/>
    <col min="17" max="17" width="11.7109375" style="156" customWidth="1"/>
    <col min="18" max="18" width="11.5703125" style="156" customWidth="1"/>
    <col min="19" max="16384" width="9" style="156"/>
  </cols>
  <sheetData>
    <row r="1" spans="1:16">
      <c r="A1" s="162" t="s">
        <v>277</v>
      </c>
      <c r="B1" s="163">
        <v>2013</v>
      </c>
      <c r="C1" s="163"/>
      <c r="L1" s="156" t="s">
        <v>519</v>
      </c>
    </row>
    <row r="2" spans="1:16">
      <c r="A2" s="162" t="s">
        <v>264</v>
      </c>
      <c r="B2" s="164" t="s">
        <v>14</v>
      </c>
      <c r="C2" s="164"/>
      <c r="L2" s="156" t="s">
        <v>805</v>
      </c>
    </row>
    <row r="3" spans="1:16">
      <c r="L3" s="156" t="s">
        <v>806</v>
      </c>
      <c r="O3" s="166"/>
    </row>
    <row r="4" spans="1:16">
      <c r="A4" s="162" t="s">
        <v>4</v>
      </c>
      <c r="B4" s="167">
        <f>SUM(G5:G9)</f>
        <v>6577.5</v>
      </c>
      <c r="C4" s="167"/>
      <c r="G4" s="156" t="s">
        <v>71</v>
      </c>
      <c r="L4" s="168" t="s">
        <v>840</v>
      </c>
      <c r="O4" s="260">
        <f>SUM(N5:N8)</f>
        <v>764.95</v>
      </c>
    </row>
    <row r="5" spans="1:16">
      <c r="B5" s="156" t="s">
        <v>27</v>
      </c>
      <c r="C5" s="156">
        <v>3319.79</v>
      </c>
      <c r="D5" s="166">
        <v>3257.71</v>
      </c>
      <c r="F5" s="156">
        <v>0</v>
      </c>
      <c r="G5" s="168">
        <f>SUM(C5:F5)</f>
        <v>6577.5</v>
      </c>
      <c r="H5" s="168"/>
      <c r="I5" s="168"/>
      <c r="J5" s="168"/>
      <c r="K5" s="173"/>
      <c r="L5" s="168"/>
      <c r="M5" s="156" t="s">
        <v>837</v>
      </c>
      <c r="N5" s="156">
        <f>36.41+84.4+14.61+129.27+2.73+56</f>
        <v>323.42000000000007</v>
      </c>
      <c r="O5" s="166"/>
    </row>
    <row r="6" spans="1:16">
      <c r="B6" s="156" t="s">
        <v>29</v>
      </c>
      <c r="D6" s="166"/>
      <c r="G6" s="168">
        <f>SUM(C6:F6)</f>
        <v>0</v>
      </c>
      <c r="H6" s="168"/>
      <c r="I6" s="168"/>
      <c r="J6" s="168"/>
      <c r="K6" s="173"/>
      <c r="L6" s="168"/>
      <c r="M6" s="156" t="s">
        <v>838</v>
      </c>
      <c r="N6" s="156">
        <f>56.27</f>
        <v>56.27</v>
      </c>
      <c r="O6" s="166"/>
    </row>
    <row r="7" spans="1:16">
      <c r="B7" s="156" t="s">
        <v>327</v>
      </c>
      <c r="G7" s="168">
        <f>SUM(C7:F7)</f>
        <v>0</v>
      </c>
      <c r="H7" s="168"/>
      <c r="I7" s="168"/>
      <c r="J7" s="168"/>
      <c r="K7" s="173"/>
      <c r="L7" s="168"/>
      <c r="M7" s="156" t="s">
        <v>839</v>
      </c>
      <c r="N7" s="156">
        <f>38</f>
        <v>38</v>
      </c>
      <c r="O7" s="166"/>
    </row>
    <row r="8" spans="1:16">
      <c r="B8" s="156" t="s">
        <v>30</v>
      </c>
      <c r="D8" s="156">
        <v>0</v>
      </c>
      <c r="G8" s="168">
        <f>SUM(C8:F8)</f>
        <v>0</v>
      </c>
      <c r="H8" s="168"/>
      <c r="I8" s="168"/>
      <c r="J8" s="168"/>
      <c r="K8" s="173"/>
      <c r="M8" s="156" t="s">
        <v>853</v>
      </c>
      <c r="N8" s="156">
        <f>M120</f>
        <v>347.26000000000005</v>
      </c>
      <c r="O8" s="156" t="s">
        <v>856</v>
      </c>
      <c r="P8" s="166"/>
    </row>
    <row r="9" spans="1:16">
      <c r="L9" s="156" t="s">
        <v>859</v>
      </c>
      <c r="O9" s="156">
        <v>1430</v>
      </c>
    </row>
    <row r="10" spans="1:16" s="131" customFormat="1" ht="13.5">
      <c r="A10" s="149"/>
      <c r="B10" s="153"/>
      <c r="G10" s="140"/>
      <c r="I10" s="152" t="s">
        <v>80</v>
      </c>
      <c r="J10" s="187" t="s">
        <v>439</v>
      </c>
      <c r="K10" s="174"/>
      <c r="L10" s="168" t="s">
        <v>520</v>
      </c>
    </row>
    <row r="11" spans="1:16" s="131" customFormat="1" ht="13.5">
      <c r="A11" s="149"/>
      <c r="B11" s="153"/>
      <c r="G11" s="140" t="s">
        <v>331</v>
      </c>
      <c r="H11" s="131" t="s">
        <v>84</v>
      </c>
      <c r="I11" s="154" t="s">
        <v>83</v>
      </c>
      <c r="J11" s="188" t="s">
        <v>83</v>
      </c>
      <c r="K11" s="175"/>
    </row>
    <row r="12" spans="1:16" s="131" customFormat="1" ht="13.5">
      <c r="A12" s="149" t="s">
        <v>422</v>
      </c>
      <c r="B12" s="153"/>
      <c r="D12" s="131" t="s">
        <v>426</v>
      </c>
      <c r="E12" s="131">
        <f>G12/B4</f>
        <v>0.12162675788673508</v>
      </c>
      <c r="G12" s="132">
        <f>Tithe!D13</f>
        <v>800</v>
      </c>
      <c r="H12" s="131">
        <v>800</v>
      </c>
      <c r="I12" s="155">
        <f>H12-G12</f>
        <v>0</v>
      </c>
      <c r="J12" s="189">
        <f>Jan!I12+Feb!I12+Mar!I12+Apr!I12+May!I12+Jun!I12+July!I12+Aug!I12</f>
        <v>980</v>
      </c>
      <c r="K12" s="176"/>
    </row>
    <row r="13" spans="1:16" s="131" customFormat="1" ht="13.5">
      <c r="A13" s="149"/>
      <c r="B13" s="153"/>
      <c r="G13" s="140"/>
      <c r="I13" s="155"/>
      <c r="J13" s="189"/>
      <c r="K13" s="176"/>
    </row>
    <row r="14" spans="1:16" s="131" customFormat="1" ht="13.5">
      <c r="A14" s="149" t="s">
        <v>427</v>
      </c>
      <c r="B14" s="153"/>
      <c r="G14" s="140"/>
      <c r="I14" s="155"/>
      <c r="J14" s="189"/>
      <c r="K14" s="176"/>
    </row>
    <row r="15" spans="1:16" s="131" customFormat="1" ht="13.5">
      <c r="B15" s="149" t="s">
        <v>329</v>
      </c>
      <c r="G15" s="132">
        <v>750</v>
      </c>
      <c r="H15" s="131">
        <v>750</v>
      </c>
      <c r="I15" s="155">
        <f t="shared" ref="I15:I26" si="0">H15-G15</f>
        <v>0</v>
      </c>
      <c r="J15" s="189">
        <f>Jan!I15+Feb!I15+Mar!I15+Apr!I15+May!I15+Jun!I15+July!I15+Aug!I15</f>
        <v>0</v>
      </c>
      <c r="K15" s="176"/>
    </row>
    <row r="16" spans="1:16" s="131" customFormat="1" ht="13.5">
      <c r="B16" s="149" t="s">
        <v>395</v>
      </c>
      <c r="G16" s="132">
        <v>200</v>
      </c>
      <c r="H16" s="131">
        <v>200</v>
      </c>
      <c r="I16" s="155">
        <f t="shared" si="0"/>
        <v>0</v>
      </c>
      <c r="J16" s="189">
        <f>Jan!I16+Feb!I16+Mar!I16+Apr!I16+May!I16+Jun!I16+July!I16+Aug!I16</f>
        <v>0</v>
      </c>
      <c r="K16" s="176"/>
    </row>
    <row r="17" spans="1:12" s="131" customFormat="1" ht="13.5">
      <c r="B17" s="149" t="s">
        <v>460</v>
      </c>
      <c r="G17" s="132">
        <v>300</v>
      </c>
      <c r="H17" s="131">
        <v>300</v>
      </c>
      <c r="I17" s="155">
        <f t="shared" si="0"/>
        <v>0</v>
      </c>
      <c r="J17" s="189">
        <f>Jan!I17+Feb!I17+Mar!I17+Apr!I17+May!I17+Jun!I17+July!I17+Aug!I17</f>
        <v>0</v>
      </c>
      <c r="K17" s="176"/>
    </row>
    <row r="18" spans="1:12" s="131" customFormat="1" ht="13.5">
      <c r="B18" s="149" t="s">
        <v>396</v>
      </c>
      <c r="G18" s="132">
        <v>200</v>
      </c>
      <c r="H18" s="131">
        <v>200</v>
      </c>
      <c r="I18" s="155">
        <f t="shared" si="0"/>
        <v>0</v>
      </c>
      <c r="J18" s="189">
        <f>Jan!I18+Feb!I18+Mar!I18+Apr!I18+May!I18+Jun!I18+July!I18+Aug!I18</f>
        <v>0</v>
      </c>
      <c r="K18" s="176"/>
    </row>
    <row r="19" spans="1:12" s="131" customFormat="1" ht="13.5">
      <c r="B19" s="149" t="s">
        <v>461</v>
      </c>
      <c r="G19" s="132">
        <v>300</v>
      </c>
      <c r="H19" s="131">
        <v>300</v>
      </c>
      <c r="I19" s="155">
        <f t="shared" si="0"/>
        <v>0</v>
      </c>
      <c r="J19" s="189">
        <f>Jan!I19+Feb!I19+Mar!I19+Apr!I19+May!I19+Jun!I19+July!I19+Aug!I19</f>
        <v>0</v>
      </c>
      <c r="K19" s="176"/>
    </row>
    <row r="20" spans="1:12" s="131" customFormat="1" ht="13.5">
      <c r="B20" s="149" t="s">
        <v>397</v>
      </c>
      <c r="G20" s="132">
        <v>50</v>
      </c>
      <c r="H20" s="131">
        <v>50</v>
      </c>
      <c r="I20" s="155">
        <f t="shared" si="0"/>
        <v>0</v>
      </c>
      <c r="J20" s="189">
        <f>Jan!I20+Feb!I20+Mar!I20+Apr!I20+May!I20+Jun!I20+July!I20+Aug!I20</f>
        <v>0</v>
      </c>
      <c r="K20" s="176"/>
    </row>
    <row r="21" spans="1:12" s="131" customFormat="1" ht="13.5">
      <c r="A21" s="149"/>
      <c r="B21" s="153"/>
      <c r="G21" s="140"/>
      <c r="I21" s="155"/>
      <c r="J21" s="189"/>
      <c r="K21" s="176"/>
    </row>
    <row r="22" spans="1:12" s="131" customFormat="1" ht="13.5">
      <c r="A22" s="149" t="s">
        <v>428</v>
      </c>
      <c r="B22" s="149" t="s">
        <v>594</v>
      </c>
      <c r="G22" s="140">
        <v>500</v>
      </c>
      <c r="H22" s="131">
        <v>500</v>
      </c>
      <c r="I22" s="155">
        <f t="shared" si="0"/>
        <v>0</v>
      </c>
      <c r="J22" s="189">
        <f>Jan!I22+Feb!I22+Mar!I22+Apr!I22+May!I22+Jun!I22+July!I22+Aug!I22</f>
        <v>0</v>
      </c>
      <c r="K22" s="176"/>
    </row>
    <row r="23" spans="1:12" s="131" customFormat="1" ht="13.5">
      <c r="A23" s="149"/>
      <c r="B23" s="153" t="s">
        <v>595</v>
      </c>
      <c r="G23" s="140"/>
      <c r="I23" s="155"/>
      <c r="J23" s="189"/>
      <c r="K23" s="176"/>
    </row>
    <row r="24" spans="1:12" s="131" customFormat="1" ht="13.5">
      <c r="A24" s="149" t="s">
        <v>429</v>
      </c>
      <c r="B24" s="153"/>
      <c r="G24" s="140"/>
      <c r="I24" s="155"/>
      <c r="J24" s="189"/>
      <c r="K24" s="176"/>
    </row>
    <row r="25" spans="1:12" s="131" customFormat="1" ht="13.5">
      <c r="B25" s="149" t="s">
        <v>363</v>
      </c>
      <c r="G25" s="140"/>
      <c r="H25" s="131">
        <v>1500</v>
      </c>
      <c r="I25" s="155">
        <f t="shared" si="0"/>
        <v>1500</v>
      </c>
      <c r="J25" s="189">
        <f>Jan!I25+Feb!I25+Mar!I25+Apr!I25+May!I25+Jun!I25+July!I25+Aug!I25</f>
        <v>10500</v>
      </c>
      <c r="K25" s="176"/>
    </row>
    <row r="26" spans="1:12" s="131" customFormat="1" ht="13.5">
      <c r="B26" s="149" t="s">
        <v>399</v>
      </c>
      <c r="H26" s="131">
        <v>500</v>
      </c>
      <c r="I26" s="155">
        <f t="shared" si="0"/>
        <v>500</v>
      </c>
      <c r="J26" s="192">
        <f>Jan!I26+Feb!I26+Mar!I26+Apr!I26+May!I26+Jun!I26+July!I26+Aug!I26</f>
        <v>4000</v>
      </c>
      <c r="K26" s="176"/>
    </row>
    <row r="27" spans="1:12" s="131" customFormat="1" ht="13.5">
      <c r="A27" s="149"/>
      <c r="G27" s="157"/>
      <c r="H27" s="157"/>
      <c r="I27" s="159"/>
      <c r="J27" s="171"/>
      <c r="K27" s="171"/>
    </row>
    <row r="28" spans="1:12" s="131" customFormat="1" ht="14.25" thickBot="1">
      <c r="A28" s="149"/>
      <c r="B28" s="149"/>
      <c r="G28" s="158">
        <f>SUM(G12:G26)</f>
        <v>3100</v>
      </c>
      <c r="H28" s="158">
        <f>SUM(H12:H26)</f>
        <v>5100</v>
      </c>
      <c r="I28" s="158">
        <f>SUM(I12:I26)</f>
        <v>2000</v>
      </c>
      <c r="J28" s="158">
        <f>SUM(J12:J26)</f>
        <v>15480</v>
      </c>
      <c r="K28" s="177"/>
    </row>
    <row r="29" spans="1:12" s="131" customFormat="1" ht="14.25" thickTop="1">
      <c r="A29" s="149"/>
      <c r="B29" s="149"/>
      <c r="G29" s="142"/>
      <c r="H29" s="142"/>
      <c r="I29" s="142"/>
      <c r="J29" s="142"/>
      <c r="K29" s="177"/>
    </row>
    <row r="30" spans="1:12" s="131" customFormat="1" ht="14.25" thickBot="1">
      <c r="A30" s="149"/>
      <c r="B30" s="149"/>
      <c r="G30" s="142"/>
      <c r="H30" s="142"/>
      <c r="I30" s="142"/>
      <c r="J30" s="142"/>
      <c r="K30" s="177"/>
    </row>
    <row r="31" spans="1:12" s="131" customFormat="1" ht="12.75" customHeight="1" thickBot="1">
      <c r="A31" s="149" t="s">
        <v>442</v>
      </c>
      <c r="B31" s="149"/>
      <c r="G31" s="185"/>
      <c r="H31" s="142"/>
      <c r="I31" s="142"/>
      <c r="J31" s="142"/>
      <c r="K31" s="177"/>
      <c r="L31" s="142"/>
    </row>
    <row r="32" spans="1:12" s="131" customFormat="1" ht="14.25" thickBot="1">
      <c r="A32" s="149"/>
      <c r="B32" s="149"/>
      <c r="G32" s="142"/>
      <c r="H32" s="142"/>
      <c r="I32" s="142"/>
      <c r="J32" s="142"/>
      <c r="K32" s="177"/>
      <c r="L32" s="142"/>
    </row>
    <row r="33" spans="1:15" s="131" customFormat="1" ht="14.25" thickBot="1">
      <c r="A33" s="149" t="s">
        <v>425</v>
      </c>
      <c r="B33" s="149"/>
      <c r="G33" s="169">
        <f>B4-G28</f>
        <v>3477.5</v>
      </c>
      <c r="H33" s="142"/>
      <c r="I33" s="142"/>
      <c r="J33" s="142"/>
      <c r="K33" s="177"/>
      <c r="L33" s="142"/>
    </row>
    <row r="34" spans="1:15" s="131" customFormat="1" ht="13.5">
      <c r="A34" s="149"/>
      <c r="B34" s="149"/>
      <c r="G34" s="170"/>
      <c r="H34" s="142"/>
      <c r="I34" s="142"/>
      <c r="J34" s="142"/>
      <c r="K34" s="177"/>
      <c r="L34" s="142"/>
    </row>
    <row r="35" spans="1:15" s="131" customFormat="1" ht="13.5">
      <c r="A35" s="149" t="s">
        <v>432</v>
      </c>
      <c r="B35" s="149"/>
      <c r="G35" s="170">
        <f>E46</f>
        <v>3471.4800000000009</v>
      </c>
      <c r="H35" s="142"/>
      <c r="I35" s="142"/>
      <c r="J35" s="142"/>
      <c r="K35" s="177"/>
      <c r="L35" s="142"/>
    </row>
    <row r="36" spans="1:15" s="131" customFormat="1" ht="13.5">
      <c r="A36" s="149"/>
      <c r="B36" s="149"/>
      <c r="G36" s="170"/>
      <c r="H36" s="142"/>
      <c r="I36" s="142"/>
      <c r="J36" s="142"/>
      <c r="K36" s="177"/>
      <c r="L36" s="142"/>
    </row>
    <row r="37" spans="1:15" s="131" customFormat="1" ht="13.5">
      <c r="A37" s="149" t="s">
        <v>433</v>
      </c>
      <c r="B37" s="149"/>
      <c r="G37" s="170">
        <f>B131</f>
        <v>1891.3600000000001</v>
      </c>
      <c r="H37" s="142" t="s">
        <v>435</v>
      </c>
      <c r="I37" s="142"/>
      <c r="J37" s="142"/>
      <c r="K37" s="177"/>
      <c r="L37" s="142"/>
    </row>
    <row r="38" spans="1:15" s="131" customFormat="1" ht="14.25" thickBot="1">
      <c r="A38" s="149"/>
      <c r="B38" s="149"/>
      <c r="G38" s="170"/>
      <c r="H38" s="142"/>
      <c r="I38" s="142"/>
      <c r="J38" s="142"/>
      <c r="K38" s="177"/>
      <c r="L38" s="142"/>
    </row>
    <row r="39" spans="1:15" s="131" customFormat="1" ht="14.25" thickBot="1">
      <c r="A39" s="149" t="s">
        <v>430</v>
      </c>
      <c r="B39" s="149"/>
      <c r="G39" s="261">
        <f>G33-G35-G37+G31</f>
        <v>-1885.3400000000011</v>
      </c>
      <c r="H39" s="142"/>
      <c r="I39" s="142"/>
      <c r="J39" s="142"/>
      <c r="K39" s="177"/>
      <c r="L39" s="142"/>
    </row>
    <row r="40" spans="1:15" s="131" customFormat="1" ht="13.5">
      <c r="A40" s="149"/>
      <c r="B40" s="149"/>
      <c r="G40" s="196"/>
      <c r="H40" s="142"/>
      <c r="I40" s="142"/>
      <c r="J40" s="142"/>
      <c r="K40" s="177"/>
      <c r="L40" s="142"/>
      <c r="M40" s="131">
        <v>2715.21</v>
      </c>
      <c r="N40" s="131">
        <v>474.33</v>
      </c>
    </row>
    <row r="41" spans="1:15" s="131" customFormat="1" ht="13.5">
      <c r="A41" s="197" t="s">
        <v>478</v>
      </c>
      <c r="B41" s="149"/>
      <c r="G41" s="196"/>
      <c r="H41" s="142"/>
      <c r="I41" s="142"/>
      <c r="J41" s="142"/>
      <c r="K41" s="177"/>
      <c r="L41" s="142"/>
    </row>
    <row r="42" spans="1:15" s="131" customFormat="1" ht="14.25">
      <c r="B42" s="197" t="s">
        <v>464</v>
      </c>
      <c r="C42" s="150">
        <f>H57+H58+H63+H64+H72+H73+H74+H81+H82+H83+H88+H91+H92+H93+H94+H95+H100+H104+H105+H106+H107+H108+H109+H110+H113+H117+H120+H121+H124</f>
        <v>1650</v>
      </c>
      <c r="D42" s="197" t="s">
        <v>465</v>
      </c>
      <c r="E42" s="150">
        <f>G57+G58+G63+G64+G72+G73+G74+G81+G82+G83+G88+G91+G92+G93+G94+G95+G100+G104+G105+G106+G107+G108+G109+G110+G113+G117+G120+G121+G124</f>
        <v>2350.81</v>
      </c>
      <c r="G42" s="196"/>
      <c r="H42" s="142"/>
      <c r="I42" s="142"/>
      <c r="J42" s="142"/>
      <c r="K42" s="177"/>
      <c r="L42" s="291"/>
      <c r="M42" s="267">
        <f>M46+M44-M43</f>
        <v>2715.21</v>
      </c>
      <c r="N42" s="267">
        <f>N46</f>
        <v>761.18000000000006</v>
      </c>
      <c r="O42" s="131" t="s">
        <v>900</v>
      </c>
    </row>
    <row r="43" spans="1:15" s="131" customFormat="1" ht="14.25">
      <c r="A43" s="149"/>
      <c r="B43" s="149"/>
      <c r="I43" s="152"/>
      <c r="J43" s="187" t="s">
        <v>439</v>
      </c>
      <c r="K43" s="174"/>
      <c r="L43" s="267" t="s">
        <v>534</v>
      </c>
      <c r="M43" s="267"/>
      <c r="N43" s="267"/>
    </row>
    <row r="44" spans="1:15" s="131" customFormat="1" ht="14.25">
      <c r="A44" s="149"/>
      <c r="B44" s="149"/>
      <c r="G44" s="140"/>
      <c r="I44" s="152" t="s">
        <v>80</v>
      </c>
      <c r="J44" s="187" t="s">
        <v>440</v>
      </c>
      <c r="K44" s="174"/>
      <c r="L44" s="267" t="s">
        <v>515</v>
      </c>
      <c r="M44" s="267">
        <v>100</v>
      </c>
      <c r="N44" s="267"/>
    </row>
    <row r="45" spans="1:15" s="131" customFormat="1" ht="14.25" thickBot="1">
      <c r="B45" s="149"/>
      <c r="G45" s="140" t="s">
        <v>331</v>
      </c>
      <c r="H45" s="131" t="s">
        <v>84</v>
      </c>
      <c r="I45" s="154" t="s">
        <v>83</v>
      </c>
      <c r="J45" s="188" t="s">
        <v>441</v>
      </c>
      <c r="K45" s="175"/>
      <c r="L45" s="180" t="s">
        <v>332</v>
      </c>
      <c r="M45" s="181" t="s">
        <v>333</v>
      </c>
      <c r="N45" s="181" t="s">
        <v>334</v>
      </c>
    </row>
    <row r="46" spans="1:15" s="131" customFormat="1" ht="14.25" thickBot="1">
      <c r="A46" s="149" t="s">
        <v>434</v>
      </c>
      <c r="D46"/>
      <c r="E46" s="262">
        <f>B48+B56+B62+B66+B71+B80+B85+B90+B97+B103+B112+B116+B119+B123+B126</f>
        <v>3471.4800000000009</v>
      </c>
      <c r="G46" s="191">
        <f>SUM(G49:G140)</f>
        <v>5362.840000000002</v>
      </c>
      <c r="H46" s="191">
        <f>SUM(H49:H140)</f>
        <v>4603.1500000000005</v>
      </c>
      <c r="I46" s="191">
        <f>H46-G46</f>
        <v>-759.69000000000142</v>
      </c>
      <c r="J46" s="191">
        <f>SUM(J48:J140)</f>
        <v>-11536.510000000004</v>
      </c>
      <c r="K46" s="178"/>
      <c r="L46" s="182">
        <f>SUM(L49:L140)</f>
        <v>1986.4500000000005</v>
      </c>
      <c r="M46" s="182">
        <f>SUM(M49:M140)</f>
        <v>2615.21</v>
      </c>
      <c r="N46" s="182">
        <f>SUM(N49:N140)</f>
        <v>761.18000000000006</v>
      </c>
    </row>
    <row r="47" spans="1:15" s="131" customFormat="1" ht="13.5">
      <c r="A47" s="131" t="s">
        <v>421</v>
      </c>
      <c r="I47" s="152"/>
      <c r="J47" s="187"/>
      <c r="K47" s="174"/>
      <c r="L47" s="115"/>
      <c r="M47" s="116"/>
      <c r="N47" s="116"/>
    </row>
    <row r="48" spans="1:15" s="131" customFormat="1" ht="13.5">
      <c r="A48" s="149" t="s">
        <v>547</v>
      </c>
      <c r="B48" s="149">
        <f>SUM(G49:G54)</f>
        <v>489.64000000000033</v>
      </c>
      <c r="C48" s="149">
        <f>SUM(H49:H54)</f>
        <v>1739.6500000000005</v>
      </c>
      <c r="D48" s="149">
        <f>SUM(I49:I54)</f>
        <v>1250.01</v>
      </c>
      <c r="I48" s="152"/>
      <c r="J48" s="187"/>
      <c r="K48" s="174"/>
      <c r="L48" s="115"/>
      <c r="M48" s="116"/>
      <c r="N48" s="116"/>
    </row>
    <row r="49" spans="1:14" s="131" customFormat="1" ht="13.5">
      <c r="B49" s="131" t="s">
        <v>550</v>
      </c>
      <c r="G49" s="131">
        <f t="shared" ref="G49:G54" si="1">SUM(L49:N49)</f>
        <v>0</v>
      </c>
      <c r="H49" s="131">
        <v>0</v>
      </c>
      <c r="I49" s="152">
        <f t="shared" ref="I49:I54" si="2">H49-G49</f>
        <v>0</v>
      </c>
      <c r="J49" s="187">
        <f>Jan!I49+Feb!I49+Mar!I49+Apr!I49+May!I49+Jun!I49+July!I49+Aug!I49</f>
        <v>-2426.06</v>
      </c>
      <c r="K49" s="174"/>
      <c r="L49" s="115"/>
      <c r="M49" s="116"/>
      <c r="N49" s="116"/>
    </row>
    <row r="50" spans="1:14" s="131" customFormat="1" ht="13.5">
      <c r="B50" s="131" t="s">
        <v>622</v>
      </c>
      <c r="G50" s="131">
        <f t="shared" si="1"/>
        <v>0</v>
      </c>
      <c r="H50" s="131">
        <v>1250</v>
      </c>
      <c r="I50" s="152">
        <f t="shared" si="2"/>
        <v>1250</v>
      </c>
      <c r="J50" s="187">
        <f>Jan!I50+Feb!I50+Mar!I50+Apr!I50+May!I50+Jun!I50+July!I50+Aug!I50</f>
        <v>-5000.9900000000016</v>
      </c>
      <c r="K50" s="174"/>
      <c r="L50" s="115"/>
      <c r="M50" s="116"/>
      <c r="N50" s="116"/>
    </row>
    <row r="51" spans="1:14" s="131" customFormat="1" ht="13.5">
      <c r="B51" s="131" t="s">
        <v>624</v>
      </c>
      <c r="G51" s="131">
        <f t="shared" si="1"/>
        <v>540.45000000000005</v>
      </c>
      <c r="H51" s="131">
        <v>540.46</v>
      </c>
      <c r="I51" s="152">
        <f t="shared" si="2"/>
        <v>9.9999999999909051E-3</v>
      </c>
      <c r="J51" s="187">
        <f>Jan!I51+Feb!I51+Mar!I51+Apr!I51+May!I51+Jun!I51+July!I51+Aug!I51</f>
        <v>239.11</v>
      </c>
      <c r="K51" s="174"/>
      <c r="L51" s="115">
        <v>540.45000000000005</v>
      </c>
      <c r="M51" s="116"/>
      <c r="N51" s="116"/>
    </row>
    <row r="52" spans="1:14" s="131" customFormat="1" ht="13.5">
      <c r="B52" s="131" t="s">
        <v>551</v>
      </c>
      <c r="G52" s="131">
        <f t="shared" si="1"/>
        <v>1636.68</v>
      </c>
      <c r="H52" s="131">
        <v>1636.68</v>
      </c>
      <c r="I52" s="152">
        <f t="shared" si="2"/>
        <v>0</v>
      </c>
      <c r="J52" s="187">
        <f>Jan!I52+Feb!I52+Mar!I52+Apr!I52+May!I52+Jun!I52+July!I52+Aug!I52</f>
        <v>1636.68</v>
      </c>
      <c r="K52" s="174"/>
      <c r="L52" s="115">
        <v>1636.68</v>
      </c>
      <c r="M52" s="116"/>
      <c r="N52" s="116"/>
    </row>
    <row r="53" spans="1:14" s="131" customFormat="1" ht="13.5">
      <c r="B53" s="131" t="s">
        <v>329</v>
      </c>
      <c r="G53" s="131">
        <f t="shared" si="1"/>
        <v>312.51</v>
      </c>
      <c r="H53" s="131">
        <v>312.51</v>
      </c>
      <c r="I53" s="152">
        <f t="shared" si="2"/>
        <v>0</v>
      </c>
      <c r="J53" s="187">
        <f>Jan!I53+Feb!I53+Mar!I53+Apr!I53+May!I53+Jun!I53+July!I53+Aug!I53</f>
        <v>312.51</v>
      </c>
      <c r="K53" s="174"/>
      <c r="L53" s="115">
        <v>312.51</v>
      </c>
      <c r="M53" s="116"/>
      <c r="N53" s="116"/>
    </row>
    <row r="54" spans="1:14" s="131" customFormat="1" ht="13.5">
      <c r="B54" s="131" t="s">
        <v>625</v>
      </c>
      <c r="G54" s="131">
        <f t="shared" si="1"/>
        <v>-2000</v>
      </c>
      <c r="H54" s="131">
        <v>-2000</v>
      </c>
      <c r="I54" s="152">
        <f t="shared" si="2"/>
        <v>0</v>
      </c>
      <c r="J54" s="187">
        <f>Jan!I54+Feb!I54+Mar!I54+Apr!I54+May!I54+Jun!I54+July!I54+Aug!I54</f>
        <v>-1000</v>
      </c>
      <c r="K54" s="174"/>
      <c r="L54" s="115">
        <v>-2000</v>
      </c>
      <c r="M54" s="116"/>
      <c r="N54" s="116"/>
    </row>
    <row r="55" spans="1:14" s="131" customFormat="1" ht="13.5">
      <c r="I55" s="152"/>
      <c r="J55" s="187"/>
      <c r="K55" s="174"/>
      <c r="L55" s="115"/>
      <c r="M55" s="116"/>
      <c r="N55" s="116"/>
    </row>
    <row r="56" spans="1:14" s="131" customFormat="1" ht="13.5">
      <c r="A56" s="149" t="s">
        <v>85</v>
      </c>
      <c r="B56" s="149">
        <f>SUM(G57:G60)</f>
        <v>162.68</v>
      </c>
      <c r="C56" s="149">
        <f>SUM(H57:H60)</f>
        <v>355</v>
      </c>
      <c r="D56" s="149">
        <f>C56-B56</f>
        <v>192.32</v>
      </c>
      <c r="I56" s="152"/>
      <c r="J56" s="187"/>
      <c r="K56" s="174"/>
      <c r="L56" s="115"/>
      <c r="M56" s="116"/>
      <c r="N56" s="116"/>
    </row>
    <row r="57" spans="1:14" s="131" customFormat="1" ht="13.5">
      <c r="B57" s="131" t="s">
        <v>41</v>
      </c>
      <c r="C57" s="131" t="s">
        <v>42</v>
      </c>
      <c r="G57" s="131">
        <f>SUM(L57:N57)</f>
        <v>162.68</v>
      </c>
      <c r="H57" s="131">
        <v>110</v>
      </c>
      <c r="I57" s="152">
        <f>H57-G57</f>
        <v>-52.680000000000007</v>
      </c>
      <c r="J57" s="187">
        <f>Jan!I57+Feb!I57+Mar!I57+Apr!I57+May!I57+Jun!I57+July!I57+Aug!I57</f>
        <v>-85.059999999999988</v>
      </c>
      <c r="K57" s="174"/>
      <c r="L57" s="115">
        <v>162.68</v>
      </c>
      <c r="M57" s="116"/>
      <c r="N57" s="116"/>
    </row>
    <row r="58" spans="1:14" s="131" customFormat="1" ht="13.5">
      <c r="B58" s="131" t="s">
        <v>43</v>
      </c>
      <c r="C58" s="131" t="s">
        <v>44</v>
      </c>
      <c r="G58" s="131">
        <f t="shared" ref="G58:G121" si="3">SUM(L58:N58)</f>
        <v>0</v>
      </c>
      <c r="H58" s="131">
        <v>45</v>
      </c>
      <c r="I58" s="152">
        <f t="shared" ref="I58:I121" si="4">H58-G58</f>
        <v>45</v>
      </c>
      <c r="J58" s="187">
        <f>Jan!I58+Feb!I58+Mar!I58+Apr!I58+May!I58+Jun!I58+July!I58+Aug!I58</f>
        <v>293.2</v>
      </c>
      <c r="K58" s="174"/>
      <c r="L58" s="115"/>
      <c r="M58" s="116"/>
      <c r="N58" s="116"/>
    </row>
    <row r="59" spans="1:14" s="131" customFormat="1" ht="13.5">
      <c r="B59" s="198" t="s">
        <v>86</v>
      </c>
      <c r="C59" s="198" t="s">
        <v>87</v>
      </c>
      <c r="D59" s="198" t="s">
        <v>423</v>
      </c>
      <c r="E59" s="198"/>
      <c r="F59" s="198"/>
      <c r="G59" s="131">
        <f t="shared" si="3"/>
        <v>0</v>
      </c>
      <c r="H59" s="131">
        <v>90</v>
      </c>
      <c r="I59" s="152">
        <f t="shared" si="4"/>
        <v>90</v>
      </c>
      <c r="J59" s="187">
        <f>Jan!I59+Feb!I59+Mar!I59+Apr!I59+May!I59+Jun!I59+July!I59+Aug!I59</f>
        <v>-505</v>
      </c>
      <c r="K59" s="174"/>
      <c r="L59" s="115"/>
      <c r="M59" s="116"/>
      <c r="N59" s="116"/>
    </row>
    <row r="60" spans="1:14" s="131" customFormat="1" ht="13.5">
      <c r="B60" s="198" t="s">
        <v>88</v>
      </c>
      <c r="C60" s="198" t="s">
        <v>89</v>
      </c>
      <c r="D60" s="198" t="s">
        <v>424</v>
      </c>
      <c r="E60" s="198"/>
      <c r="F60" s="198"/>
      <c r="G60" s="131">
        <f t="shared" si="3"/>
        <v>0</v>
      </c>
      <c r="H60" s="131">
        <v>110</v>
      </c>
      <c r="I60" s="152">
        <f t="shared" si="4"/>
        <v>110</v>
      </c>
      <c r="J60" s="187">
        <f>Jan!I60+Feb!I60+Mar!I60+Apr!I60+May!I60+Jun!I60+July!I60+Aug!I60</f>
        <v>-509.71999999999991</v>
      </c>
      <c r="K60" s="174"/>
      <c r="L60" s="115"/>
      <c r="M60" s="116"/>
      <c r="N60" s="116"/>
    </row>
    <row r="61" spans="1:14" s="131" customFormat="1" ht="13.5">
      <c r="I61" s="152"/>
      <c r="J61" s="187"/>
      <c r="K61" s="174"/>
      <c r="L61" s="115"/>
      <c r="M61" s="116"/>
      <c r="N61" s="116"/>
    </row>
    <row r="62" spans="1:14" s="131" customFormat="1" ht="13.5">
      <c r="A62" s="149" t="s">
        <v>91</v>
      </c>
      <c r="B62" s="149">
        <f>SUM(G63:G64)</f>
        <v>140.5</v>
      </c>
      <c r="C62" s="149">
        <f>SUM(H63:H64)</f>
        <v>138</v>
      </c>
      <c r="D62" s="149">
        <f>C62-B62</f>
        <v>-2.5</v>
      </c>
      <c r="I62" s="152"/>
      <c r="J62" s="187"/>
      <c r="K62" s="174"/>
      <c r="L62" s="115"/>
      <c r="M62" s="116"/>
      <c r="N62" s="116"/>
    </row>
    <row r="63" spans="1:14" s="131" customFormat="1" ht="13.5">
      <c r="B63" s="131" t="s">
        <v>50</v>
      </c>
      <c r="C63" s="131" t="s">
        <v>51</v>
      </c>
      <c r="G63" s="131">
        <f t="shared" si="3"/>
        <v>67.180000000000007</v>
      </c>
      <c r="H63" s="131">
        <v>63</v>
      </c>
      <c r="I63" s="152">
        <f t="shared" si="4"/>
        <v>-4.1800000000000068</v>
      </c>
      <c r="J63" s="187">
        <f>Jan!I63+Feb!I63+Mar!I63+Apr!I63+May!I63+Jun!I63+July!I63+Aug!I63</f>
        <v>-18.97</v>
      </c>
      <c r="K63" s="174"/>
      <c r="L63" s="115"/>
      <c r="M63" s="116">
        <v>67.180000000000007</v>
      </c>
      <c r="N63" s="116"/>
    </row>
    <row r="64" spans="1:14" s="131" customFormat="1" ht="13.5">
      <c r="B64" s="131" t="s">
        <v>92</v>
      </c>
      <c r="C64" s="131" t="s">
        <v>93</v>
      </c>
      <c r="D64" s="156"/>
      <c r="G64" s="131">
        <f t="shared" si="3"/>
        <v>73.319999999999993</v>
      </c>
      <c r="H64" s="131">
        <v>75</v>
      </c>
      <c r="I64" s="152">
        <f t="shared" si="4"/>
        <v>1.6800000000000068</v>
      </c>
      <c r="J64" s="187">
        <f>Jan!I64+Feb!I64+Mar!I64+Apr!I64+May!I64+Jun!I64+July!I64+Aug!I64</f>
        <v>11.770000000000024</v>
      </c>
      <c r="K64" s="174"/>
      <c r="L64" s="115"/>
      <c r="M64" s="116">
        <v>73.319999999999993</v>
      </c>
      <c r="N64" s="116"/>
    </row>
    <row r="65" spans="1:15" s="131" customFormat="1" ht="13.5">
      <c r="I65" s="152"/>
      <c r="J65" s="187"/>
      <c r="K65" s="174"/>
      <c r="L65" s="115"/>
      <c r="M65" s="116"/>
      <c r="N65" s="116"/>
    </row>
    <row r="66" spans="1:15" s="131" customFormat="1" ht="13.5">
      <c r="A66" s="193" t="s">
        <v>94</v>
      </c>
      <c r="B66" s="149">
        <f>SUM(G67:G69)</f>
        <v>0</v>
      </c>
      <c r="C66" s="149">
        <f>SUM(H67:H69)</f>
        <v>177</v>
      </c>
      <c r="D66" s="149">
        <f>C66-B66</f>
        <v>177</v>
      </c>
      <c r="I66" s="152"/>
      <c r="J66" s="187"/>
      <c r="K66" s="174"/>
      <c r="L66" s="115"/>
      <c r="M66" s="116"/>
      <c r="N66" s="116"/>
    </row>
    <row r="67" spans="1:15" s="131" customFormat="1" ht="13.5">
      <c r="B67" s="198" t="s">
        <v>95</v>
      </c>
      <c r="C67" s="198"/>
      <c r="D67" s="198" t="s">
        <v>96</v>
      </c>
      <c r="E67" s="198"/>
      <c r="F67" s="198"/>
      <c r="G67" s="131">
        <f t="shared" si="3"/>
        <v>0</v>
      </c>
      <c r="H67" s="131">
        <v>56.5</v>
      </c>
      <c r="I67" s="152">
        <f t="shared" si="4"/>
        <v>56.5</v>
      </c>
      <c r="J67" s="187">
        <f>Jan!I67+Feb!I67+Mar!I67+Apr!I67+May!I67+Jun!I67+July!I67+Aug!I67</f>
        <v>-264</v>
      </c>
      <c r="K67" s="174"/>
      <c r="L67" s="115"/>
      <c r="M67" s="116"/>
      <c r="N67" s="116"/>
    </row>
    <row r="68" spans="1:15" s="131" customFormat="1" ht="13.5">
      <c r="B68" s="198" t="s">
        <v>97</v>
      </c>
      <c r="C68" s="198"/>
      <c r="D68" s="198" t="s">
        <v>96</v>
      </c>
      <c r="E68" s="198"/>
      <c r="F68" s="198"/>
      <c r="G68" s="131">
        <f t="shared" si="3"/>
        <v>0</v>
      </c>
      <c r="H68" s="131">
        <v>84.5</v>
      </c>
      <c r="I68" s="152">
        <f t="shared" si="4"/>
        <v>84.5</v>
      </c>
      <c r="J68" s="187">
        <f>Jan!I68+Feb!I68+Mar!I68+Apr!I68+May!I68+Jun!I68+July!I68+Aug!I68</f>
        <v>-279</v>
      </c>
      <c r="K68" s="174"/>
      <c r="L68" s="115"/>
      <c r="M68" s="116"/>
      <c r="N68" s="116"/>
    </row>
    <row r="69" spans="1:15" s="131" customFormat="1" ht="13.5">
      <c r="B69" s="198" t="s">
        <v>98</v>
      </c>
      <c r="C69" s="198"/>
      <c r="D69" s="198" t="s">
        <v>477</v>
      </c>
      <c r="E69" s="198"/>
      <c r="F69" s="198"/>
      <c r="G69" s="131">
        <f t="shared" si="3"/>
        <v>0</v>
      </c>
      <c r="H69" s="131">
        <v>36</v>
      </c>
      <c r="I69" s="152">
        <f t="shared" si="4"/>
        <v>36</v>
      </c>
      <c r="J69" s="187">
        <f>Jan!I69+Feb!I69+Mar!I69+Apr!I69+May!I69+Jun!I69+July!I69+Aug!I69</f>
        <v>288</v>
      </c>
      <c r="K69" s="174"/>
      <c r="L69" s="115"/>
      <c r="M69" s="116"/>
      <c r="N69" s="116"/>
    </row>
    <row r="70" spans="1:15" s="131" customFormat="1" ht="13.5">
      <c r="I70" s="152"/>
      <c r="J70" s="187"/>
      <c r="K70" s="174"/>
      <c r="L70" s="115"/>
      <c r="M70" s="116"/>
      <c r="N70" s="116"/>
    </row>
    <row r="71" spans="1:15" s="131" customFormat="1" ht="13.5">
      <c r="A71" s="149" t="s">
        <v>99</v>
      </c>
      <c r="B71" s="149">
        <f>SUM(G72:G78)</f>
        <v>163.33000000000001</v>
      </c>
      <c r="C71" s="149">
        <f>SUM(H72:H78)</f>
        <v>166.5</v>
      </c>
      <c r="D71" s="149">
        <f>C71-B71</f>
        <v>3.1699999999999875</v>
      </c>
      <c r="I71" s="152"/>
      <c r="J71" s="187"/>
      <c r="K71" s="174"/>
      <c r="L71" s="115"/>
      <c r="M71" s="116"/>
      <c r="N71" s="116"/>
    </row>
    <row r="72" spans="1:15" s="131" customFormat="1" ht="13.5">
      <c r="B72" s="131" t="s">
        <v>100</v>
      </c>
      <c r="G72" s="131">
        <f t="shared" si="3"/>
        <v>11.1</v>
      </c>
      <c r="H72" s="131">
        <v>15</v>
      </c>
      <c r="I72" s="152">
        <f t="shared" si="4"/>
        <v>3.9000000000000004</v>
      </c>
      <c r="J72" s="187">
        <f>Jan!I72+Feb!I72+Mar!I72+Apr!I72+May!I72+Jun!I72+July!I72+Aug!I72</f>
        <v>9.33</v>
      </c>
      <c r="K72" s="174"/>
      <c r="L72" s="115"/>
      <c r="M72" s="116">
        <f>11.1</f>
        <v>11.1</v>
      </c>
      <c r="N72" s="116"/>
    </row>
    <row r="73" spans="1:15" s="131" customFormat="1" ht="13.5">
      <c r="B73" s="131" t="s">
        <v>384</v>
      </c>
      <c r="G73" s="131">
        <f t="shared" si="3"/>
        <v>4.49</v>
      </c>
      <c r="H73" s="131">
        <v>5</v>
      </c>
      <c r="I73" s="152">
        <f t="shared" si="4"/>
        <v>0.50999999999999979</v>
      </c>
      <c r="J73" s="187">
        <f>Jan!I73+Feb!I73+Mar!I73+Apr!I73+May!I73+Jun!I73+July!I73+Aug!I73</f>
        <v>-1.1000000000000014</v>
      </c>
      <c r="K73" s="174"/>
      <c r="L73" s="115"/>
      <c r="M73" s="116">
        <f>4.49</f>
        <v>4.49</v>
      </c>
      <c r="N73" s="116"/>
    </row>
    <row r="74" spans="1:15" s="131" customFormat="1" ht="13.5">
      <c r="B74" s="131" t="s">
        <v>385</v>
      </c>
      <c r="G74" s="131">
        <f t="shared" si="3"/>
        <v>28.110000000000003</v>
      </c>
      <c r="H74" s="131">
        <v>65</v>
      </c>
      <c r="I74" s="152">
        <f t="shared" si="4"/>
        <v>36.89</v>
      </c>
      <c r="J74" s="187">
        <f>Jan!I74+Feb!I74+Mar!I74+Apr!I74+May!I74+Jun!I74+July!I74+Aug!I74</f>
        <v>-38.359999999999971</v>
      </c>
      <c r="K74" s="174"/>
      <c r="L74" s="115"/>
      <c r="M74" s="116">
        <f>8.98+48.44-35.37+6.06</f>
        <v>28.110000000000003</v>
      </c>
      <c r="N74" s="116"/>
    </row>
    <row r="75" spans="1:15" s="131" customFormat="1" ht="13.5">
      <c r="B75" s="131" t="s">
        <v>386</v>
      </c>
      <c r="G75" s="131">
        <f t="shared" si="3"/>
        <v>22.98</v>
      </c>
      <c r="H75" s="131">
        <v>15</v>
      </c>
      <c r="I75" s="152">
        <f t="shared" si="4"/>
        <v>-7.98</v>
      </c>
      <c r="J75" s="187">
        <f>Jan!I75+Feb!I75+Mar!I75+Apr!I75+May!I75+Jun!I75+July!I75+Aug!I75</f>
        <v>57.029999999999987</v>
      </c>
      <c r="K75" s="174"/>
      <c r="L75" s="115"/>
      <c r="M75" s="116">
        <f>22.98</f>
        <v>22.98</v>
      </c>
      <c r="N75" s="116"/>
      <c r="O75" s="131" t="s">
        <v>841</v>
      </c>
    </row>
    <row r="76" spans="1:15" s="131" customFormat="1" ht="13.5">
      <c r="B76" s="198" t="s">
        <v>390</v>
      </c>
      <c r="C76" s="198"/>
      <c r="D76" s="198"/>
      <c r="E76" s="198"/>
      <c r="F76" s="198"/>
      <c r="G76" s="131">
        <f t="shared" si="3"/>
        <v>96.65</v>
      </c>
      <c r="H76" s="131">
        <v>35</v>
      </c>
      <c r="I76" s="152">
        <f t="shared" si="4"/>
        <v>-61.650000000000006</v>
      </c>
      <c r="J76" s="187">
        <f>Jan!I76+Feb!I76+Mar!I76+Apr!I76+May!I76+Jun!I76+July!I76+Aug!I76</f>
        <v>183.35</v>
      </c>
      <c r="K76" s="174"/>
      <c r="L76" s="115"/>
      <c r="M76" s="116">
        <v>96.65</v>
      </c>
      <c r="N76" s="116"/>
      <c r="O76" s="131" t="s">
        <v>905</v>
      </c>
    </row>
    <row r="77" spans="1:15" s="131" customFormat="1" ht="13.5">
      <c r="B77" s="198" t="s">
        <v>387</v>
      </c>
      <c r="C77" s="198"/>
      <c r="D77" s="198"/>
      <c r="E77" s="198"/>
      <c r="F77" s="198"/>
      <c r="G77" s="131">
        <f t="shared" si="3"/>
        <v>0</v>
      </c>
      <c r="H77" s="131">
        <v>20</v>
      </c>
      <c r="I77" s="152">
        <f t="shared" si="4"/>
        <v>20</v>
      </c>
      <c r="J77" s="187">
        <f>Jan!I77+Feb!I77+Mar!I77+Apr!I77+May!I77+Jun!I77+July!I77+Aug!I77</f>
        <v>160</v>
      </c>
      <c r="K77" s="174"/>
      <c r="L77" s="115"/>
      <c r="M77" s="116"/>
      <c r="N77" s="116"/>
    </row>
    <row r="78" spans="1:15" s="131" customFormat="1" ht="13.5">
      <c r="B78" s="198" t="s">
        <v>388</v>
      </c>
      <c r="C78" s="198"/>
      <c r="D78" s="198"/>
      <c r="E78" s="198"/>
      <c r="F78" s="198"/>
      <c r="G78" s="131">
        <f t="shared" si="3"/>
        <v>0</v>
      </c>
      <c r="H78" s="131">
        <v>11.5</v>
      </c>
      <c r="I78" s="152">
        <f t="shared" si="4"/>
        <v>11.5</v>
      </c>
      <c r="J78" s="187">
        <f>Jan!I78+Feb!I78+Mar!I78+Apr!I78+May!I78+Jun!I78+July!I78+Aug!I78</f>
        <v>-33.989999999999995</v>
      </c>
      <c r="K78" s="174"/>
      <c r="L78" s="115"/>
      <c r="M78" s="116"/>
      <c r="N78" s="116"/>
    </row>
    <row r="79" spans="1:15" s="131" customFormat="1" ht="13.5">
      <c r="I79" s="152"/>
      <c r="J79" s="187"/>
      <c r="K79" s="174"/>
      <c r="L79" s="115"/>
      <c r="M79" s="116"/>
      <c r="N79" s="116"/>
    </row>
    <row r="80" spans="1:15" s="131" customFormat="1" ht="13.5">
      <c r="A80" s="149" t="s">
        <v>335</v>
      </c>
      <c r="B80" s="149">
        <f>SUM(G81:G83)</f>
        <v>11.969999999999999</v>
      </c>
      <c r="C80" s="149">
        <f>SUM(H81:H83)</f>
        <v>30</v>
      </c>
      <c r="D80" s="149">
        <f>C80-B80</f>
        <v>18.03</v>
      </c>
      <c r="I80" s="152"/>
      <c r="J80" s="187"/>
      <c r="K80" s="174"/>
      <c r="L80" s="115"/>
      <c r="M80" s="116"/>
      <c r="N80" s="116"/>
    </row>
    <row r="81" spans="1:15" s="131" customFormat="1" ht="13.5">
      <c r="B81" s="198" t="s">
        <v>101</v>
      </c>
      <c r="C81" s="198"/>
      <c r="D81" s="198"/>
      <c r="E81" s="198"/>
      <c r="F81" s="198"/>
      <c r="G81" s="131">
        <f t="shared" si="3"/>
        <v>0</v>
      </c>
      <c r="H81" s="131">
        <v>10</v>
      </c>
      <c r="I81" s="152">
        <f t="shared" si="4"/>
        <v>10</v>
      </c>
      <c r="J81" s="187">
        <f>Jan!I81+Feb!I81+Mar!I81+Apr!I81+May!I81+Jun!I81+July!I81+Aug!I81</f>
        <v>-373</v>
      </c>
      <c r="K81" s="174"/>
      <c r="L81" s="115"/>
      <c r="M81" s="116"/>
      <c r="N81" s="116"/>
    </row>
    <row r="82" spans="1:15" s="131" customFormat="1" ht="13.5">
      <c r="B82" s="198" t="s">
        <v>102</v>
      </c>
      <c r="C82" s="198"/>
      <c r="D82" s="198"/>
      <c r="E82" s="198"/>
      <c r="F82" s="198"/>
      <c r="G82" s="131">
        <f t="shared" si="3"/>
        <v>11.969999999999999</v>
      </c>
      <c r="H82" s="131">
        <v>10</v>
      </c>
      <c r="I82" s="152">
        <f t="shared" si="4"/>
        <v>-1.9699999999999989</v>
      </c>
      <c r="J82" s="187">
        <f>Jan!I82+Feb!I82+Mar!I82+Apr!I82+May!I82+Jun!I82+July!I82+Aug!I82</f>
        <v>1.0900000000000034</v>
      </c>
      <c r="K82" s="174"/>
      <c r="L82" s="115"/>
      <c r="M82" s="116">
        <f>(15.93-3.96)</f>
        <v>11.969999999999999</v>
      </c>
      <c r="N82" s="116"/>
    </row>
    <row r="83" spans="1:15" s="131" customFormat="1" ht="13.5">
      <c r="B83" s="198" t="s">
        <v>383</v>
      </c>
      <c r="C83" s="198"/>
      <c r="D83" s="198"/>
      <c r="E83" s="198"/>
      <c r="F83" s="198"/>
      <c r="G83" s="131">
        <f t="shared" si="3"/>
        <v>0</v>
      </c>
      <c r="H83" s="131">
        <v>10</v>
      </c>
      <c r="I83" s="152">
        <f t="shared" si="4"/>
        <v>10</v>
      </c>
      <c r="J83" s="187">
        <f>Jan!I83+Feb!I83+Mar!I83+Apr!I83+May!I83+Jun!I83+July!I83+Aug!I83</f>
        <v>-15.649999999999999</v>
      </c>
      <c r="K83" s="174"/>
      <c r="L83" s="115"/>
      <c r="M83" s="116"/>
      <c r="N83" s="116"/>
    </row>
    <row r="84" spans="1:15" s="131" customFormat="1" ht="13.5">
      <c r="I84" s="152"/>
      <c r="J84" s="187"/>
      <c r="K84" s="174"/>
      <c r="L84" s="115"/>
      <c r="M84" s="116"/>
      <c r="N84" s="116"/>
    </row>
    <row r="85" spans="1:15" s="131" customFormat="1" ht="13.5">
      <c r="A85" s="149" t="s">
        <v>110</v>
      </c>
      <c r="B85" s="149">
        <f>SUM(G86:G88)</f>
        <v>54.02</v>
      </c>
      <c r="C85" s="149">
        <f>SUM(H86:H88)</f>
        <v>115</v>
      </c>
      <c r="D85" s="149">
        <f>C85-B85</f>
        <v>60.98</v>
      </c>
      <c r="I85" s="152"/>
      <c r="J85" s="187"/>
      <c r="K85" s="174"/>
      <c r="L85" s="115"/>
      <c r="M85" s="116"/>
      <c r="N85" s="116"/>
    </row>
    <row r="86" spans="1:15" s="131" customFormat="1" ht="13.5">
      <c r="B86" s="198" t="s">
        <v>389</v>
      </c>
      <c r="C86" s="198"/>
      <c r="D86" s="198"/>
      <c r="E86" s="198"/>
      <c r="F86" s="198"/>
      <c r="G86" s="131">
        <f t="shared" si="3"/>
        <v>0</v>
      </c>
      <c r="H86" s="131">
        <v>30</v>
      </c>
      <c r="I86" s="152">
        <f t="shared" si="4"/>
        <v>30</v>
      </c>
      <c r="J86" s="187">
        <f>Jan!I86+Feb!I86+Mar!I86+Apr!I86+May!I86+Jun!I86+July!I86+Aug!I86</f>
        <v>-746.40000000000009</v>
      </c>
      <c r="K86" s="174"/>
      <c r="L86" s="115"/>
      <c r="M86" s="116"/>
      <c r="N86" s="116"/>
    </row>
    <row r="87" spans="1:15" s="131" customFormat="1" ht="13.5">
      <c r="B87" s="198" t="s">
        <v>111</v>
      </c>
      <c r="C87" s="198"/>
      <c r="D87" s="198"/>
      <c r="E87" s="198"/>
      <c r="F87" s="198"/>
      <c r="G87" s="131">
        <f t="shared" si="3"/>
        <v>0</v>
      </c>
      <c r="H87" s="131">
        <v>20</v>
      </c>
      <c r="I87" s="152">
        <f t="shared" si="4"/>
        <v>20</v>
      </c>
      <c r="J87" s="187">
        <f>Jan!I87+Feb!I87+Mar!I87+Apr!I87+May!I87+Jun!I87+July!I87+Aug!I87</f>
        <v>-123.39999999999998</v>
      </c>
      <c r="K87" s="174"/>
      <c r="L87" s="115"/>
      <c r="M87" s="116"/>
      <c r="N87" s="116"/>
    </row>
    <row r="88" spans="1:15" s="131" customFormat="1" ht="13.5">
      <c r="B88" s="131" t="s">
        <v>391</v>
      </c>
      <c r="G88" s="131">
        <f t="shared" si="3"/>
        <v>54.02</v>
      </c>
      <c r="H88" s="131">
        <v>65</v>
      </c>
      <c r="I88" s="152">
        <f t="shared" si="4"/>
        <v>10.979999999999997</v>
      </c>
      <c r="J88" s="187">
        <f>Jan!I88+Feb!I88+Mar!I88+Apr!I88+May!I88+Jun!I88+July!I88+Aug!I88</f>
        <v>-393.89</v>
      </c>
      <c r="K88" s="174"/>
      <c r="L88" s="115"/>
      <c r="M88" s="116">
        <v>54.02</v>
      </c>
      <c r="N88" s="116"/>
    </row>
    <row r="89" spans="1:15" s="131" customFormat="1" ht="13.5">
      <c r="I89" s="152"/>
      <c r="J89" s="187"/>
      <c r="K89" s="174"/>
      <c r="L89" s="115"/>
      <c r="M89" s="116"/>
      <c r="N89" s="116"/>
    </row>
    <row r="90" spans="1:15" s="131" customFormat="1" ht="13.5">
      <c r="A90" s="149" t="s">
        <v>112</v>
      </c>
      <c r="B90" s="149">
        <f>SUM(G91:G95)</f>
        <v>275.7</v>
      </c>
      <c r="C90" s="149">
        <f>SUM(H91:H95)</f>
        <v>220</v>
      </c>
      <c r="D90" s="149">
        <f>C90-B90</f>
        <v>-55.699999999999989</v>
      </c>
      <c r="I90" s="152"/>
      <c r="J90" s="187"/>
      <c r="K90" s="174"/>
      <c r="L90" s="115"/>
      <c r="M90" s="116"/>
      <c r="N90" s="116"/>
    </row>
    <row r="91" spans="1:15" s="131" customFormat="1" ht="13.5">
      <c r="B91" s="131" t="s">
        <v>113</v>
      </c>
      <c r="G91" s="131">
        <f t="shared" si="3"/>
        <v>124.16</v>
      </c>
      <c r="H91" s="131">
        <v>40</v>
      </c>
      <c r="I91" s="152">
        <f t="shared" si="4"/>
        <v>-84.16</v>
      </c>
      <c r="J91" s="187">
        <f>Jan!I91+Feb!I91+Mar!I91+Apr!I91+May!I91+Jun!I91+July!I91+Aug!I91</f>
        <v>-81.599999999999994</v>
      </c>
      <c r="K91" s="174"/>
      <c r="L91" s="115"/>
      <c r="M91" s="116">
        <f>38.9+85.26</f>
        <v>124.16</v>
      </c>
      <c r="N91" s="116"/>
    </row>
    <row r="92" spans="1:15" s="131" customFormat="1" ht="13.5">
      <c r="B92" s="131" t="s">
        <v>114</v>
      </c>
      <c r="D92" s="131" t="s">
        <v>115</v>
      </c>
      <c r="G92" s="131">
        <f t="shared" si="3"/>
        <v>106</v>
      </c>
      <c r="H92" s="131">
        <v>120</v>
      </c>
      <c r="I92" s="152">
        <f t="shared" si="4"/>
        <v>14</v>
      </c>
      <c r="J92" s="187">
        <f>Jan!I92+Feb!I92+Mar!I92+Apr!I92+May!I92+Jun!I92+July!I92+Aug!I92</f>
        <v>84</v>
      </c>
      <c r="K92" s="174"/>
      <c r="L92" s="115">
        <f>15</f>
        <v>15</v>
      </c>
      <c r="M92" s="116">
        <f>6+85</f>
        <v>91</v>
      </c>
      <c r="N92" s="116"/>
    </row>
    <row r="93" spans="1:15" s="131" customFormat="1" ht="13.5">
      <c r="B93" s="131" t="s">
        <v>116</v>
      </c>
      <c r="G93" s="131">
        <f t="shared" si="3"/>
        <v>4.99</v>
      </c>
      <c r="H93" s="131">
        <v>20</v>
      </c>
      <c r="I93" s="152">
        <f t="shared" si="4"/>
        <v>15.01</v>
      </c>
      <c r="J93" s="187">
        <f>Jan!I93+Feb!I93+Mar!I93+Apr!I93+May!I93+Jun!I93+July!I93+Aug!I93</f>
        <v>77.98</v>
      </c>
      <c r="K93" s="174"/>
      <c r="L93" s="115"/>
      <c r="M93" s="116">
        <f>4.99</f>
        <v>4.99</v>
      </c>
      <c r="N93" s="116"/>
      <c r="O93" s="131" t="s">
        <v>899</v>
      </c>
    </row>
    <row r="94" spans="1:15" s="131" customFormat="1" ht="13.5">
      <c r="A94" s="149"/>
      <c r="B94" s="131" t="s">
        <v>117</v>
      </c>
      <c r="G94" s="131">
        <f t="shared" si="3"/>
        <v>10</v>
      </c>
      <c r="H94" s="131">
        <v>20</v>
      </c>
      <c r="I94" s="152">
        <f t="shared" si="4"/>
        <v>10</v>
      </c>
      <c r="J94" s="187">
        <f>Jan!I94+Feb!I94+Mar!I94+Apr!I94+May!I94+Jun!I94+July!I94+Aug!I94</f>
        <v>-34.289999999999992</v>
      </c>
      <c r="K94" s="174"/>
      <c r="L94" s="115"/>
      <c r="M94" s="116">
        <f>10</f>
        <v>10</v>
      </c>
      <c r="N94" s="116"/>
    </row>
    <row r="95" spans="1:15" s="131" customFormat="1" ht="13.5">
      <c r="A95" s="149"/>
      <c r="B95" s="131" t="s">
        <v>118</v>
      </c>
      <c r="G95" s="131">
        <f t="shared" si="3"/>
        <v>30.55</v>
      </c>
      <c r="H95" s="131">
        <v>20</v>
      </c>
      <c r="I95" s="152">
        <f t="shared" si="4"/>
        <v>-10.55</v>
      </c>
      <c r="J95" s="187">
        <f>Jan!I95+Feb!I95+Mar!I95+Apr!I95+May!I95+Jun!I95+July!I95+Aug!I95</f>
        <v>-181.28000000000003</v>
      </c>
      <c r="K95" s="174"/>
      <c r="L95" s="115"/>
      <c r="M95" s="116">
        <f>9.59+2.06+3.22+13.55+2.13</f>
        <v>30.55</v>
      </c>
      <c r="N95" s="116"/>
    </row>
    <row r="96" spans="1:15" s="131" customFormat="1" ht="13.5">
      <c r="A96" s="149"/>
      <c r="B96" s="149"/>
      <c r="I96" s="152"/>
      <c r="J96" s="187"/>
      <c r="K96" s="174"/>
      <c r="L96" s="115"/>
      <c r="M96" s="116"/>
      <c r="N96" s="116"/>
    </row>
    <row r="97" spans="1:15" s="131" customFormat="1" ht="13.5">
      <c r="A97" s="149" t="s">
        <v>119</v>
      </c>
      <c r="B97" s="149">
        <f>SUM(G98:G101)</f>
        <v>426.28000000000003</v>
      </c>
      <c r="C97" s="149">
        <f>SUM(H98:H101)</f>
        <v>435</v>
      </c>
      <c r="D97" s="149">
        <f>C97-B97</f>
        <v>8.7199999999999704</v>
      </c>
      <c r="I97" s="152"/>
      <c r="J97" s="187"/>
      <c r="K97" s="174"/>
      <c r="L97" s="115"/>
      <c r="M97" s="116"/>
      <c r="N97" s="116"/>
    </row>
    <row r="98" spans="1:15" s="131" customFormat="1" ht="13.5">
      <c r="B98" s="198" t="s">
        <v>120</v>
      </c>
      <c r="C98" s="198"/>
      <c r="D98" s="198" t="s">
        <v>121</v>
      </c>
      <c r="E98" s="198"/>
      <c r="F98" s="198"/>
      <c r="G98" s="131">
        <f t="shared" si="3"/>
        <v>0</v>
      </c>
      <c r="H98" s="131">
        <v>150</v>
      </c>
      <c r="I98" s="152">
        <f t="shared" si="4"/>
        <v>150</v>
      </c>
      <c r="J98" s="187">
        <f>Jan!I98+Feb!I98+Mar!I98+Apr!I98+May!I98+Jun!I98+July!I98+Aug!I98</f>
        <v>73.450000000000102</v>
      </c>
      <c r="K98" s="174"/>
      <c r="L98" s="115"/>
      <c r="M98" s="116"/>
      <c r="N98" s="116"/>
    </row>
    <row r="99" spans="1:15" s="131" customFormat="1" ht="13.5">
      <c r="B99" s="198" t="s">
        <v>122</v>
      </c>
      <c r="C99" s="198"/>
      <c r="D99" s="198" t="s">
        <v>123</v>
      </c>
      <c r="E99" s="198"/>
      <c r="F99" s="198"/>
      <c r="G99" s="131">
        <f t="shared" si="3"/>
        <v>45.230000000000004</v>
      </c>
      <c r="H99" s="131">
        <v>20</v>
      </c>
      <c r="I99" s="152">
        <f t="shared" si="4"/>
        <v>-25.230000000000004</v>
      </c>
      <c r="J99" s="187">
        <f>Jan!I99+Feb!I99+Mar!I99+Apr!I99+May!I99+Jun!I99+July!I99+Aug!I99</f>
        <v>-15.790000000000003</v>
      </c>
      <c r="K99" s="174"/>
      <c r="L99" s="115"/>
      <c r="M99" s="116">
        <f>14.97+30.26</f>
        <v>45.230000000000004</v>
      </c>
      <c r="N99" s="116"/>
      <c r="O99" s="131" t="s">
        <v>835</v>
      </c>
    </row>
    <row r="100" spans="1:15" s="131" customFormat="1" ht="13.5">
      <c r="A100" s="149"/>
      <c r="B100" s="131" t="s">
        <v>124</v>
      </c>
      <c r="G100" s="131">
        <f t="shared" si="3"/>
        <v>381.05</v>
      </c>
      <c r="H100" s="131">
        <v>215</v>
      </c>
      <c r="I100" s="152">
        <f t="shared" si="4"/>
        <v>-166.05</v>
      </c>
      <c r="J100" s="187">
        <f>Jan!I100+Feb!I100+Mar!I100+Apr!I100+May!I100+Jun!I100+July!I100+Aug!I100</f>
        <v>-187.21</v>
      </c>
      <c r="K100" s="174"/>
      <c r="L100" s="115">
        <f>180+150+30</f>
        <v>360</v>
      </c>
      <c r="M100" s="116">
        <v>21.05</v>
      </c>
      <c r="N100" s="116"/>
      <c r="O100" s="131" t="s">
        <v>836</v>
      </c>
    </row>
    <row r="101" spans="1:15" s="131" customFormat="1" ht="13.5">
      <c r="A101" s="149"/>
      <c r="B101" s="198" t="s">
        <v>125</v>
      </c>
      <c r="C101" s="198"/>
      <c r="D101" s="198"/>
      <c r="E101" s="198"/>
      <c r="F101" s="198"/>
      <c r="G101" s="131">
        <f t="shared" si="3"/>
        <v>0</v>
      </c>
      <c r="H101" s="131">
        <v>50</v>
      </c>
      <c r="I101" s="152">
        <f t="shared" si="4"/>
        <v>50</v>
      </c>
      <c r="J101" s="187">
        <f>Jan!I101+Feb!I101+Mar!I101+Apr!I101+May!I101+Jun!I101+July!I101+Aug!I101</f>
        <v>27.019999999999982</v>
      </c>
      <c r="K101" s="174"/>
      <c r="L101" s="115"/>
      <c r="M101" s="116"/>
      <c r="N101" s="116"/>
    </row>
    <row r="102" spans="1:15" s="131" customFormat="1" ht="13.5">
      <c r="A102" s="149"/>
      <c r="I102" s="152"/>
      <c r="J102" s="187"/>
      <c r="K102" s="174"/>
      <c r="L102" s="115"/>
      <c r="M102" s="116"/>
      <c r="N102" s="116"/>
    </row>
    <row r="103" spans="1:15" s="131" customFormat="1" ht="13.5">
      <c r="A103" s="149" t="s">
        <v>103</v>
      </c>
      <c r="B103" s="149">
        <f>SUM(G104:G110)</f>
        <v>929.45</v>
      </c>
      <c r="C103" s="149">
        <f>SUM(H104:H110)</f>
        <v>637</v>
      </c>
      <c r="D103" s="149">
        <f>C103-B103</f>
        <v>-292.45000000000005</v>
      </c>
      <c r="I103" s="152"/>
      <c r="J103" s="187"/>
      <c r="K103" s="174"/>
      <c r="L103" s="115"/>
      <c r="M103" s="116"/>
      <c r="N103" s="116"/>
    </row>
    <row r="104" spans="1:15" s="131" customFormat="1" ht="13.5">
      <c r="B104" s="131" t="s">
        <v>456</v>
      </c>
      <c r="G104" s="131">
        <f t="shared" si="3"/>
        <v>100</v>
      </c>
      <c r="H104" s="131">
        <v>50</v>
      </c>
      <c r="I104" s="152">
        <f t="shared" si="4"/>
        <v>-50</v>
      </c>
      <c r="J104" s="187">
        <f>Jan!I104+Feb!I104+Mar!I104+Apr!I104+May!I104+Jun!I104+July!I104+Aug!I104</f>
        <v>-260</v>
      </c>
      <c r="K104" s="174"/>
      <c r="L104" s="115">
        <v>100</v>
      </c>
      <c r="M104" s="116"/>
      <c r="N104" s="116"/>
      <c r="O104" s="131" t="s">
        <v>843</v>
      </c>
    </row>
    <row r="105" spans="1:15" s="131" customFormat="1" ht="13.5">
      <c r="B105" s="131" t="s">
        <v>105</v>
      </c>
      <c r="D105" s="131" t="s">
        <v>457</v>
      </c>
      <c r="E105" s="131">
        <f>60*52/12</f>
        <v>260</v>
      </c>
      <c r="G105" s="131">
        <f t="shared" si="3"/>
        <v>539.77</v>
      </c>
      <c r="H105" s="131">
        <v>500</v>
      </c>
      <c r="I105" s="152">
        <f t="shared" si="4"/>
        <v>-39.769999999999982</v>
      </c>
      <c r="J105" s="187">
        <f>Jan!I105+Feb!I105+Mar!I105+Apr!I105+May!I105+Jun!I105+July!I105+Aug!I105</f>
        <v>219.96999999999991</v>
      </c>
      <c r="K105" s="174"/>
      <c r="L105" s="115">
        <v>27.92</v>
      </c>
      <c r="M105" s="116">
        <f>(132.05-84.94-24.88-14.97)+30.26</f>
        <v>37.520000000000017</v>
      </c>
      <c r="N105" s="116">
        <f>43.2+15.94+55.99+55.69+47.42+27.78+50.39+42.3+58.65+33.46+43.51</f>
        <v>474.33</v>
      </c>
    </row>
    <row r="106" spans="1:15" s="131" customFormat="1" ht="13.5">
      <c r="B106" s="131" t="s">
        <v>392</v>
      </c>
      <c r="G106" s="131">
        <f t="shared" si="3"/>
        <v>0</v>
      </c>
      <c r="H106" s="131">
        <v>27</v>
      </c>
      <c r="I106" s="152">
        <f t="shared" si="4"/>
        <v>27</v>
      </c>
      <c r="J106" s="187">
        <f>Jan!I106+Feb!I106+Mar!I106+Apr!I106+May!I106+Jun!I106+July!I106+Aug!I106</f>
        <v>114.62</v>
      </c>
      <c r="K106" s="174"/>
      <c r="L106" s="115"/>
      <c r="M106" s="116"/>
      <c r="N106" s="116"/>
    </row>
    <row r="107" spans="1:15" s="131" customFormat="1" ht="13.5">
      <c r="B107" s="131" t="s">
        <v>106</v>
      </c>
      <c r="G107" s="131">
        <f t="shared" si="3"/>
        <v>0</v>
      </c>
      <c r="H107" s="131">
        <v>15</v>
      </c>
      <c r="I107" s="152">
        <f t="shared" si="4"/>
        <v>15</v>
      </c>
      <c r="J107" s="187">
        <f>Jan!I107+Feb!I107+Mar!I107+Apr!I107+May!I107+Jun!I107+July!I107+Aug!I107</f>
        <v>40.81</v>
      </c>
      <c r="K107" s="174"/>
      <c r="L107" s="115"/>
      <c r="M107" s="116"/>
      <c r="N107" s="116"/>
    </row>
    <row r="108" spans="1:15" s="131" customFormat="1" ht="13.5">
      <c r="B108" s="131" t="s">
        <v>107</v>
      </c>
      <c r="G108" s="131">
        <f t="shared" si="3"/>
        <v>80.36</v>
      </c>
      <c r="H108" s="131">
        <v>20</v>
      </c>
      <c r="I108" s="152">
        <f t="shared" si="4"/>
        <v>-60.36</v>
      </c>
      <c r="J108" s="187">
        <f>Jan!I108+Feb!I108+Mar!I108+Apr!I108+May!I108+Jun!I108+July!I108+Aug!I108</f>
        <v>-196.01</v>
      </c>
      <c r="K108" s="174"/>
      <c r="L108" s="115"/>
      <c r="M108" s="116">
        <f>22.84+57.52</f>
        <v>80.36</v>
      </c>
      <c r="N108" s="116"/>
    </row>
    <row r="109" spans="1:15" s="131" customFormat="1" ht="13.5">
      <c r="B109" s="131" t="s">
        <v>108</v>
      </c>
      <c r="G109" s="131">
        <f t="shared" si="3"/>
        <v>205.36000000000004</v>
      </c>
      <c r="H109" s="131">
        <v>20</v>
      </c>
      <c r="I109" s="152">
        <f t="shared" si="4"/>
        <v>-185.36000000000004</v>
      </c>
      <c r="J109" s="187">
        <f>Jan!I109+Feb!I109+Mar!I109+Apr!I109+May!I109+Jun!I109+July!I109+Aug!I109</f>
        <v>-340.87</v>
      </c>
      <c r="K109" s="174"/>
      <c r="L109" s="115">
        <f>-34.48-40</f>
        <v>-74.47999999999999</v>
      </c>
      <c r="M109" s="116">
        <f>153.9+(80.45-24.99-7.99)+(72.96-24.99)+30.5</f>
        <v>279.84000000000003</v>
      </c>
      <c r="N109" s="116"/>
      <c r="O109" s="131" t="s">
        <v>903</v>
      </c>
    </row>
    <row r="110" spans="1:15" s="131" customFormat="1" ht="13.5">
      <c r="B110" s="131" t="s">
        <v>109</v>
      </c>
      <c r="G110" s="131">
        <f t="shared" si="3"/>
        <v>3.96</v>
      </c>
      <c r="H110" s="131">
        <v>5</v>
      </c>
      <c r="I110" s="152">
        <f t="shared" si="4"/>
        <v>1.04</v>
      </c>
      <c r="J110" s="187">
        <f>Jan!I110+Feb!I110+Mar!I110+Apr!I110+May!I110+Jun!I110+July!I110+Aug!I110</f>
        <v>-32.670000000000009</v>
      </c>
      <c r="K110" s="174"/>
      <c r="L110" s="115"/>
      <c r="M110" s="116">
        <f>3.96</f>
        <v>3.96</v>
      </c>
      <c r="N110" s="116"/>
    </row>
    <row r="111" spans="1:15" s="131" customFormat="1" ht="13.5">
      <c r="I111" s="152"/>
      <c r="J111" s="187"/>
      <c r="K111" s="174"/>
      <c r="L111" s="115"/>
      <c r="M111" s="116"/>
      <c r="N111" s="116"/>
    </row>
    <row r="112" spans="1:15" s="131" customFormat="1" ht="13.5">
      <c r="A112" s="149" t="s">
        <v>407</v>
      </c>
      <c r="B112" s="149">
        <f>G113+G114</f>
        <v>0</v>
      </c>
      <c r="C112" s="149">
        <f>H113</f>
        <v>20</v>
      </c>
      <c r="D112" s="149">
        <f>C112-B112</f>
        <v>20</v>
      </c>
      <c r="I112" s="152"/>
      <c r="J112" s="187"/>
      <c r="K112" s="174"/>
      <c r="L112" s="115"/>
      <c r="M112" s="116"/>
      <c r="N112" s="116"/>
    </row>
    <row r="113" spans="1:15" s="131" customFormat="1" ht="13.5">
      <c r="B113" s="131" t="s">
        <v>408</v>
      </c>
      <c r="G113" s="131">
        <f t="shared" si="3"/>
        <v>0</v>
      </c>
      <c r="H113" s="131">
        <v>20</v>
      </c>
      <c r="I113" s="152">
        <f t="shared" si="4"/>
        <v>20</v>
      </c>
      <c r="J113" s="187">
        <f>Jan!I113+Feb!I113+Mar!I113+Apr!I113+May!I113+Jun!I113+July!I113+Aug!I113</f>
        <v>31.230000000000004</v>
      </c>
      <c r="K113" s="174"/>
      <c r="L113" s="115"/>
      <c r="M113" s="116"/>
      <c r="N113" s="116"/>
    </row>
    <row r="114" spans="1:15" s="131" customFormat="1" ht="13.5">
      <c r="I114" s="152"/>
      <c r="J114" s="187"/>
      <c r="K114" s="174"/>
      <c r="L114" s="115"/>
      <c r="M114" s="116"/>
      <c r="N114" s="116"/>
    </row>
    <row r="115" spans="1:15" s="131" customFormat="1" ht="13.5">
      <c r="I115" s="152"/>
      <c r="J115" s="187"/>
      <c r="K115" s="174"/>
      <c r="L115" s="115"/>
      <c r="M115" s="116"/>
      <c r="N115" s="116"/>
    </row>
    <row r="116" spans="1:15" s="131" customFormat="1" ht="13.5">
      <c r="A116" s="149" t="s">
        <v>130</v>
      </c>
      <c r="B116" s="149">
        <f>G117</f>
        <v>0</v>
      </c>
      <c r="C116" s="149">
        <f>H117</f>
        <v>10</v>
      </c>
      <c r="D116" s="149">
        <f>I117</f>
        <v>10</v>
      </c>
      <c r="I116" s="152"/>
      <c r="J116" s="187"/>
      <c r="K116" s="174"/>
      <c r="L116" s="115"/>
      <c r="M116" s="116"/>
      <c r="N116" s="116"/>
    </row>
    <row r="117" spans="1:15" s="131" customFormat="1" ht="13.5">
      <c r="B117" s="131" t="s">
        <v>455</v>
      </c>
      <c r="G117" s="131">
        <f t="shared" si="3"/>
        <v>0</v>
      </c>
      <c r="H117" s="131">
        <v>10</v>
      </c>
      <c r="I117" s="152">
        <f t="shared" si="4"/>
        <v>10</v>
      </c>
      <c r="J117" s="187">
        <f>Jan!I117+Feb!I117+Mar!I117+Apr!I117+May!I117+Jun!I117+July!I117+Aug!I117</f>
        <v>-1261.25</v>
      </c>
      <c r="K117" s="174"/>
      <c r="L117" s="115"/>
      <c r="M117" s="116"/>
      <c r="N117" s="116"/>
    </row>
    <row r="118" spans="1:15" s="131" customFormat="1" ht="13.5">
      <c r="I118" s="152"/>
      <c r="J118" s="187"/>
      <c r="K118" s="174"/>
      <c r="L118" s="115"/>
      <c r="M118" s="116"/>
      <c r="N118" s="116"/>
    </row>
    <row r="119" spans="1:15" s="131" customFormat="1" ht="13.5">
      <c r="A119" s="149" t="s">
        <v>406</v>
      </c>
      <c r="B119" s="149">
        <f>SUM(G120:G121)</f>
        <v>347.26000000000005</v>
      </c>
      <c r="C119" s="149">
        <f>SUM(H120:H121)</f>
        <v>65</v>
      </c>
      <c r="D119" s="149">
        <f>C119-B119</f>
        <v>-282.26000000000005</v>
      </c>
      <c r="I119" s="152"/>
      <c r="J119" s="187"/>
      <c r="K119" s="174"/>
      <c r="L119" s="115"/>
      <c r="M119" s="116"/>
      <c r="N119" s="116"/>
    </row>
    <row r="120" spans="1:15" s="131" customFormat="1" ht="13.5">
      <c r="B120" s="131" t="s">
        <v>400</v>
      </c>
      <c r="G120" s="131">
        <f t="shared" si="3"/>
        <v>347.26000000000005</v>
      </c>
      <c r="H120" s="131">
        <v>60</v>
      </c>
      <c r="I120" s="152">
        <f t="shared" si="4"/>
        <v>-287.26000000000005</v>
      </c>
      <c r="J120" s="187">
        <f>Jan!I120+Feb!I120+Mar!I120+Apr!I120+May!I120+Jun!I120+July!I120+Aug!I120</f>
        <v>-1256.97</v>
      </c>
      <c r="K120" s="174"/>
      <c r="L120" s="115"/>
      <c r="M120" s="115">
        <f>16.33+76.68+73.85+84.69+82.78+12.93</f>
        <v>347.26000000000005</v>
      </c>
      <c r="N120" s="115"/>
    </row>
    <row r="121" spans="1:15" s="131" customFormat="1" ht="13.5">
      <c r="B121" s="131" t="s">
        <v>403</v>
      </c>
      <c r="G121" s="131">
        <f t="shared" si="3"/>
        <v>0</v>
      </c>
      <c r="H121" s="131">
        <v>5</v>
      </c>
      <c r="I121" s="152">
        <f t="shared" si="4"/>
        <v>5</v>
      </c>
      <c r="J121" s="187">
        <f>Jan!I121+Feb!I121+Mar!I121+Apr!I121+May!I121+Jun!I121+July!I121+Aug!I121</f>
        <v>-183.28</v>
      </c>
      <c r="K121" s="174"/>
      <c r="L121" s="115"/>
      <c r="M121" s="115"/>
      <c r="N121" s="115"/>
    </row>
    <row r="122" spans="1:15" s="131" customFormat="1" ht="13.5">
      <c r="I122" s="152"/>
      <c r="J122" s="187"/>
      <c r="K122" s="174"/>
      <c r="L122" s="115"/>
      <c r="M122" s="115"/>
      <c r="N122" s="115"/>
    </row>
    <row r="123" spans="1:15" s="131" customFormat="1" ht="13.5">
      <c r="A123" s="149" t="s">
        <v>132</v>
      </c>
      <c r="B123" s="149">
        <f>G124</f>
        <v>4.4800000000000004</v>
      </c>
      <c r="C123" s="149">
        <f>H124</f>
        <v>10</v>
      </c>
      <c r="D123" s="149">
        <f>C123-B123</f>
        <v>5.52</v>
      </c>
      <c r="I123" s="152"/>
      <c r="J123" s="187"/>
      <c r="K123" s="174"/>
      <c r="L123" s="115"/>
      <c r="M123" s="115"/>
      <c r="N123" s="115"/>
    </row>
    <row r="124" spans="1:15" s="131" customFormat="1" ht="13.5">
      <c r="B124" s="131" t="s">
        <v>133</v>
      </c>
      <c r="G124" s="131">
        <f>SUM(L124:N124)</f>
        <v>4.4800000000000004</v>
      </c>
      <c r="H124" s="131">
        <v>10</v>
      </c>
      <c r="I124" s="152">
        <f>H124-G124</f>
        <v>5.52</v>
      </c>
      <c r="J124" s="187">
        <f>Jan!I124+Feb!I124+Mar!I124+Apr!I124+May!I124+Jun!I124+July!I124+Aug!I124</f>
        <v>27.78</v>
      </c>
      <c r="K124" s="174"/>
      <c r="L124" s="115"/>
      <c r="M124" s="115">
        <f>4.48</f>
        <v>4.4800000000000004</v>
      </c>
      <c r="N124" s="115"/>
    </row>
    <row r="125" spans="1:15" s="131" customFormat="1" ht="13.5">
      <c r="I125" s="152"/>
      <c r="J125" s="187"/>
      <c r="K125" s="174"/>
      <c r="L125" s="115"/>
      <c r="M125" s="115"/>
      <c r="N125" s="115"/>
    </row>
    <row r="126" spans="1:15" s="131" customFormat="1" ht="13.5">
      <c r="A126" s="149" t="s">
        <v>404</v>
      </c>
      <c r="B126" s="149">
        <f>SUM(G127:G128)</f>
        <v>466.17000000000007</v>
      </c>
      <c r="C126" s="149">
        <f>SUM(H127:H128)</f>
        <v>35</v>
      </c>
      <c r="D126" s="149">
        <f>C126-B126</f>
        <v>-431.17000000000007</v>
      </c>
      <c r="I126" s="152"/>
      <c r="J126" s="187"/>
      <c r="K126" s="174"/>
      <c r="L126" s="115"/>
      <c r="M126" s="115"/>
      <c r="N126" s="115"/>
    </row>
    <row r="127" spans="1:15" s="131" customFormat="1" ht="13.5">
      <c r="B127" s="198" t="s">
        <v>128</v>
      </c>
      <c r="C127" s="198"/>
      <c r="D127" s="198"/>
      <c r="E127" s="198"/>
      <c r="F127" s="198"/>
      <c r="G127" s="131">
        <f>SUM(L127:N127)</f>
        <v>369.70000000000005</v>
      </c>
      <c r="H127" s="131">
        <v>20</v>
      </c>
      <c r="I127" s="152">
        <f>H127-G127</f>
        <v>-349.70000000000005</v>
      </c>
      <c r="J127" s="187">
        <f>Jan!I127+Feb!I127+Mar!I127+Apr!I127+May!I127+Jun!I127+July!I127+Aug!I127</f>
        <v>-730.86000000000013</v>
      </c>
      <c r="K127" s="174"/>
      <c r="L127" s="115"/>
      <c r="M127" s="115">
        <f>24.88+24.99+7.99+24.99</f>
        <v>82.85</v>
      </c>
      <c r="N127" s="115">
        <f>111.42+175.43</f>
        <v>286.85000000000002</v>
      </c>
      <c r="O127" s="131" t="s">
        <v>902</v>
      </c>
    </row>
    <row r="128" spans="1:15" s="131" customFormat="1" ht="13.5">
      <c r="B128" s="198" t="s">
        <v>129</v>
      </c>
      <c r="C128" s="198"/>
      <c r="D128" s="198" t="s">
        <v>405</v>
      </c>
      <c r="E128" s="198"/>
      <c r="F128" s="198"/>
      <c r="G128" s="131">
        <f>SUM(L128:N128)</f>
        <v>96.470000000000027</v>
      </c>
      <c r="H128" s="131">
        <v>15</v>
      </c>
      <c r="I128" s="152">
        <f>H128-G128</f>
        <v>-81.470000000000027</v>
      </c>
      <c r="J128" s="187">
        <f>Jan!I128+Feb!I128+Mar!I128+Apr!I128+May!I128+Jun!I128+July!I128+Aug!I128</f>
        <v>-57.410000000000032</v>
      </c>
      <c r="K128" s="174"/>
      <c r="L128" s="115">
        <f>-150-111+100-300-63.31</f>
        <v>-524.30999999999995</v>
      </c>
      <c r="M128" s="115">
        <f>150.58+84.94+110.91+49.65+25.96+57.93+24.85+28.55+60.2-16.99-17.99-0.5-24.09+86.78</f>
        <v>620.78</v>
      </c>
      <c r="N128" s="115"/>
      <c r="O128" s="131" t="s">
        <v>901</v>
      </c>
    </row>
    <row r="129" spans="1:15" s="131" customFormat="1" ht="13.5">
      <c r="I129" s="152"/>
      <c r="J129" s="187"/>
      <c r="K129" s="174"/>
      <c r="L129" s="115"/>
      <c r="M129" s="115"/>
      <c r="N129" s="115"/>
      <c r="O129" s="131" t="s">
        <v>904</v>
      </c>
    </row>
    <row r="130" spans="1:15" s="131" customFormat="1" ht="14.25" thickBot="1">
      <c r="I130" s="152"/>
      <c r="J130" s="187"/>
      <c r="K130" s="174"/>
      <c r="L130" s="115"/>
      <c r="M130" s="115"/>
      <c r="N130" s="115"/>
    </row>
    <row r="131" spans="1:15" s="131" customFormat="1" ht="14.25" thickBot="1">
      <c r="A131" s="149" t="s">
        <v>436</v>
      </c>
      <c r="B131" s="131">
        <f>SUM(G133:G140)</f>
        <v>1891.3600000000001</v>
      </c>
      <c r="C131" s="131">
        <f>SUM(H133:H140)</f>
        <v>450</v>
      </c>
      <c r="D131" s="131">
        <f>C131-B131</f>
        <v>-1441.3600000000001</v>
      </c>
      <c r="E131" s="185"/>
      <c r="I131" s="152"/>
      <c r="J131" s="187">
        <f>Jan!I131+Feb!I131+Mar!I131+Apr!I131+May!I131+Jun!I131+July!I131+Aug!I131</f>
        <v>0</v>
      </c>
      <c r="K131" s="174"/>
      <c r="L131" s="115"/>
      <c r="M131" s="115"/>
      <c r="N131" s="115"/>
    </row>
    <row r="132" spans="1:15" s="131" customFormat="1" ht="13.5">
      <c r="A132" s="149" t="s">
        <v>437</v>
      </c>
      <c r="I132" s="152"/>
      <c r="J132" s="187"/>
      <c r="K132" s="174"/>
      <c r="L132" s="115"/>
      <c r="M132" s="115"/>
      <c r="N132" s="115"/>
    </row>
    <row r="133" spans="1:15" s="131" customFormat="1" ht="13.5">
      <c r="A133" s="149" t="s">
        <v>418</v>
      </c>
      <c r="B133" s="131" t="s">
        <v>445</v>
      </c>
      <c r="G133" s="131">
        <f t="shared" ref="G133:G140" si="5">SUM(L133:N133)</f>
        <v>0</v>
      </c>
      <c r="H133" s="131">
        <v>100</v>
      </c>
      <c r="I133" s="152">
        <f t="shared" ref="I133:I140" si="6">H133-G133</f>
        <v>100</v>
      </c>
      <c r="J133" s="187">
        <f>Jan!I133+Feb!I133+Mar!I133+Apr!I133+May!I133+Jun!I133+July!I133+Aug!I133</f>
        <v>800</v>
      </c>
      <c r="K133" s="174"/>
      <c r="L133" s="115"/>
      <c r="M133" s="115"/>
      <c r="N133" s="115"/>
    </row>
    <row r="134" spans="1:15" s="131" customFormat="1" ht="13.5">
      <c r="A134" s="149" t="s">
        <v>516</v>
      </c>
      <c r="I134" s="152"/>
      <c r="J134" s="187"/>
      <c r="K134" s="174"/>
      <c r="L134" s="115"/>
      <c r="M134" s="115"/>
      <c r="N134" s="115"/>
    </row>
    <row r="135" spans="1:15" s="131" customFormat="1" ht="13.5">
      <c r="B135" s="131" t="s">
        <v>401</v>
      </c>
      <c r="G135" s="131">
        <f t="shared" si="5"/>
        <v>323.42000000000007</v>
      </c>
      <c r="H135" s="131">
        <v>100</v>
      </c>
      <c r="I135" s="152">
        <f t="shared" si="6"/>
        <v>-223.42000000000007</v>
      </c>
      <c r="J135" s="187">
        <f>Jan!I135+Feb!I135+Mar!I135+Apr!I135+May!I135+Jun!I135+July!I135+Aug!I135</f>
        <v>476.57999999999993</v>
      </c>
      <c r="K135" s="174"/>
      <c r="L135" s="115"/>
      <c r="M135" s="115">
        <f>36.41+84.4+14.61+129.27+2.73+56</f>
        <v>323.42000000000007</v>
      </c>
      <c r="N135" s="115"/>
      <c r="O135" s="131" t="s">
        <v>842</v>
      </c>
    </row>
    <row r="136" spans="1:15" s="131" customFormat="1" ht="13.5">
      <c r="B136" s="131" t="s">
        <v>402</v>
      </c>
      <c r="G136" s="131">
        <f t="shared" si="5"/>
        <v>99.94</v>
      </c>
      <c r="H136" s="131">
        <v>100</v>
      </c>
      <c r="I136" s="152">
        <f t="shared" si="6"/>
        <v>6.0000000000002274E-2</v>
      </c>
      <c r="J136" s="187">
        <f>Jan!I136+Feb!I136+Mar!I136+Apr!I136+May!I136+Jun!I136+July!I136+Aug!I136</f>
        <v>700.06</v>
      </c>
      <c r="K136" s="174"/>
      <c r="L136" s="115"/>
      <c r="M136" s="115">
        <f>43.67+56.27</f>
        <v>99.94</v>
      </c>
      <c r="N136" s="115"/>
    </row>
    <row r="137" spans="1:15" s="131" customFormat="1" ht="13.5">
      <c r="B137" s="131" t="s">
        <v>126</v>
      </c>
      <c r="G137" s="131">
        <f t="shared" si="5"/>
        <v>38</v>
      </c>
      <c r="H137" s="131">
        <v>30</v>
      </c>
      <c r="I137" s="152">
        <f t="shared" si="6"/>
        <v>-8</v>
      </c>
      <c r="J137" s="187">
        <f>Jan!I137+Feb!I137+Mar!I137+Apr!I137+May!I137+Jun!I137+July!I137+Aug!I137</f>
        <v>202</v>
      </c>
      <c r="K137" s="174"/>
      <c r="L137" s="115"/>
      <c r="M137" s="115">
        <f>38</f>
        <v>38</v>
      </c>
      <c r="N137" s="115"/>
    </row>
    <row r="138" spans="1:15" s="131" customFormat="1" ht="13.5">
      <c r="B138" s="131" t="s">
        <v>127</v>
      </c>
      <c r="G138" s="131">
        <f t="shared" si="5"/>
        <v>0</v>
      </c>
      <c r="H138" s="131">
        <v>50</v>
      </c>
      <c r="I138" s="152">
        <f t="shared" si="6"/>
        <v>50</v>
      </c>
      <c r="J138" s="187">
        <f>Jan!I138+Feb!I138+Mar!I138+Apr!I138+May!I138+Jun!I138+July!I138+Aug!I138</f>
        <v>-100</v>
      </c>
      <c r="K138" s="174"/>
      <c r="L138" s="115"/>
      <c r="M138" s="115"/>
      <c r="N138" s="115"/>
    </row>
    <row r="139" spans="1:15" s="131" customFormat="1" ht="13.5">
      <c r="I139" s="152"/>
      <c r="J139" s="187"/>
      <c r="K139" s="179"/>
      <c r="L139" s="115"/>
      <c r="M139" s="115"/>
      <c r="N139" s="115"/>
    </row>
    <row r="140" spans="1:15" s="131" customFormat="1" ht="13.5">
      <c r="A140" s="149" t="s">
        <v>431</v>
      </c>
      <c r="G140" s="131">
        <f t="shared" si="5"/>
        <v>1430</v>
      </c>
      <c r="H140" s="131">
        <v>70</v>
      </c>
      <c r="I140" s="152">
        <f t="shared" si="6"/>
        <v>-1360</v>
      </c>
      <c r="J140" s="187">
        <f>Jan!I140+Feb!I140+Mar!I140+Apr!I140+May!I140+Jun!I140+July!I140+Aug!I140</f>
        <v>-870</v>
      </c>
      <c r="K140" s="179"/>
      <c r="L140" s="115">
        <v>1430</v>
      </c>
      <c r="M140" s="115"/>
      <c r="N140" s="115"/>
    </row>
    <row r="141" spans="1:15">
      <c r="J141" s="190"/>
    </row>
    <row r="142" spans="1:15">
      <c r="J142" s="190"/>
    </row>
    <row r="143" spans="1:15">
      <c r="J143" s="190"/>
    </row>
    <row r="144" spans="1:15">
      <c r="J144" s="190"/>
    </row>
    <row r="145" spans="10:10">
      <c r="J145" s="190"/>
    </row>
    <row r="146" spans="10:10">
      <c r="J146" s="190"/>
    </row>
    <row r="147" spans="10:10">
      <c r="J147" s="190"/>
    </row>
    <row r="148" spans="10:10">
      <c r="J148" s="190"/>
    </row>
    <row r="149" spans="10:10">
      <c r="J149" s="190"/>
    </row>
    <row r="150" spans="10:10">
      <c r="J150" s="190"/>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0"/>
  <sheetViews>
    <sheetView topLeftCell="A31" zoomScale="84" zoomScaleNormal="84" workbookViewId="0">
      <selection activeCell="E46" sqref="E46"/>
    </sheetView>
  </sheetViews>
  <sheetFormatPr defaultColWidth="9" defaultRowHeight="15.75"/>
  <cols>
    <col min="1" max="1" width="24.42578125" style="165" customWidth="1"/>
    <col min="2" max="2" width="18" style="156" customWidth="1"/>
    <col min="3" max="3" width="17.140625" style="156" customWidth="1"/>
    <col min="4" max="5" width="16.5703125" style="156" customWidth="1"/>
    <col min="6" max="6" width="15.28515625" style="156" customWidth="1"/>
    <col min="7" max="7" width="13.5703125" style="156" customWidth="1"/>
    <col min="8" max="8" width="13.85546875" style="156" customWidth="1"/>
    <col min="9" max="10" width="14" style="156" customWidth="1"/>
    <col min="11" max="11" width="2.28515625" style="172" customWidth="1"/>
    <col min="12" max="12" width="11.5703125" style="156" customWidth="1"/>
    <col min="13" max="13" width="11.85546875" style="156" customWidth="1"/>
    <col min="14" max="15" width="11.5703125" style="156" customWidth="1"/>
    <col min="16" max="16" width="1.7109375" style="156" customWidth="1"/>
    <col min="17" max="17" width="11.7109375" style="156" customWidth="1"/>
    <col min="18" max="18" width="11.5703125" style="156" customWidth="1"/>
    <col min="19" max="16384" width="9" style="156"/>
  </cols>
  <sheetData>
    <row r="1" spans="1:16">
      <c r="A1" s="162" t="s">
        <v>277</v>
      </c>
      <c r="B1" s="163">
        <v>2013</v>
      </c>
      <c r="C1" s="163"/>
      <c r="L1" s="156" t="s">
        <v>519</v>
      </c>
    </row>
    <row r="2" spans="1:16">
      <c r="A2" s="162" t="s">
        <v>264</v>
      </c>
      <c r="B2" s="164" t="s">
        <v>15</v>
      </c>
      <c r="C2" s="164"/>
      <c r="L2" s="156" t="s">
        <v>855</v>
      </c>
    </row>
    <row r="3" spans="1:16">
      <c r="M3" s="156" t="s">
        <v>911</v>
      </c>
      <c r="O3" s="166">
        <v>500</v>
      </c>
    </row>
    <row r="4" spans="1:16">
      <c r="A4" s="162" t="s">
        <v>4</v>
      </c>
      <c r="B4" s="167">
        <f>SUM(G5:G9)</f>
        <v>10944.640000000001</v>
      </c>
      <c r="C4" s="167"/>
      <c r="G4" s="156" t="s">
        <v>71</v>
      </c>
      <c r="L4" s="168"/>
      <c r="M4" s="156" t="s">
        <v>912</v>
      </c>
      <c r="O4" s="166">
        <v>130</v>
      </c>
    </row>
    <row r="5" spans="1:16">
      <c r="B5" s="156" t="s">
        <v>27</v>
      </c>
      <c r="C5" s="156">
        <v>3282.96</v>
      </c>
      <c r="D5" s="166">
        <v>3282.96</v>
      </c>
      <c r="F5" s="156">
        <v>0</v>
      </c>
      <c r="G5" s="168">
        <f>SUM(C5:F5)</f>
        <v>6565.92</v>
      </c>
      <c r="H5" s="168"/>
      <c r="I5" s="168"/>
      <c r="J5" s="168"/>
      <c r="K5" s="173"/>
      <c r="L5" s="168"/>
      <c r="M5" s="156" t="s">
        <v>913</v>
      </c>
      <c r="O5" s="166">
        <v>105.7</v>
      </c>
    </row>
    <row r="6" spans="1:16">
      <c r="B6" s="156" t="s">
        <v>29</v>
      </c>
      <c r="D6" s="166"/>
      <c r="G6" s="168">
        <f>SUM(C6:F6)</f>
        <v>0</v>
      </c>
      <c r="H6" s="168"/>
      <c r="I6" s="168"/>
      <c r="J6" s="168"/>
      <c r="K6" s="173"/>
      <c r="L6" s="168"/>
      <c r="M6" s="156" t="s">
        <v>838</v>
      </c>
      <c r="O6" s="166">
        <f>G136</f>
        <v>148.88</v>
      </c>
    </row>
    <row r="7" spans="1:16">
      <c r="B7" s="156" t="s">
        <v>327</v>
      </c>
      <c r="C7" s="156">
        <v>1877.68</v>
      </c>
      <c r="D7" s="156">
        <v>1877.68</v>
      </c>
      <c r="G7" s="168">
        <f>SUM(C7:F7)</f>
        <v>3755.36</v>
      </c>
      <c r="H7" s="168"/>
      <c r="I7" s="168"/>
      <c r="J7" s="168"/>
      <c r="K7" s="173"/>
      <c r="L7" s="168"/>
      <c r="M7" s="156" t="s">
        <v>914</v>
      </c>
      <c r="O7" s="318">
        <f>G137</f>
        <v>148.91000000000003</v>
      </c>
    </row>
    <row r="8" spans="1:16" ht="16.5" thickBot="1">
      <c r="B8" s="156" t="s">
        <v>30</v>
      </c>
      <c r="C8" s="156">
        <v>311.68</v>
      </c>
      <c r="D8" s="156">
        <v>311.68</v>
      </c>
      <c r="G8" s="168">
        <f>SUM(C8:F8)</f>
        <v>623.36</v>
      </c>
      <c r="H8" s="168"/>
      <c r="I8" s="168"/>
      <c r="J8" s="168"/>
      <c r="K8" s="173"/>
      <c r="O8" s="319">
        <f>SUM(O3:O7)</f>
        <v>1033.49</v>
      </c>
      <c r="P8" s="166"/>
    </row>
    <row r="9" spans="1:16" ht="16.5" thickTop="1"/>
    <row r="10" spans="1:16" s="131" customFormat="1" ht="13.5">
      <c r="A10" s="149"/>
      <c r="B10" s="153"/>
      <c r="G10" s="140"/>
      <c r="I10" s="152" t="s">
        <v>80</v>
      </c>
      <c r="J10" s="187" t="s">
        <v>439</v>
      </c>
      <c r="K10" s="174"/>
      <c r="L10" s="168" t="s">
        <v>520</v>
      </c>
    </row>
    <row r="11" spans="1:16" s="131" customFormat="1" ht="13.5">
      <c r="A11" s="149"/>
      <c r="B11" s="153"/>
      <c r="G11" s="140" t="s">
        <v>331</v>
      </c>
      <c r="H11" s="131" t="s">
        <v>84</v>
      </c>
      <c r="I11" s="154" t="s">
        <v>83</v>
      </c>
      <c r="J11" s="188" t="s">
        <v>83</v>
      </c>
      <c r="K11" s="175"/>
    </row>
    <row r="12" spans="1:16" s="131" customFormat="1" ht="13.5">
      <c r="A12" s="149" t="s">
        <v>422</v>
      </c>
      <c r="B12" s="153"/>
      <c r="D12" s="131" t="s">
        <v>426</v>
      </c>
      <c r="E12" s="131">
        <f>G12/B4</f>
        <v>9.1368925793813213E-2</v>
      </c>
      <c r="G12" s="132">
        <f>Tithe!D14</f>
        <v>1000</v>
      </c>
      <c r="H12" s="131">
        <v>800</v>
      </c>
      <c r="I12" s="155">
        <f>H12-G12</f>
        <v>-200</v>
      </c>
      <c r="J12" s="189">
        <f>Jan!I12+Feb!I12+Mar!I12+Apr!I12+May!I12+Jun!I12+July!I12+Aug!I12+Sep!I12</f>
        <v>780</v>
      </c>
      <c r="K12" s="176"/>
    </row>
    <row r="13" spans="1:16" s="131" customFormat="1" ht="13.5">
      <c r="A13" s="149"/>
      <c r="B13" s="153"/>
      <c r="G13" s="140"/>
      <c r="I13" s="155"/>
      <c r="J13" s="189"/>
      <c r="K13" s="176"/>
    </row>
    <row r="14" spans="1:16" s="131" customFormat="1" ht="13.5">
      <c r="A14" s="149" t="s">
        <v>427</v>
      </c>
      <c r="B14" s="153"/>
      <c r="G14" s="140"/>
      <c r="I14" s="155"/>
      <c r="J14" s="189"/>
      <c r="K14" s="176"/>
    </row>
    <row r="15" spans="1:16" s="131" customFormat="1" ht="13.5">
      <c r="B15" s="149" t="s">
        <v>329</v>
      </c>
      <c r="G15" s="132">
        <v>750</v>
      </c>
      <c r="H15" s="131">
        <v>760</v>
      </c>
      <c r="I15" s="155">
        <f t="shared" ref="I15:I26" si="0">H15-G15</f>
        <v>10</v>
      </c>
      <c r="J15" s="189">
        <f>Jan!I15+Feb!I15+Mar!I15+Apr!I15+May!I15+Jun!I15+July!I15+Aug!I15+Sep!I15</f>
        <v>10</v>
      </c>
      <c r="K15" s="176"/>
    </row>
    <row r="16" spans="1:16" s="131" customFormat="1" ht="13.5">
      <c r="B16" s="149" t="s">
        <v>395</v>
      </c>
      <c r="G16" s="132">
        <v>200</v>
      </c>
      <c r="H16" s="131">
        <v>200</v>
      </c>
      <c r="I16" s="155">
        <f t="shared" si="0"/>
        <v>0</v>
      </c>
      <c r="J16" s="189">
        <f>Jan!I16+Feb!I16+Mar!I16+Apr!I16+May!I16+Jun!I16+July!I16+Aug!I16+Sep!I16</f>
        <v>0</v>
      </c>
      <c r="K16" s="176"/>
    </row>
    <row r="17" spans="1:12" s="131" customFormat="1" ht="13.5">
      <c r="B17" s="149" t="s">
        <v>460</v>
      </c>
      <c r="G17" s="132">
        <v>300</v>
      </c>
      <c r="H17" s="131">
        <v>300</v>
      </c>
      <c r="I17" s="155"/>
      <c r="J17" s="189"/>
      <c r="K17" s="176"/>
    </row>
    <row r="18" spans="1:12" s="131" customFormat="1" ht="13.5">
      <c r="B18" s="149" t="s">
        <v>396</v>
      </c>
      <c r="G18" s="132">
        <v>200</v>
      </c>
      <c r="H18" s="131">
        <v>200</v>
      </c>
      <c r="I18" s="155">
        <f t="shared" si="0"/>
        <v>0</v>
      </c>
      <c r="J18" s="189">
        <f>Jan!I18+Feb!I18+Mar!I18+Apr!I18+May!I18+Jun!I18+July!I18+Aug!I18+Sep!I18</f>
        <v>0</v>
      </c>
      <c r="K18" s="176"/>
    </row>
    <row r="19" spans="1:12" s="131" customFormat="1" ht="13.5">
      <c r="B19" s="149" t="s">
        <v>461</v>
      </c>
      <c r="G19" s="132">
        <v>300</v>
      </c>
      <c r="H19" s="131">
        <v>300</v>
      </c>
      <c r="I19" s="155"/>
      <c r="J19" s="189"/>
      <c r="K19" s="176"/>
    </row>
    <row r="20" spans="1:12" s="131" customFormat="1" ht="13.5">
      <c r="B20" s="149" t="s">
        <v>397</v>
      </c>
      <c r="G20" s="132">
        <v>50</v>
      </c>
      <c r="H20" s="131">
        <v>50</v>
      </c>
      <c r="I20" s="155">
        <f t="shared" si="0"/>
        <v>0</v>
      </c>
      <c r="J20" s="189">
        <f>Jan!I20+Feb!I20+Mar!I20+Apr!I20+May!I20+Jun!I20+July!I20+Aug!I20+Sep!I20</f>
        <v>0</v>
      </c>
      <c r="K20" s="176"/>
    </row>
    <row r="21" spans="1:12" s="131" customFormat="1" ht="13.5">
      <c r="A21" s="149"/>
      <c r="B21" s="153"/>
      <c r="G21" s="140"/>
      <c r="I21" s="155"/>
      <c r="J21" s="189"/>
      <c r="K21" s="176"/>
    </row>
    <row r="22" spans="1:12" s="131" customFormat="1" ht="13.5">
      <c r="A22" s="149" t="s">
        <v>428</v>
      </c>
      <c r="B22" s="149" t="s">
        <v>594</v>
      </c>
      <c r="G22" s="140">
        <v>500</v>
      </c>
      <c r="H22" s="131">
        <v>500</v>
      </c>
      <c r="I22" s="155">
        <f t="shared" si="0"/>
        <v>0</v>
      </c>
      <c r="J22" s="189">
        <f>Jan!I22+Feb!I22+Mar!I22+Apr!I22+May!I22+Jun!I22+July!I22+Aug!I22+Sep!I22</f>
        <v>0</v>
      </c>
      <c r="K22" s="176"/>
    </row>
    <row r="23" spans="1:12" s="131" customFormat="1" ht="13.5">
      <c r="A23" s="149"/>
      <c r="B23" s="153" t="s">
        <v>595</v>
      </c>
      <c r="G23" s="140"/>
      <c r="I23" s="155"/>
      <c r="J23" s="189"/>
      <c r="K23" s="176"/>
    </row>
    <row r="24" spans="1:12" s="131" customFormat="1" ht="13.5">
      <c r="A24" s="149" t="s">
        <v>429</v>
      </c>
      <c r="B24" s="153"/>
      <c r="G24" s="140"/>
      <c r="I24" s="155"/>
      <c r="J24" s="189"/>
      <c r="K24" s="176"/>
    </row>
    <row r="25" spans="1:12" s="131" customFormat="1" ht="13.5">
      <c r="B25" s="149" t="s">
        <v>363</v>
      </c>
      <c r="G25" s="140">
        <v>1000</v>
      </c>
      <c r="H25" s="131">
        <v>1500</v>
      </c>
      <c r="I25" s="155">
        <f t="shared" si="0"/>
        <v>500</v>
      </c>
      <c r="J25" s="189">
        <f>Jan!I25+Feb!I25+Mar!I25+Apr!I25+May!I25+Jun!I25+July!I25+Aug!I25+Sep!I25</f>
        <v>11000</v>
      </c>
      <c r="K25" s="176"/>
    </row>
    <row r="26" spans="1:12" s="131" customFormat="1" ht="13.5">
      <c r="B26" s="149" t="s">
        <v>399</v>
      </c>
      <c r="H26" s="131">
        <v>500</v>
      </c>
      <c r="I26" s="155">
        <f t="shared" si="0"/>
        <v>500</v>
      </c>
      <c r="J26" s="192">
        <f>Jan!I26+Feb!I26+Mar!I26+Apr!I26+May!I26+Jun!I26+July!I26+Aug!I26+Sep!I26</f>
        <v>4500</v>
      </c>
      <c r="K26" s="176"/>
    </row>
    <row r="27" spans="1:12" s="131" customFormat="1" ht="13.5">
      <c r="A27" s="149"/>
      <c r="G27" s="157"/>
      <c r="H27" s="157"/>
      <c r="I27" s="159"/>
      <c r="J27" s="171"/>
      <c r="K27" s="171"/>
    </row>
    <row r="28" spans="1:12" s="131" customFormat="1" ht="14.25" thickBot="1">
      <c r="A28" s="149"/>
      <c r="B28" s="149"/>
      <c r="G28" s="158">
        <f>SUM(G12:G26)</f>
        <v>4300</v>
      </c>
      <c r="H28" s="158">
        <f>SUM(H12:H26)</f>
        <v>5110</v>
      </c>
      <c r="I28" s="158">
        <f>SUM(I12:I26)</f>
        <v>810</v>
      </c>
      <c r="J28" s="158">
        <f>SUM(J12:J26)</f>
        <v>16290</v>
      </c>
      <c r="K28" s="177"/>
    </row>
    <row r="29" spans="1:12" s="131" customFormat="1" ht="14.25" thickTop="1">
      <c r="A29" s="149"/>
      <c r="B29" s="149"/>
      <c r="G29" s="142"/>
      <c r="H29" s="142"/>
      <c r="I29" s="142"/>
      <c r="J29" s="142"/>
      <c r="K29" s="177"/>
    </row>
    <row r="30" spans="1:12" s="131" customFormat="1" ht="14.25" thickBot="1">
      <c r="A30" s="149"/>
      <c r="B30" s="149"/>
      <c r="G30" s="142"/>
      <c r="H30" s="142"/>
      <c r="I30" s="142"/>
      <c r="J30" s="142"/>
      <c r="K30" s="177"/>
    </row>
    <row r="31" spans="1:12" s="131" customFormat="1" ht="12.75" customHeight="1" thickBot="1">
      <c r="A31" s="149" t="s">
        <v>442</v>
      </c>
      <c r="B31" s="149"/>
      <c r="G31" s="185"/>
      <c r="H31" s="142"/>
      <c r="I31" s="142"/>
      <c r="J31" s="142"/>
      <c r="K31" s="177"/>
      <c r="L31" s="142"/>
    </row>
    <row r="32" spans="1:12" s="131" customFormat="1" ht="14.25" thickBot="1">
      <c r="A32" s="149"/>
      <c r="B32" s="149"/>
      <c r="G32" s="142"/>
      <c r="H32" s="142"/>
      <c r="I32" s="142"/>
      <c r="J32" s="142"/>
      <c r="K32" s="177"/>
      <c r="L32" s="142"/>
    </row>
    <row r="33" spans="1:15" s="131" customFormat="1" ht="14.25" thickBot="1">
      <c r="A33" s="149" t="s">
        <v>425</v>
      </c>
      <c r="B33" s="149"/>
      <c r="G33" s="169">
        <f>B4-G28</f>
        <v>6644.6400000000012</v>
      </c>
      <c r="H33" s="142"/>
      <c r="I33" s="142"/>
      <c r="J33" s="142"/>
      <c r="K33" s="177"/>
      <c r="L33" s="142"/>
    </row>
    <row r="34" spans="1:15" s="131" customFormat="1" ht="13.5">
      <c r="A34" s="149"/>
      <c r="B34" s="149"/>
      <c r="G34" s="170"/>
      <c r="H34" s="142"/>
      <c r="I34" s="142"/>
      <c r="J34" s="142"/>
      <c r="K34" s="177"/>
      <c r="L34" s="142"/>
    </row>
    <row r="35" spans="1:15" s="131" customFormat="1" ht="13.5">
      <c r="A35" s="149" t="s">
        <v>432</v>
      </c>
      <c r="B35" s="149"/>
      <c r="G35" s="170">
        <f>E46</f>
        <v>3860.1099999999992</v>
      </c>
      <c r="H35" s="142"/>
      <c r="I35" s="142"/>
      <c r="J35" s="142"/>
      <c r="K35" s="177"/>
      <c r="L35" s="142"/>
    </row>
    <row r="36" spans="1:15" s="131" customFormat="1" ht="13.5">
      <c r="A36" s="149"/>
      <c r="B36" s="149"/>
      <c r="G36" s="170"/>
      <c r="H36" s="142"/>
      <c r="I36" s="142"/>
      <c r="J36" s="142"/>
      <c r="K36" s="177"/>
      <c r="L36" s="142"/>
    </row>
    <row r="37" spans="1:15" s="131" customFormat="1" ht="13.5">
      <c r="A37" s="149" t="s">
        <v>433</v>
      </c>
      <c r="B37" s="149"/>
      <c r="G37" s="170">
        <f>B131</f>
        <v>533.49</v>
      </c>
      <c r="H37" s="142" t="s">
        <v>435</v>
      </c>
      <c r="I37" s="142"/>
      <c r="J37" s="142"/>
      <c r="K37" s="177"/>
      <c r="L37" s="142"/>
    </row>
    <row r="38" spans="1:15" s="131" customFormat="1" ht="14.25" thickBot="1">
      <c r="A38" s="149"/>
      <c r="B38" s="149"/>
      <c r="G38" s="170"/>
      <c r="H38" s="142"/>
      <c r="I38" s="142"/>
      <c r="J38" s="142"/>
      <c r="K38" s="177"/>
      <c r="L38" s="142"/>
    </row>
    <row r="39" spans="1:15" s="131" customFormat="1" ht="14.25" thickBot="1">
      <c r="A39" s="149" t="s">
        <v>430</v>
      </c>
      <c r="B39" s="149"/>
      <c r="G39" s="186">
        <f>G33-G35-G37+G31</f>
        <v>2251.0400000000018</v>
      </c>
      <c r="H39" s="142"/>
      <c r="I39" s="142"/>
      <c r="J39" s="142"/>
      <c r="K39" s="177"/>
      <c r="L39" s="142"/>
    </row>
    <row r="40" spans="1:15" s="131" customFormat="1" ht="13.5">
      <c r="A40" s="149"/>
      <c r="B40" s="149"/>
      <c r="G40" s="196"/>
      <c r="H40" s="142"/>
      <c r="I40" s="142"/>
      <c r="J40" s="142"/>
      <c r="K40" s="177"/>
      <c r="L40" s="142"/>
      <c r="M40" s="131">
        <v>1409.1</v>
      </c>
    </row>
    <row r="41" spans="1:15" s="131" customFormat="1" ht="13.5">
      <c r="A41" s="197" t="s">
        <v>478</v>
      </c>
      <c r="B41" s="149"/>
      <c r="G41" s="196"/>
      <c r="H41" s="142"/>
      <c r="I41" s="142"/>
      <c r="J41" s="142"/>
      <c r="K41" s="177"/>
      <c r="L41" s="142"/>
    </row>
    <row r="42" spans="1:15" s="131" customFormat="1" ht="14.25">
      <c r="B42" s="197" t="s">
        <v>464</v>
      </c>
      <c r="C42" s="150">
        <f>H57+H58+H63+H64+H72+H73+H74+H81+H82+H83+H88+H91+H92+H93+H94+H95+H100+H104+H105+H106+H107+H108+H109+H110+H113+H117+H120+H121+H124</f>
        <v>1650</v>
      </c>
      <c r="D42" s="197" t="s">
        <v>465</v>
      </c>
      <c r="E42" s="150">
        <f>G57+G58+G63+G64+G72+G73+G74+G81+G82+G83+G88+G91+G92+G93+G94+G95+G100+G104+G105+G106+G107+G108+G109+G110+G113+G117+G120+G121+G124</f>
        <v>1887.68</v>
      </c>
      <c r="G42" s="196"/>
      <c r="H42" s="142"/>
      <c r="I42" s="142"/>
      <c r="J42" s="142"/>
      <c r="K42" s="177"/>
      <c r="L42" s="291"/>
      <c r="M42" s="267">
        <f>M46+M44-M43</f>
        <v>1409.0999999999997</v>
      </c>
      <c r="N42" s="267">
        <f>N46</f>
        <v>1021</v>
      </c>
    </row>
    <row r="43" spans="1:15" s="131" customFormat="1" ht="14.25">
      <c r="A43" s="149"/>
      <c r="B43" s="149"/>
      <c r="I43" s="152"/>
      <c r="J43" s="187" t="s">
        <v>439</v>
      </c>
      <c r="K43" s="174"/>
      <c r="L43" s="267" t="s">
        <v>534</v>
      </c>
      <c r="M43" s="267"/>
      <c r="N43" s="267"/>
    </row>
    <row r="44" spans="1:15" s="131" customFormat="1" ht="14.25">
      <c r="A44" s="149"/>
      <c r="B44" s="149"/>
      <c r="G44" s="140"/>
      <c r="I44" s="152" t="s">
        <v>80</v>
      </c>
      <c r="J44" s="187" t="s">
        <v>440</v>
      </c>
      <c r="K44" s="174"/>
      <c r="L44" s="267" t="s">
        <v>515</v>
      </c>
      <c r="M44" s="267"/>
      <c r="N44" s="267"/>
    </row>
    <row r="45" spans="1:15" s="131" customFormat="1" ht="14.25" thickBot="1">
      <c r="B45" s="149"/>
      <c r="G45" s="140" t="s">
        <v>331</v>
      </c>
      <c r="H45" s="131" t="s">
        <v>84</v>
      </c>
      <c r="I45" s="154" t="s">
        <v>83</v>
      </c>
      <c r="J45" s="188" t="s">
        <v>441</v>
      </c>
      <c r="K45" s="175"/>
      <c r="L45" s="180" t="s">
        <v>332</v>
      </c>
      <c r="M45" s="181" t="s">
        <v>333</v>
      </c>
      <c r="N45" s="314" t="s">
        <v>860</v>
      </c>
    </row>
    <row r="46" spans="1:15" s="131" customFormat="1" ht="14.25" thickBot="1">
      <c r="A46" s="149" t="s">
        <v>434</v>
      </c>
      <c r="D46"/>
      <c r="E46" s="262">
        <f>B48+B56+B62+B66+B71+B80+B85+B90+B97+B103+B112+B116+B119+B123+B126</f>
        <v>3860.1099999999992</v>
      </c>
      <c r="G46" s="191">
        <f>SUM(G49:G128)</f>
        <v>3860.1099999999997</v>
      </c>
      <c r="H46" s="191">
        <f>SUM(H49:H128)</f>
        <v>4153.1500000000005</v>
      </c>
      <c r="I46" s="191">
        <f>H46-G46</f>
        <v>293.04000000000087</v>
      </c>
      <c r="J46" s="191">
        <f>SUM(J48:J128)</f>
        <v>-12452.110000000002</v>
      </c>
      <c r="K46" s="178"/>
      <c r="L46" s="182">
        <f>SUM(L49:L139)</f>
        <v>1963.4999999999998</v>
      </c>
      <c r="M46" s="182">
        <f>SUM(M49:M139)</f>
        <v>1409.0999999999997</v>
      </c>
      <c r="N46" s="244">
        <f>SUM(N49:N139)</f>
        <v>1021</v>
      </c>
      <c r="O46" s="131" t="s">
        <v>873</v>
      </c>
    </row>
    <row r="47" spans="1:15" s="131" customFormat="1" ht="13.5">
      <c r="A47" s="131" t="s">
        <v>421</v>
      </c>
      <c r="I47" s="152"/>
      <c r="J47" s="187"/>
      <c r="K47" s="174"/>
      <c r="L47" s="115"/>
      <c r="M47" s="116"/>
      <c r="N47" s="116"/>
    </row>
    <row r="48" spans="1:15" s="131" customFormat="1" ht="13.5">
      <c r="A48" s="149" t="s">
        <v>547</v>
      </c>
      <c r="B48" s="149">
        <f>SUM(G49:G54)</f>
        <v>578.44999999999982</v>
      </c>
      <c r="C48" s="149">
        <f>SUM(H49:H54)</f>
        <v>1739.6500000000005</v>
      </c>
      <c r="D48" s="149">
        <f>SUM(I49:I54)</f>
        <v>1161.2</v>
      </c>
      <c r="I48" s="152"/>
      <c r="J48" s="187"/>
      <c r="K48" s="174"/>
      <c r="L48" s="115"/>
      <c r="M48" s="116"/>
      <c r="N48" s="116"/>
    </row>
    <row r="49" spans="1:14" s="131" customFormat="1" ht="13.5">
      <c r="B49" s="131" t="s">
        <v>550</v>
      </c>
      <c r="G49" s="131">
        <f t="shared" ref="G49:G54" si="1">SUM(L49:N49)</f>
        <v>0</v>
      </c>
      <c r="H49" s="131">
        <v>0</v>
      </c>
      <c r="I49" s="152">
        <f t="shared" ref="I49:I54" si="2">H49-G49</f>
        <v>0</v>
      </c>
      <c r="J49" s="187">
        <f>Jan!I49+Feb!I49+Mar!I49+Apr!I49+May!I49+Jun!I49+July!I49+Aug!I49+Sep!I49</f>
        <v>-2426.06</v>
      </c>
      <c r="K49" s="174"/>
      <c r="L49" s="115"/>
      <c r="M49" s="116"/>
      <c r="N49" s="116"/>
    </row>
    <row r="50" spans="1:14" s="131" customFormat="1" ht="13.5">
      <c r="B50" s="131" t="s">
        <v>622</v>
      </c>
      <c r="G50" s="131">
        <f t="shared" si="1"/>
        <v>38</v>
      </c>
      <c r="H50" s="131">
        <v>1250</v>
      </c>
      <c r="I50" s="152">
        <f t="shared" si="2"/>
        <v>1212</v>
      </c>
      <c r="J50" s="187">
        <f>Jan!I50+Feb!I50+Mar!I50+Apr!I50+May!I50+Jun!I50+July!I50+Aug!I50+Sep!I50</f>
        <v>-3788.9900000000016</v>
      </c>
      <c r="K50" s="174"/>
      <c r="L50" s="115"/>
      <c r="M50" s="116">
        <f>38</f>
        <v>38</v>
      </c>
      <c r="N50" s="116"/>
    </row>
    <row r="51" spans="1:14" s="131" customFormat="1" ht="13.5">
      <c r="B51" s="131" t="s">
        <v>624</v>
      </c>
      <c r="G51" s="131">
        <f t="shared" si="1"/>
        <v>540.45000000000005</v>
      </c>
      <c r="H51" s="131">
        <v>540.46</v>
      </c>
      <c r="I51" s="152">
        <f t="shared" si="2"/>
        <v>9.9999999999909051E-3</v>
      </c>
      <c r="J51" s="187">
        <f>Jan!I51+Feb!I51+Mar!I51+Apr!I51+May!I51+Jun!I51+July!I51+Aug!I51+Sep!I51</f>
        <v>239.12</v>
      </c>
      <c r="K51" s="174"/>
      <c r="L51" s="115">
        <v>540.45000000000005</v>
      </c>
      <c r="M51" s="116"/>
      <c r="N51" s="116"/>
    </row>
    <row r="52" spans="1:14" s="131" customFormat="1" ht="13.5">
      <c r="B52" s="131" t="s">
        <v>551</v>
      </c>
      <c r="G52" s="131">
        <f t="shared" si="1"/>
        <v>1687.49</v>
      </c>
      <c r="H52" s="131">
        <v>1636.68</v>
      </c>
      <c r="I52" s="152">
        <f t="shared" si="2"/>
        <v>-50.809999999999945</v>
      </c>
      <c r="J52" s="187">
        <f>Jan!I52+Feb!I52+Mar!I52+Apr!I52+May!I52+Jun!I52+July!I52+Aug!I52+Sep!I52</f>
        <v>1585.8700000000001</v>
      </c>
      <c r="K52" s="174"/>
      <c r="L52" s="115">
        <v>1687.49</v>
      </c>
      <c r="M52" s="116"/>
      <c r="N52" s="116"/>
    </row>
    <row r="53" spans="1:14" s="131" customFormat="1" ht="13.5">
      <c r="B53" s="131" t="s">
        <v>329</v>
      </c>
      <c r="G53" s="131">
        <f t="shared" si="1"/>
        <v>312.51</v>
      </c>
      <c r="H53" s="131">
        <v>312.51</v>
      </c>
      <c r="I53" s="152">
        <f t="shared" si="2"/>
        <v>0</v>
      </c>
      <c r="J53" s="187">
        <f>Jan!I53+Feb!I53+Mar!I53+Apr!I53+May!I53+Jun!I53+July!I53+Aug!I53+Sep!I53</f>
        <v>312.51</v>
      </c>
      <c r="K53" s="174"/>
      <c r="L53" s="115">
        <v>312.51</v>
      </c>
      <c r="M53" s="116"/>
      <c r="N53" s="116"/>
    </row>
    <row r="54" spans="1:14" s="131" customFormat="1" ht="13.5">
      <c r="B54" s="131" t="s">
        <v>625</v>
      </c>
      <c r="G54" s="131">
        <f t="shared" si="1"/>
        <v>-2000</v>
      </c>
      <c r="H54" s="131">
        <v>-2000</v>
      </c>
      <c r="I54" s="152">
        <f t="shared" si="2"/>
        <v>0</v>
      </c>
      <c r="J54" s="187">
        <f>Jan!I54+Feb!I54+Mar!I54+Apr!I54+May!I54+Jun!I54+July!I54+Aug!I54+Sep!I54</f>
        <v>-1000</v>
      </c>
      <c r="K54" s="174"/>
      <c r="L54" s="115">
        <v>-2000</v>
      </c>
      <c r="M54" s="116"/>
      <c r="N54" s="116"/>
    </row>
    <row r="55" spans="1:14" s="131" customFormat="1" ht="13.5">
      <c r="I55" s="152"/>
      <c r="J55" s="187"/>
      <c r="K55" s="174"/>
      <c r="L55" s="115"/>
      <c r="M55" s="116"/>
      <c r="N55" s="116"/>
    </row>
    <row r="56" spans="1:14" s="131" customFormat="1" ht="13.5">
      <c r="A56" s="149" t="s">
        <v>85</v>
      </c>
      <c r="B56" s="149">
        <f>SUM(G57:G60)</f>
        <v>357.23</v>
      </c>
      <c r="C56" s="149">
        <f>SUM(H57:H60)</f>
        <v>355</v>
      </c>
      <c r="D56" s="149">
        <f>C56-B56</f>
        <v>-2.2300000000000182</v>
      </c>
      <c r="I56" s="152"/>
      <c r="J56" s="187"/>
      <c r="K56" s="174"/>
      <c r="L56" s="115"/>
      <c r="M56" s="116"/>
      <c r="N56" s="116"/>
    </row>
    <row r="57" spans="1:14" s="131" customFormat="1" ht="13.5">
      <c r="B57" s="131" t="s">
        <v>41</v>
      </c>
      <c r="C57" s="131" t="s">
        <v>42</v>
      </c>
      <c r="G57" s="131">
        <f>SUM(L57:N57)</f>
        <v>136.38</v>
      </c>
      <c r="H57" s="131">
        <v>110</v>
      </c>
      <c r="I57" s="152">
        <f>H57-G57</f>
        <v>-26.379999999999995</v>
      </c>
      <c r="J57" s="187">
        <f>Jan!I57+Feb!I57+Mar!I57+Apr!I57+May!I57+Jun!I57+July!I57+Aug!I57+Sep!I57</f>
        <v>-111.43999999999998</v>
      </c>
      <c r="K57" s="174"/>
      <c r="L57" s="115">
        <v>136.38</v>
      </c>
      <c r="M57" s="116"/>
      <c r="N57" s="116"/>
    </row>
    <row r="58" spans="1:14" s="131" customFormat="1" ht="13.5">
      <c r="B58" s="131" t="s">
        <v>43</v>
      </c>
      <c r="C58" s="131" t="s">
        <v>44</v>
      </c>
      <c r="G58" s="131">
        <f t="shared" ref="G58:G121" si="3">SUM(L58:N58)</f>
        <v>220.85</v>
      </c>
      <c r="H58" s="131">
        <v>45</v>
      </c>
      <c r="I58" s="152">
        <f t="shared" ref="I58:I121" si="4">H58-G58</f>
        <v>-175.85</v>
      </c>
      <c r="J58" s="187">
        <f>Jan!I58+Feb!I58+Mar!I58+Apr!I58+May!I58+Jun!I58+July!I58+Aug!I58+Sep!I58</f>
        <v>117.35</v>
      </c>
      <c r="K58" s="174"/>
      <c r="L58" s="115">
        <v>220.85</v>
      </c>
      <c r="M58" s="116"/>
      <c r="N58" s="116"/>
    </row>
    <row r="59" spans="1:14" s="131" customFormat="1" ht="13.5">
      <c r="B59" s="198" t="s">
        <v>86</v>
      </c>
      <c r="C59" s="198" t="s">
        <v>87</v>
      </c>
      <c r="D59" s="198" t="s">
        <v>423</v>
      </c>
      <c r="E59" s="198"/>
      <c r="F59" s="198"/>
      <c r="G59" s="131">
        <f t="shared" si="3"/>
        <v>0</v>
      </c>
      <c r="H59" s="131">
        <v>90</v>
      </c>
      <c r="I59" s="152">
        <f t="shared" si="4"/>
        <v>90</v>
      </c>
      <c r="J59" s="187">
        <f>Jan!I59+Feb!I59+Mar!I59+Apr!I59+May!I59+Jun!I59+July!I59+Aug!I59+Sep!I59</f>
        <v>-415</v>
      </c>
      <c r="K59" s="174"/>
      <c r="L59" s="115"/>
      <c r="M59" s="116"/>
      <c r="N59" s="116"/>
    </row>
    <row r="60" spans="1:14" s="131" customFormat="1" ht="13.5">
      <c r="B60" s="198" t="s">
        <v>88</v>
      </c>
      <c r="C60" s="198" t="s">
        <v>89</v>
      </c>
      <c r="D60" s="198" t="s">
        <v>424</v>
      </c>
      <c r="E60" s="198"/>
      <c r="F60" s="198"/>
      <c r="G60" s="131">
        <f t="shared" si="3"/>
        <v>0</v>
      </c>
      <c r="H60" s="131">
        <v>110</v>
      </c>
      <c r="I60" s="152">
        <f t="shared" si="4"/>
        <v>110</v>
      </c>
      <c r="J60" s="187">
        <f>Jan!I60+Feb!I60+Mar!I60+Apr!I60+May!I60+Jun!I60+July!I60+Aug!I60+Sep!I60</f>
        <v>-399.71999999999991</v>
      </c>
      <c r="K60" s="174"/>
      <c r="L60" s="115"/>
      <c r="M60" s="116"/>
      <c r="N60" s="116"/>
    </row>
    <row r="61" spans="1:14" s="131" customFormat="1" ht="13.5">
      <c r="I61" s="152"/>
      <c r="J61" s="187"/>
      <c r="K61" s="174"/>
      <c r="L61" s="115"/>
      <c r="M61" s="116"/>
      <c r="N61" s="116"/>
    </row>
    <row r="62" spans="1:14" s="131" customFormat="1" ht="13.5">
      <c r="A62" s="149" t="s">
        <v>91</v>
      </c>
      <c r="B62" s="149">
        <f>SUM(G63:G64)</f>
        <v>145.05000000000001</v>
      </c>
      <c r="C62" s="149">
        <f>SUM(H63:H64)</f>
        <v>138</v>
      </c>
      <c r="D62" s="149">
        <f>C62-B62</f>
        <v>-7.0500000000000114</v>
      </c>
      <c r="I62" s="152"/>
      <c r="J62" s="187"/>
      <c r="K62" s="174"/>
      <c r="L62" s="115"/>
      <c r="M62" s="116"/>
      <c r="N62" s="116"/>
    </row>
    <row r="63" spans="1:14" s="131" customFormat="1" ht="13.5">
      <c r="B63" s="131" t="s">
        <v>50</v>
      </c>
      <c r="C63" s="131" t="s">
        <v>51</v>
      </c>
      <c r="G63" s="131">
        <f t="shared" si="3"/>
        <v>67.180000000000007</v>
      </c>
      <c r="H63" s="131">
        <v>63</v>
      </c>
      <c r="I63" s="152">
        <f t="shared" si="4"/>
        <v>-4.1800000000000068</v>
      </c>
      <c r="J63" s="187">
        <f>Jan!I63+Feb!I63+Mar!I63+Apr!I63+May!I63+Jun!I63+July!I63+Aug!I63+Sep!I63</f>
        <v>-23.150000000000006</v>
      </c>
      <c r="K63" s="174"/>
      <c r="L63" s="115"/>
      <c r="M63" s="116">
        <v>67.180000000000007</v>
      </c>
      <c r="N63" s="116"/>
    </row>
    <row r="64" spans="1:14" s="131" customFormat="1" ht="13.5">
      <c r="B64" s="131" t="s">
        <v>92</v>
      </c>
      <c r="C64" s="131" t="s">
        <v>93</v>
      </c>
      <c r="D64" s="156"/>
      <c r="G64" s="131">
        <f t="shared" si="3"/>
        <v>77.87</v>
      </c>
      <c r="H64" s="131">
        <v>75</v>
      </c>
      <c r="I64" s="152">
        <f t="shared" si="4"/>
        <v>-2.8700000000000045</v>
      </c>
      <c r="J64" s="187">
        <f>Jan!I64+Feb!I64+Mar!I64+Apr!I64+May!I64+Jun!I64+July!I64+Aug!I64+Sep!I64</f>
        <v>8.9000000000000199</v>
      </c>
      <c r="K64" s="174"/>
      <c r="L64" s="115"/>
      <c r="M64" s="116">
        <v>77.87</v>
      </c>
      <c r="N64" s="116"/>
    </row>
    <row r="65" spans="1:15" s="131" customFormat="1" ht="13.5">
      <c r="I65" s="152"/>
      <c r="J65" s="187"/>
      <c r="K65" s="174"/>
      <c r="L65" s="115"/>
      <c r="M65" s="116"/>
      <c r="N65" s="116"/>
    </row>
    <row r="66" spans="1:15" s="131" customFormat="1" ht="13.5">
      <c r="A66" s="193" t="s">
        <v>94</v>
      </c>
      <c r="B66" s="149">
        <f>SUM(G67:G69)</f>
        <v>432.82</v>
      </c>
      <c r="C66" s="149">
        <f>SUM(H67:H69)</f>
        <v>177</v>
      </c>
      <c r="D66" s="149">
        <f>C66-B66</f>
        <v>-255.82</v>
      </c>
      <c r="I66" s="152"/>
      <c r="J66" s="187"/>
      <c r="K66" s="174"/>
      <c r="L66" s="115"/>
      <c r="M66" s="116"/>
      <c r="N66" s="116"/>
    </row>
    <row r="67" spans="1:15" s="131" customFormat="1" ht="13.5">
      <c r="B67" s="198" t="s">
        <v>95</v>
      </c>
      <c r="C67" s="198"/>
      <c r="D67" s="198" t="s">
        <v>96</v>
      </c>
      <c r="E67" s="198"/>
      <c r="F67" s="198"/>
      <c r="G67" s="131">
        <f t="shared" si="3"/>
        <v>0</v>
      </c>
      <c r="H67" s="131">
        <v>56.5</v>
      </c>
      <c r="I67" s="152">
        <f t="shared" si="4"/>
        <v>56.5</v>
      </c>
      <c r="J67" s="187">
        <f>Jan!I67+Feb!I67+Mar!I67+Apr!I67+May!I67+Jun!I67+July!I67+Aug!I67+Sep!I67</f>
        <v>-207.5</v>
      </c>
      <c r="K67" s="174"/>
      <c r="L67" s="115"/>
      <c r="M67" s="116"/>
      <c r="N67" s="116"/>
    </row>
    <row r="68" spans="1:15" s="131" customFormat="1" ht="13.5">
      <c r="B68" s="198" t="s">
        <v>97</v>
      </c>
      <c r="C68" s="198"/>
      <c r="D68" s="198" t="s">
        <v>96</v>
      </c>
      <c r="E68" s="198"/>
      <c r="F68" s="198"/>
      <c r="G68" s="131">
        <f t="shared" si="3"/>
        <v>0</v>
      </c>
      <c r="H68" s="131">
        <v>84.5</v>
      </c>
      <c r="I68" s="152">
        <f t="shared" si="4"/>
        <v>84.5</v>
      </c>
      <c r="J68" s="187">
        <f>Jan!I68+Feb!I68+Mar!I68+Apr!I68+May!I68+Jun!I68+July!I68+Aug!I68+Sep!I68</f>
        <v>-194.5</v>
      </c>
      <c r="K68" s="174"/>
      <c r="L68" s="115"/>
      <c r="M68" s="116"/>
      <c r="N68" s="116"/>
    </row>
    <row r="69" spans="1:15" s="131" customFormat="1" ht="13.5">
      <c r="B69" s="198" t="s">
        <v>98</v>
      </c>
      <c r="C69" s="198"/>
      <c r="D69" s="198" t="s">
        <v>852</v>
      </c>
      <c r="E69" s="198"/>
      <c r="F69" s="198"/>
      <c r="G69" s="131">
        <f t="shared" si="3"/>
        <v>432.82</v>
      </c>
      <c r="H69" s="131">
        <v>36</v>
      </c>
      <c r="I69" s="152">
        <f t="shared" si="4"/>
        <v>-396.82</v>
      </c>
      <c r="J69" s="187">
        <f>Jan!I69+Feb!I69+Mar!I69+Apr!I69+May!I69+Jun!I69+July!I69+Aug!I69+Sep!I69</f>
        <v>-108.82</v>
      </c>
      <c r="K69" s="174"/>
      <c r="L69" s="115">
        <v>432.82</v>
      </c>
      <c r="M69" s="116"/>
      <c r="N69" s="116"/>
    </row>
    <row r="70" spans="1:15" s="131" customFormat="1" ht="13.5">
      <c r="I70" s="152"/>
      <c r="J70" s="187"/>
      <c r="K70" s="174"/>
      <c r="L70" s="115"/>
      <c r="M70" s="116"/>
      <c r="N70" s="116"/>
    </row>
    <row r="71" spans="1:15" s="131" customFormat="1" ht="13.5">
      <c r="A71" s="149" t="s">
        <v>99</v>
      </c>
      <c r="B71" s="149">
        <f>SUM(G72:G78)</f>
        <v>186.32</v>
      </c>
      <c r="C71" s="149">
        <f>SUM(H72:H78)</f>
        <v>166.5</v>
      </c>
      <c r="D71" s="149">
        <f>C71-B71</f>
        <v>-19.819999999999993</v>
      </c>
      <c r="I71" s="152"/>
      <c r="J71" s="187"/>
      <c r="K71" s="174"/>
      <c r="L71" s="115"/>
      <c r="M71" s="116"/>
      <c r="N71" s="116"/>
    </row>
    <row r="72" spans="1:15" s="131" customFormat="1" ht="13.5">
      <c r="B72" s="131" t="s">
        <v>100</v>
      </c>
      <c r="G72" s="131">
        <f t="shared" si="3"/>
        <v>0</v>
      </c>
      <c r="H72" s="131">
        <v>15</v>
      </c>
      <c r="I72" s="152">
        <f t="shared" si="4"/>
        <v>15</v>
      </c>
      <c r="J72" s="187">
        <f>Jan!I72+Feb!I72+Mar!I72+Apr!I72+May!I72+Jun!I72+July!I72+Aug!I72+Sep!I72</f>
        <v>24.33</v>
      </c>
      <c r="K72" s="174"/>
      <c r="L72" s="115"/>
      <c r="M72" s="116"/>
      <c r="N72" s="116"/>
    </row>
    <row r="73" spans="1:15" s="131" customFormat="1" ht="13.5">
      <c r="B73" s="131" t="s">
        <v>384</v>
      </c>
      <c r="G73" s="131">
        <f t="shared" si="3"/>
        <v>0</v>
      </c>
      <c r="H73" s="131">
        <v>5</v>
      </c>
      <c r="I73" s="152">
        <f t="shared" si="4"/>
        <v>5</v>
      </c>
      <c r="J73" s="187">
        <f>Jan!I73+Feb!I73+Mar!I73+Apr!I73+May!I73+Jun!I73+July!I73+Aug!I73+Sep!I73</f>
        <v>3.8999999999999986</v>
      </c>
      <c r="K73" s="174"/>
      <c r="L73" s="115"/>
      <c r="M73" s="116"/>
      <c r="N73" s="116"/>
    </row>
    <row r="74" spans="1:15" s="131" customFormat="1" ht="13.5">
      <c r="B74" s="131" t="s">
        <v>385</v>
      </c>
      <c r="G74" s="131">
        <f t="shared" si="3"/>
        <v>27.86</v>
      </c>
      <c r="H74" s="131">
        <v>65</v>
      </c>
      <c r="I74" s="152">
        <f t="shared" si="4"/>
        <v>37.14</v>
      </c>
      <c r="J74" s="187">
        <f>Jan!I74+Feb!I74+Mar!I74+Apr!I74+May!I74+Jun!I74+July!I74+Aug!I74+Sep!I74</f>
        <v>-1.2199999999999704</v>
      </c>
      <c r="K74" s="174"/>
      <c r="L74" s="115"/>
      <c r="M74" s="116">
        <f>23.15+4.71</f>
        <v>27.86</v>
      </c>
      <c r="N74" s="116"/>
    </row>
    <row r="75" spans="1:15" s="131" customFormat="1" ht="13.5">
      <c r="B75" s="131" t="s">
        <v>386</v>
      </c>
      <c r="G75" s="131">
        <f t="shared" si="3"/>
        <v>0</v>
      </c>
      <c r="H75" s="131">
        <v>15</v>
      </c>
      <c r="I75" s="152">
        <f t="shared" si="4"/>
        <v>15</v>
      </c>
      <c r="J75" s="187">
        <f>Jan!I75+Feb!I75+Mar!I75+Apr!I75+May!I75+Jun!I75+July!I75+Aug!I75+Sep!I75</f>
        <v>72.029999999999987</v>
      </c>
      <c r="K75" s="174"/>
      <c r="L75" s="115"/>
      <c r="M75" s="116"/>
      <c r="N75" s="116"/>
    </row>
    <row r="76" spans="1:15" s="131" customFormat="1" ht="13.5">
      <c r="B76" s="198" t="s">
        <v>390</v>
      </c>
      <c r="C76" s="198"/>
      <c r="D76" s="198"/>
      <c r="E76" s="198"/>
      <c r="F76" s="198"/>
      <c r="G76" s="131">
        <f t="shared" si="3"/>
        <v>158.46</v>
      </c>
      <c r="H76" s="131">
        <v>35</v>
      </c>
      <c r="I76" s="152">
        <f t="shared" si="4"/>
        <v>-123.46000000000001</v>
      </c>
      <c r="J76" s="187">
        <f>Jan!I76+Feb!I76+Mar!I76+Apr!I76+May!I76+Jun!I76+July!I76+Aug!I76+Sep!I76</f>
        <v>59.889999999999986</v>
      </c>
      <c r="K76" s="174"/>
      <c r="L76" s="115"/>
      <c r="M76" s="116">
        <f>158.46</f>
        <v>158.46</v>
      </c>
      <c r="N76" s="116"/>
      <c r="O76" s="131" t="s">
        <v>909</v>
      </c>
    </row>
    <row r="77" spans="1:15" s="131" customFormat="1" ht="13.5">
      <c r="B77" s="198" t="s">
        <v>387</v>
      </c>
      <c r="C77" s="198"/>
      <c r="D77" s="198"/>
      <c r="E77" s="198"/>
      <c r="F77" s="198"/>
      <c r="G77" s="131">
        <f t="shared" si="3"/>
        <v>0</v>
      </c>
      <c r="H77" s="131">
        <v>20</v>
      </c>
      <c r="I77" s="152">
        <f t="shared" si="4"/>
        <v>20</v>
      </c>
      <c r="J77" s="187">
        <f>Jan!I77+Feb!I77+Mar!I77+Apr!I77+May!I77+Jun!I77+July!I77+Aug!I77+Sep!I77</f>
        <v>180</v>
      </c>
      <c r="K77" s="174"/>
      <c r="L77" s="115"/>
      <c r="M77" s="116"/>
      <c r="N77" s="116"/>
    </row>
    <row r="78" spans="1:15" s="131" customFormat="1" ht="13.5">
      <c r="B78" s="198" t="s">
        <v>388</v>
      </c>
      <c r="C78" s="198"/>
      <c r="D78" s="198"/>
      <c r="E78" s="198"/>
      <c r="F78" s="198"/>
      <c r="G78" s="131">
        <f t="shared" si="3"/>
        <v>0</v>
      </c>
      <c r="H78" s="131">
        <v>11.5</v>
      </c>
      <c r="I78" s="152">
        <f t="shared" si="4"/>
        <v>11.5</v>
      </c>
      <c r="J78" s="187">
        <f>Jan!I78+Feb!I78+Mar!I78+Apr!I78+May!I78+Jun!I78+July!I78+Aug!I78+Sep!I78</f>
        <v>-22.489999999999995</v>
      </c>
      <c r="K78" s="174"/>
      <c r="L78" s="115"/>
      <c r="M78" s="116"/>
      <c r="N78" s="116"/>
    </row>
    <row r="79" spans="1:15" s="131" customFormat="1" ht="13.5">
      <c r="I79" s="152"/>
      <c r="J79" s="187"/>
      <c r="K79" s="174"/>
      <c r="L79" s="115"/>
      <c r="M79" s="116"/>
      <c r="N79" s="116"/>
    </row>
    <row r="80" spans="1:15" s="131" customFormat="1" ht="13.5">
      <c r="A80" s="149" t="s">
        <v>335</v>
      </c>
      <c r="B80" s="149">
        <f>SUM(G81:G83)</f>
        <v>9.84</v>
      </c>
      <c r="C80" s="149">
        <f>SUM(H81:H83)</f>
        <v>30</v>
      </c>
      <c r="D80" s="149">
        <f>C80-B80</f>
        <v>20.16</v>
      </c>
      <c r="I80" s="152"/>
      <c r="J80" s="187"/>
      <c r="K80" s="174"/>
      <c r="L80" s="115"/>
      <c r="M80" s="116"/>
      <c r="N80" s="116"/>
    </row>
    <row r="81" spans="1:15" s="131" customFormat="1" ht="13.5">
      <c r="B81" s="198" t="s">
        <v>101</v>
      </c>
      <c r="C81" s="198"/>
      <c r="D81" s="198"/>
      <c r="E81" s="198"/>
      <c r="F81" s="198"/>
      <c r="G81" s="131">
        <f t="shared" si="3"/>
        <v>0</v>
      </c>
      <c r="H81" s="131">
        <v>10</v>
      </c>
      <c r="I81" s="152">
        <f t="shared" si="4"/>
        <v>10</v>
      </c>
      <c r="J81" s="187">
        <f>Jan!I81+Feb!I81+Mar!I81+Apr!I81+May!I81+Jun!I81+July!I81+Aug!I81+Sep!I81</f>
        <v>-363</v>
      </c>
      <c r="K81" s="174"/>
      <c r="L81" s="115"/>
      <c r="M81" s="116"/>
      <c r="N81" s="116"/>
    </row>
    <row r="82" spans="1:15" s="131" customFormat="1" ht="13.5">
      <c r="B82" s="198" t="s">
        <v>102</v>
      </c>
      <c r="C82" s="198"/>
      <c r="D82" s="198"/>
      <c r="E82" s="198"/>
      <c r="F82" s="198"/>
      <c r="G82" s="131">
        <f t="shared" si="3"/>
        <v>9.84</v>
      </c>
      <c r="H82" s="131">
        <v>10</v>
      </c>
      <c r="I82" s="152">
        <f t="shared" si="4"/>
        <v>0.16000000000000014</v>
      </c>
      <c r="J82" s="187">
        <f>Jan!I82+Feb!I82+Mar!I82+Apr!I82+May!I82+Jun!I82+July!I82+Aug!I82+Sep!I82</f>
        <v>1.2500000000000036</v>
      </c>
      <c r="K82" s="174"/>
      <c r="L82" s="115"/>
      <c r="M82" s="116">
        <f>9.84</f>
        <v>9.84</v>
      </c>
      <c r="N82" s="116"/>
    </row>
    <row r="83" spans="1:15" s="131" customFormat="1" ht="13.5">
      <c r="B83" s="198" t="s">
        <v>383</v>
      </c>
      <c r="C83" s="198"/>
      <c r="D83" s="198"/>
      <c r="E83" s="198"/>
      <c r="F83" s="198"/>
      <c r="G83" s="131">
        <f t="shared" si="3"/>
        <v>0</v>
      </c>
      <c r="H83" s="131">
        <v>10</v>
      </c>
      <c r="I83" s="152">
        <f t="shared" si="4"/>
        <v>10</v>
      </c>
      <c r="J83" s="187">
        <f>Jan!I83+Feb!I83+Mar!I83+Apr!I83+May!I83+Jun!I83+July!I83+Aug!I83+Sep!I83</f>
        <v>-5.6499999999999986</v>
      </c>
      <c r="K83" s="174"/>
      <c r="L83" s="115"/>
      <c r="M83" s="116"/>
      <c r="N83" s="116"/>
    </row>
    <row r="84" spans="1:15" s="131" customFormat="1" ht="13.5">
      <c r="I84" s="152"/>
      <c r="J84" s="187"/>
      <c r="K84" s="174"/>
      <c r="L84" s="115"/>
      <c r="M84" s="116"/>
      <c r="N84" s="116"/>
    </row>
    <row r="85" spans="1:15" s="131" customFormat="1" ht="13.5">
      <c r="A85" s="149" t="s">
        <v>110</v>
      </c>
      <c r="B85" s="149">
        <f>SUM(G86:G88)</f>
        <v>219.26999999999998</v>
      </c>
      <c r="C85" s="149">
        <f>SUM(H86:H88)</f>
        <v>115</v>
      </c>
      <c r="D85" s="149">
        <f>C85-B85</f>
        <v>-104.26999999999998</v>
      </c>
      <c r="I85" s="152"/>
      <c r="J85" s="187"/>
      <c r="K85" s="174"/>
      <c r="L85" s="115"/>
      <c r="M85" s="116"/>
      <c r="N85" s="116"/>
    </row>
    <row r="86" spans="1:15" s="131" customFormat="1" ht="13.5">
      <c r="B86" s="198" t="s">
        <v>389</v>
      </c>
      <c r="C86" s="198"/>
      <c r="D86" s="198"/>
      <c r="E86" s="198"/>
      <c r="F86" s="198"/>
      <c r="G86" s="131">
        <f t="shared" si="3"/>
        <v>59.980000000000004</v>
      </c>
      <c r="H86" s="131">
        <v>30</v>
      </c>
      <c r="I86" s="152">
        <f t="shared" si="4"/>
        <v>-29.980000000000004</v>
      </c>
      <c r="J86" s="187">
        <f>Jan!I86+Feb!I86+Mar!I86+Apr!I86+May!I86+Jun!I86+July!I86+Aug!I86+Sep!I86</f>
        <v>-776.38000000000011</v>
      </c>
      <c r="K86" s="174"/>
      <c r="L86" s="115"/>
      <c r="M86" s="116">
        <f>69.98-10</f>
        <v>59.980000000000004</v>
      </c>
      <c r="N86" s="116"/>
      <c r="O86" s="131" t="s">
        <v>907</v>
      </c>
    </row>
    <row r="87" spans="1:15" s="131" customFormat="1" ht="13.5">
      <c r="B87" s="198" t="s">
        <v>111</v>
      </c>
      <c r="C87" s="198"/>
      <c r="D87" s="198"/>
      <c r="E87" s="198"/>
      <c r="F87" s="198"/>
      <c r="G87" s="131">
        <f t="shared" si="3"/>
        <v>0</v>
      </c>
      <c r="H87" s="131">
        <v>20</v>
      </c>
      <c r="I87" s="152">
        <f t="shared" si="4"/>
        <v>20</v>
      </c>
      <c r="J87" s="187">
        <f>Jan!I87+Feb!I87+Mar!I87+Apr!I87+May!I87+Jun!I87+July!I87+Aug!I87+Sep!I87</f>
        <v>-103.39999999999998</v>
      </c>
      <c r="K87" s="174"/>
      <c r="L87" s="115"/>
      <c r="M87" s="116"/>
      <c r="N87" s="116"/>
    </row>
    <row r="88" spans="1:15" s="131" customFormat="1" ht="13.5">
      <c r="B88" s="131" t="s">
        <v>391</v>
      </c>
      <c r="G88" s="131">
        <f t="shared" si="3"/>
        <v>159.29</v>
      </c>
      <c r="H88" s="131">
        <v>65</v>
      </c>
      <c r="I88" s="152">
        <f t="shared" si="4"/>
        <v>-94.289999999999992</v>
      </c>
      <c r="J88" s="187">
        <f>Jan!I88+Feb!I88+Mar!I88+Apr!I88+May!I88+Jun!I88+July!I88+Aug!I88+Sep!I88</f>
        <v>-488.17999999999995</v>
      </c>
      <c r="K88" s="174"/>
      <c r="L88" s="115"/>
      <c r="M88" s="116">
        <f>38.51+62.6</f>
        <v>101.11</v>
      </c>
      <c r="N88" s="116">
        <f>58.18</f>
        <v>58.18</v>
      </c>
    </row>
    <row r="89" spans="1:15" s="131" customFormat="1" ht="13.5">
      <c r="I89" s="152"/>
      <c r="J89" s="187"/>
      <c r="K89" s="174"/>
      <c r="L89" s="115"/>
      <c r="M89" s="116"/>
      <c r="N89" s="116"/>
    </row>
    <row r="90" spans="1:15" s="131" customFormat="1" ht="13.5">
      <c r="A90" s="149" t="s">
        <v>112</v>
      </c>
      <c r="B90" s="149">
        <f>SUM(G91:G95)</f>
        <v>248.6</v>
      </c>
      <c r="C90" s="149">
        <f>SUM(H91:H95)</f>
        <v>220</v>
      </c>
      <c r="D90" s="149">
        <f>C90-B90</f>
        <v>-28.599999999999994</v>
      </c>
      <c r="I90" s="152"/>
      <c r="J90" s="187"/>
      <c r="K90" s="174"/>
      <c r="L90" s="115"/>
      <c r="M90" s="116"/>
      <c r="N90" s="116"/>
    </row>
    <row r="91" spans="1:15" s="131" customFormat="1" ht="13.5">
      <c r="B91" s="131" t="s">
        <v>113</v>
      </c>
      <c r="G91" s="131">
        <f t="shared" si="3"/>
        <v>90.27</v>
      </c>
      <c r="H91" s="131">
        <v>40</v>
      </c>
      <c r="I91" s="152">
        <f t="shared" si="4"/>
        <v>-50.269999999999996</v>
      </c>
      <c r="J91" s="187">
        <f>Jan!I91+Feb!I91+Mar!I91+Apr!I91+May!I91+Jun!I91+July!I91+Aug!I91+Sep!I91</f>
        <v>-131.87</v>
      </c>
      <c r="K91" s="174"/>
      <c r="L91" s="115"/>
      <c r="M91" s="116">
        <f>51.9+38.37</f>
        <v>90.27</v>
      </c>
      <c r="N91" s="116"/>
    </row>
    <row r="92" spans="1:15" s="131" customFormat="1" ht="13.5">
      <c r="B92" s="131" t="s">
        <v>114</v>
      </c>
      <c r="D92" s="131" t="s">
        <v>115</v>
      </c>
      <c r="G92" s="131">
        <f t="shared" si="3"/>
        <v>75.25</v>
      </c>
      <c r="H92" s="131">
        <v>120</v>
      </c>
      <c r="I92" s="152">
        <f t="shared" si="4"/>
        <v>44.75</v>
      </c>
      <c r="J92" s="187">
        <f>Jan!I92+Feb!I92+Mar!I92+Apr!I92+May!I92+Jun!I92+July!I92+Aug!I92+Sep!I92</f>
        <v>128.75</v>
      </c>
      <c r="K92" s="174"/>
      <c r="L92" s="115">
        <v>15</v>
      </c>
      <c r="M92" s="116"/>
      <c r="N92" s="116">
        <f>40+20.25</f>
        <v>60.25</v>
      </c>
    </row>
    <row r="93" spans="1:15" s="131" customFormat="1" ht="13.5">
      <c r="B93" s="131" t="s">
        <v>116</v>
      </c>
      <c r="G93" s="131">
        <f t="shared" si="3"/>
        <v>71.400000000000006</v>
      </c>
      <c r="H93" s="131">
        <v>20</v>
      </c>
      <c r="I93" s="152">
        <f t="shared" si="4"/>
        <v>-51.400000000000006</v>
      </c>
      <c r="J93" s="187">
        <f>Jan!I93+Feb!I93+Mar!I93+Apr!I93+May!I93+Jun!I93+July!I93+Aug!I93+Sep!I93</f>
        <v>26.58</v>
      </c>
      <c r="K93" s="174"/>
      <c r="L93" s="115"/>
      <c r="M93" s="116">
        <f>8.22+96-32.82</f>
        <v>71.400000000000006</v>
      </c>
      <c r="N93" s="116"/>
    </row>
    <row r="94" spans="1:15" s="131" customFormat="1" ht="13.5">
      <c r="A94" s="149"/>
      <c r="B94" s="131" t="s">
        <v>117</v>
      </c>
      <c r="G94" s="131">
        <f t="shared" si="3"/>
        <v>0</v>
      </c>
      <c r="H94" s="131">
        <v>20</v>
      </c>
      <c r="I94" s="152">
        <f t="shared" si="4"/>
        <v>20</v>
      </c>
      <c r="J94" s="187">
        <f>Jan!I94+Feb!I94+Mar!I94+Apr!I94+May!I94+Jun!I94+July!I94+Aug!I94+Sep!I94</f>
        <v>-14.289999999999992</v>
      </c>
      <c r="K94" s="174"/>
      <c r="L94" s="115"/>
      <c r="M94" s="116"/>
      <c r="N94" s="116"/>
    </row>
    <row r="95" spans="1:15" s="131" customFormat="1" ht="13.5">
      <c r="A95" s="149"/>
      <c r="B95" s="131" t="s">
        <v>118</v>
      </c>
      <c r="G95" s="131">
        <f t="shared" si="3"/>
        <v>11.68</v>
      </c>
      <c r="H95" s="131">
        <v>20</v>
      </c>
      <c r="I95" s="152">
        <f t="shared" si="4"/>
        <v>8.32</v>
      </c>
      <c r="J95" s="187">
        <f>Jan!I95+Feb!I95+Mar!I95+Apr!I95+May!I95+Jun!I95+July!I95+Aug!I95+Sep!I95</f>
        <v>-172.96000000000004</v>
      </c>
      <c r="K95" s="174"/>
      <c r="L95" s="115"/>
      <c r="M95" s="116">
        <f>1.99+9.69</f>
        <v>11.68</v>
      </c>
      <c r="N95" s="116"/>
    </row>
    <row r="96" spans="1:15" s="131" customFormat="1" ht="13.5">
      <c r="A96" s="149"/>
      <c r="B96" s="149"/>
      <c r="I96" s="152"/>
      <c r="J96" s="187"/>
      <c r="K96" s="174"/>
      <c r="L96" s="115"/>
      <c r="M96" s="116"/>
      <c r="N96" s="116"/>
    </row>
    <row r="97" spans="1:15" s="131" customFormat="1" ht="13.5">
      <c r="A97" s="149" t="s">
        <v>119</v>
      </c>
      <c r="B97" s="149">
        <f>SUM(G98:G101)</f>
        <v>611</v>
      </c>
      <c r="C97" s="149">
        <f>SUM(H98:H101)</f>
        <v>435</v>
      </c>
      <c r="D97" s="149">
        <f>C97-B97</f>
        <v>-176</v>
      </c>
      <c r="I97" s="152"/>
      <c r="J97" s="187"/>
      <c r="K97" s="174"/>
      <c r="L97" s="115"/>
      <c r="M97" s="116"/>
      <c r="N97" s="116"/>
    </row>
    <row r="98" spans="1:15" s="131" customFormat="1" ht="13.5">
      <c r="B98" s="198" t="s">
        <v>120</v>
      </c>
      <c r="C98" s="198"/>
      <c r="D98" s="198" t="s">
        <v>121</v>
      </c>
      <c r="E98" s="198"/>
      <c r="F98" s="198"/>
      <c r="G98" s="131">
        <f t="shared" si="3"/>
        <v>498</v>
      </c>
      <c r="H98" s="131">
        <v>150</v>
      </c>
      <c r="I98" s="152">
        <f t="shared" si="4"/>
        <v>-348</v>
      </c>
      <c r="J98" s="187">
        <f>Jan!I98+Feb!I98+Mar!I98+Apr!I98+May!I98+Jun!I98+July!I98+Aug!I98+Sep!I98</f>
        <v>-274.5499999999999</v>
      </c>
      <c r="K98" s="174"/>
      <c r="L98" s="115">
        <f>20+3*105+28+135</f>
        <v>498</v>
      </c>
      <c r="M98" s="116"/>
      <c r="N98" s="116"/>
      <c r="O98" s="131" t="s">
        <v>854</v>
      </c>
    </row>
    <row r="99" spans="1:15" s="131" customFormat="1" ht="13.5">
      <c r="B99" s="198" t="s">
        <v>122</v>
      </c>
      <c r="C99" s="198"/>
      <c r="D99" s="198" t="s">
        <v>123</v>
      </c>
      <c r="E99" s="198"/>
      <c r="F99" s="198"/>
      <c r="G99" s="131">
        <f t="shared" si="3"/>
        <v>33</v>
      </c>
      <c r="H99" s="131">
        <v>20</v>
      </c>
      <c r="I99" s="152">
        <f t="shared" si="4"/>
        <v>-13</v>
      </c>
      <c r="J99" s="187">
        <f>Jan!I99+Feb!I99+Mar!I99+Apr!I99+May!I99+Jun!I99+July!I99+Aug!I99+Sep!I99</f>
        <v>-28.790000000000003</v>
      </c>
      <c r="K99" s="174"/>
      <c r="L99" s="115"/>
      <c r="M99" s="116"/>
      <c r="N99" s="116">
        <f>5+28</f>
        <v>33</v>
      </c>
    </row>
    <row r="100" spans="1:15" s="131" customFormat="1" ht="13.5">
      <c r="A100" s="149"/>
      <c r="B100" s="131" t="s">
        <v>124</v>
      </c>
      <c r="G100" s="131">
        <f t="shared" si="3"/>
        <v>80</v>
      </c>
      <c r="H100" s="131">
        <v>215</v>
      </c>
      <c r="I100" s="152">
        <f t="shared" si="4"/>
        <v>135</v>
      </c>
      <c r="J100" s="187">
        <f>Jan!I100+Feb!I100+Mar!I100+Apr!I100+May!I100+Jun!I100+July!I100+Aug!I100+Sep!I100</f>
        <v>-52.210000000000008</v>
      </c>
      <c r="K100" s="174"/>
      <c r="L100" s="115">
        <v>80</v>
      </c>
      <c r="M100" s="116"/>
      <c r="N100" s="116"/>
    </row>
    <row r="101" spans="1:15" s="131" customFormat="1" ht="13.5">
      <c r="A101" s="149"/>
      <c r="B101" s="198" t="s">
        <v>125</v>
      </c>
      <c r="C101" s="198"/>
      <c r="D101" s="198"/>
      <c r="E101" s="198"/>
      <c r="F101" s="198"/>
      <c r="G101" s="131">
        <f t="shared" si="3"/>
        <v>0</v>
      </c>
      <c r="H101" s="131">
        <v>50</v>
      </c>
      <c r="I101" s="152">
        <f t="shared" si="4"/>
        <v>50</v>
      </c>
      <c r="J101" s="187">
        <f>Jan!I101+Feb!I101+Mar!I101+Apr!I101+May!I101+Jun!I101+July!I101+Aug!I101+Sep!I101</f>
        <v>77.019999999999982</v>
      </c>
      <c r="K101" s="174"/>
      <c r="L101" s="115"/>
      <c r="M101" s="116"/>
      <c r="N101" s="116"/>
    </row>
    <row r="102" spans="1:15" s="131" customFormat="1" ht="13.5">
      <c r="A102" s="149"/>
      <c r="I102" s="152"/>
      <c r="J102" s="187"/>
      <c r="K102" s="174"/>
      <c r="L102" s="115"/>
      <c r="M102" s="116"/>
      <c r="N102" s="116"/>
    </row>
    <row r="103" spans="1:15" s="131" customFormat="1" ht="13.5">
      <c r="A103" s="149" t="s">
        <v>103</v>
      </c>
      <c r="B103" s="149">
        <f>SUM(G104:G110)</f>
        <v>653.95000000000005</v>
      </c>
      <c r="C103" s="149">
        <f>SUM(H104:H110)</f>
        <v>637</v>
      </c>
      <c r="D103" s="149">
        <f>C103-B103</f>
        <v>-16.950000000000045</v>
      </c>
      <c r="I103" s="152"/>
      <c r="J103" s="187"/>
      <c r="K103" s="174"/>
      <c r="L103" s="115"/>
      <c r="M103" s="116"/>
      <c r="N103" s="116"/>
    </row>
    <row r="104" spans="1:15" s="131" customFormat="1" ht="13.5">
      <c r="B104" s="131" t="s">
        <v>456</v>
      </c>
      <c r="G104" s="131">
        <f t="shared" si="3"/>
        <v>0</v>
      </c>
      <c r="H104" s="131">
        <v>50</v>
      </c>
      <c r="I104" s="152">
        <f t="shared" si="4"/>
        <v>50</v>
      </c>
      <c r="J104" s="187">
        <f>Jan!I104+Feb!I104+Mar!I104+Apr!I104+May!I104+Jun!I104+July!I104+Aug!I104+Sep!I104</f>
        <v>-210</v>
      </c>
      <c r="K104" s="174"/>
      <c r="L104" s="115"/>
      <c r="M104" s="116"/>
      <c r="N104" s="116"/>
    </row>
    <row r="105" spans="1:15" s="131" customFormat="1" ht="13.5">
      <c r="B105" s="131" t="s">
        <v>105</v>
      </c>
      <c r="D105" s="131" t="s">
        <v>457</v>
      </c>
      <c r="E105" s="131">
        <f>60*52/12</f>
        <v>260</v>
      </c>
      <c r="G105" s="131">
        <f t="shared" si="3"/>
        <v>501.61</v>
      </c>
      <c r="H105" s="131">
        <v>500</v>
      </c>
      <c r="I105" s="152">
        <f t="shared" si="4"/>
        <v>-1.6100000000000136</v>
      </c>
      <c r="J105" s="187">
        <f>Jan!I105+Feb!I105+Mar!I105+Apr!I105+May!I105+Jun!I105+July!I105+Aug!I105+Sep!I105</f>
        <v>218.3599999999999</v>
      </c>
      <c r="K105" s="174"/>
      <c r="L105" s="115"/>
      <c r="M105" s="116">
        <f>174.7+25.96-90</f>
        <v>110.66</v>
      </c>
      <c r="N105" s="116">
        <f>70.22+58.02+74.34+75.57+45.07+67.73</f>
        <v>390.95</v>
      </c>
    </row>
    <row r="106" spans="1:15" s="131" customFormat="1" ht="13.5">
      <c r="B106" s="131" t="s">
        <v>392</v>
      </c>
      <c r="G106" s="131">
        <f t="shared" si="3"/>
        <v>38.549999999999997</v>
      </c>
      <c r="H106" s="131">
        <v>27</v>
      </c>
      <c r="I106" s="152">
        <f t="shared" si="4"/>
        <v>-11.549999999999997</v>
      </c>
      <c r="J106" s="187">
        <f>Jan!I106+Feb!I106+Mar!I106+Apr!I106+May!I106+Jun!I106+July!I106+Aug!I106+Sep!I106</f>
        <v>103.07000000000001</v>
      </c>
      <c r="K106" s="174"/>
      <c r="L106" s="115"/>
      <c r="M106" s="116"/>
      <c r="N106" s="116">
        <v>38.549999999999997</v>
      </c>
    </row>
    <row r="107" spans="1:15" s="131" customFormat="1" ht="13.5">
      <c r="B107" s="131" t="s">
        <v>106</v>
      </c>
      <c r="G107" s="131">
        <f t="shared" si="3"/>
        <v>0</v>
      </c>
      <c r="H107" s="131">
        <v>15</v>
      </c>
      <c r="I107" s="152">
        <f t="shared" si="4"/>
        <v>15</v>
      </c>
      <c r="J107" s="187">
        <f>Jan!I107+Feb!I107+Mar!I107+Apr!I107+May!I107+Jun!I107+July!I107+Aug!I107+Sep!I107</f>
        <v>55.81</v>
      </c>
      <c r="K107" s="174"/>
      <c r="L107" s="115"/>
      <c r="M107" s="116"/>
      <c r="N107" s="116"/>
    </row>
    <row r="108" spans="1:15" s="131" customFormat="1" ht="13.5">
      <c r="B108" s="131" t="s">
        <v>107</v>
      </c>
      <c r="G108" s="131">
        <f t="shared" si="3"/>
        <v>26.819999999999993</v>
      </c>
      <c r="H108" s="131">
        <v>20</v>
      </c>
      <c r="I108" s="152">
        <f t="shared" si="4"/>
        <v>-6.8199999999999932</v>
      </c>
      <c r="J108" s="187">
        <f>Jan!I108+Feb!I108+Mar!I108+Apr!I108+May!I108+Jun!I108+July!I108+Aug!I108+Sep!I108</f>
        <v>-202.82999999999998</v>
      </c>
      <c r="K108" s="174"/>
      <c r="L108" s="115"/>
      <c r="M108" s="116"/>
      <c r="N108" s="116">
        <f>(94.55-67.73)</f>
        <v>26.819999999999993</v>
      </c>
    </row>
    <row r="109" spans="1:15" s="131" customFormat="1" ht="13.5">
      <c r="B109" s="131" t="s">
        <v>108</v>
      </c>
      <c r="G109" s="131">
        <f t="shared" si="3"/>
        <v>86.97</v>
      </c>
      <c r="H109" s="131">
        <v>20</v>
      </c>
      <c r="I109" s="152">
        <f t="shared" si="4"/>
        <v>-66.97</v>
      </c>
      <c r="J109" s="187">
        <f>Jan!I109+Feb!I109+Mar!I109+Apr!I109+May!I109+Jun!I109+July!I109+Aug!I109+Sep!I109</f>
        <v>-407.84000000000003</v>
      </c>
      <c r="K109" s="174"/>
      <c r="L109" s="115"/>
      <c r="M109" s="116"/>
      <c r="N109" s="116">
        <f>27.98-14.99+73.98</f>
        <v>86.97</v>
      </c>
      <c r="O109" s="131" t="s">
        <v>872</v>
      </c>
    </row>
    <row r="110" spans="1:15" s="131" customFormat="1" ht="13.5">
      <c r="B110" s="131" t="s">
        <v>109</v>
      </c>
      <c r="G110" s="131">
        <f t="shared" si="3"/>
        <v>0</v>
      </c>
      <c r="H110" s="131">
        <v>5</v>
      </c>
      <c r="I110" s="152">
        <f t="shared" si="4"/>
        <v>5</v>
      </c>
      <c r="J110" s="187">
        <f>Jan!I110+Feb!I110+Mar!I110+Apr!I110+May!I110+Jun!I110+July!I110+Aug!I110+Sep!I110</f>
        <v>-27.670000000000009</v>
      </c>
      <c r="K110" s="174"/>
      <c r="L110" s="115"/>
      <c r="M110" s="116"/>
      <c r="N110" s="116"/>
    </row>
    <row r="111" spans="1:15" s="131" customFormat="1" ht="13.5">
      <c r="I111" s="152"/>
      <c r="J111" s="187"/>
      <c r="K111" s="174"/>
      <c r="L111" s="115"/>
      <c r="M111" s="116"/>
      <c r="N111" s="116"/>
    </row>
    <row r="112" spans="1:15" s="131" customFormat="1" ht="13.5">
      <c r="A112" s="149" t="s">
        <v>407</v>
      </c>
      <c r="B112" s="149">
        <f>G113+G114</f>
        <v>0</v>
      </c>
      <c r="C112" s="149">
        <f>H113</f>
        <v>20</v>
      </c>
      <c r="D112" s="149">
        <f>C112-B112</f>
        <v>20</v>
      </c>
      <c r="I112" s="152"/>
      <c r="J112" s="187"/>
      <c r="K112" s="174"/>
      <c r="L112" s="115"/>
      <c r="M112" s="116"/>
      <c r="N112" s="116"/>
    </row>
    <row r="113" spans="1:15" s="131" customFormat="1" ht="13.5">
      <c r="B113" s="131" t="s">
        <v>408</v>
      </c>
      <c r="G113" s="131">
        <f t="shared" si="3"/>
        <v>0</v>
      </c>
      <c r="H113" s="131">
        <v>20</v>
      </c>
      <c r="I113" s="152">
        <f t="shared" si="4"/>
        <v>20</v>
      </c>
      <c r="J113" s="187">
        <f>Jan!I113+Feb!I113+Mar!I113+Apr!I113+May!I113+Jun!I113+July!I113+Aug!I113+Sep!I113</f>
        <v>51.230000000000004</v>
      </c>
      <c r="K113" s="174"/>
      <c r="L113" s="115"/>
      <c r="M113" s="116"/>
      <c r="N113" s="116"/>
    </row>
    <row r="114" spans="1:15" s="131" customFormat="1" ht="13.5">
      <c r="I114" s="152"/>
      <c r="J114" s="187"/>
      <c r="K114" s="174"/>
      <c r="L114" s="115"/>
      <c r="M114" s="116"/>
      <c r="N114" s="116"/>
    </row>
    <row r="115" spans="1:15" s="131" customFormat="1" ht="13.5">
      <c r="I115" s="152"/>
      <c r="J115" s="187"/>
      <c r="K115" s="174"/>
      <c r="L115" s="115"/>
      <c r="M115" s="116"/>
      <c r="N115" s="116"/>
    </row>
    <row r="116" spans="1:15" s="131" customFormat="1" ht="13.5">
      <c r="A116" s="149" t="s">
        <v>130</v>
      </c>
      <c r="B116" s="149">
        <f>G117</f>
        <v>116</v>
      </c>
      <c r="C116" s="149">
        <f>H117</f>
        <v>10</v>
      </c>
      <c r="D116" s="149">
        <f>I117</f>
        <v>-106</v>
      </c>
      <c r="I116" s="152"/>
      <c r="J116" s="187"/>
      <c r="K116" s="174"/>
      <c r="L116" s="115"/>
      <c r="M116" s="116"/>
      <c r="N116" s="116"/>
    </row>
    <row r="117" spans="1:15" s="131" customFormat="1" ht="13.5">
      <c r="B117" s="131" t="s">
        <v>455</v>
      </c>
      <c r="G117" s="131">
        <f t="shared" si="3"/>
        <v>116</v>
      </c>
      <c r="H117" s="131">
        <v>10</v>
      </c>
      <c r="I117" s="152">
        <f t="shared" si="4"/>
        <v>-106</v>
      </c>
      <c r="J117" s="187">
        <f>Jan!I117+Feb!I117+Mar!I117+Apr!I117+May!I117+Jun!I117+July!I117+Aug!I117+Sep!I117</f>
        <v>-1367.25</v>
      </c>
      <c r="K117" s="174"/>
      <c r="L117" s="115"/>
      <c r="M117" s="116">
        <f>116</f>
        <v>116</v>
      </c>
      <c r="N117" s="116"/>
      <c r="O117" s="131" t="s">
        <v>908</v>
      </c>
    </row>
    <row r="118" spans="1:15" s="131" customFormat="1" ht="13.5">
      <c r="I118" s="152"/>
      <c r="J118" s="187"/>
      <c r="K118" s="174"/>
      <c r="L118" s="115"/>
      <c r="M118" s="116"/>
      <c r="N118" s="116"/>
    </row>
    <row r="119" spans="1:15" s="131" customFormat="1" ht="13.5">
      <c r="A119" s="149" t="s">
        <v>406</v>
      </c>
      <c r="B119" s="149">
        <f>SUM(G120:G121)</f>
        <v>61.97</v>
      </c>
      <c r="C119" s="149">
        <f>SUM(H120:H121)</f>
        <v>65</v>
      </c>
      <c r="D119" s="149">
        <f>C119-B119</f>
        <v>3.0300000000000011</v>
      </c>
      <c r="I119" s="152"/>
      <c r="J119" s="187"/>
      <c r="K119" s="174"/>
      <c r="L119" s="115"/>
      <c r="M119" s="116"/>
      <c r="N119" s="116"/>
    </row>
    <row r="120" spans="1:15" s="131" customFormat="1" ht="13.5">
      <c r="B120" s="131" t="s">
        <v>400</v>
      </c>
      <c r="G120" s="131">
        <f t="shared" si="3"/>
        <v>61.97</v>
      </c>
      <c r="H120" s="131">
        <v>60</v>
      </c>
      <c r="I120" s="152">
        <f t="shared" si="4"/>
        <v>-1.9699999999999989</v>
      </c>
      <c r="J120" s="187">
        <f>Jan!I120+Feb!I120+Mar!I120+Apr!I120+May!I120+Jun!I120+July!I120+Aug!I120+Sep!I120</f>
        <v>-1258.94</v>
      </c>
      <c r="K120" s="174"/>
      <c r="L120" s="115"/>
      <c r="M120" s="115">
        <f>23.05</f>
        <v>23.05</v>
      </c>
      <c r="N120" s="115">
        <f>16.19+22.73</f>
        <v>38.92</v>
      </c>
    </row>
    <row r="121" spans="1:15" s="131" customFormat="1" ht="13.5">
      <c r="B121" s="131" t="s">
        <v>403</v>
      </c>
      <c r="G121" s="131">
        <f t="shared" si="3"/>
        <v>0</v>
      </c>
      <c r="H121" s="131">
        <v>5</v>
      </c>
      <c r="I121" s="152">
        <f t="shared" si="4"/>
        <v>5</v>
      </c>
      <c r="J121" s="187">
        <f>Jan!I121+Feb!I121+Mar!I121+Apr!I121+May!I121+Jun!I121+July!I121+Aug!I121+Sep!I121</f>
        <v>-178.28</v>
      </c>
      <c r="K121" s="174"/>
      <c r="L121" s="115"/>
      <c r="M121" s="115"/>
      <c r="N121" s="115"/>
    </row>
    <row r="122" spans="1:15" s="131" customFormat="1" ht="13.5">
      <c r="I122" s="152"/>
      <c r="J122" s="187"/>
      <c r="K122" s="174"/>
      <c r="L122" s="115"/>
      <c r="M122" s="115"/>
      <c r="N122" s="115"/>
    </row>
    <row r="123" spans="1:15" s="131" customFormat="1" ht="13.5">
      <c r="A123" s="149" t="s">
        <v>132</v>
      </c>
      <c r="B123" s="149">
        <f>G124</f>
        <v>27.89</v>
      </c>
      <c r="C123" s="149">
        <f>H124</f>
        <v>10</v>
      </c>
      <c r="D123" s="149">
        <f>C123-B123</f>
        <v>-17.89</v>
      </c>
      <c r="I123" s="152"/>
      <c r="J123" s="187"/>
      <c r="K123" s="174"/>
      <c r="L123" s="115"/>
      <c r="M123" s="115"/>
      <c r="N123" s="115"/>
    </row>
    <row r="124" spans="1:15" s="131" customFormat="1" ht="13.5">
      <c r="B124" s="131" t="s">
        <v>133</v>
      </c>
      <c r="G124" s="131">
        <f>SUM(L124:N124)</f>
        <v>27.89</v>
      </c>
      <c r="H124" s="131">
        <v>10</v>
      </c>
      <c r="I124" s="152">
        <f>H124-G124</f>
        <v>-17.89</v>
      </c>
      <c r="J124" s="187">
        <f>Jan!I124+Feb!I124+Mar!I124+Apr!I124+May!I124+Jun!I124+July!I124+Aug!I124+Sep!I124</f>
        <v>9.89</v>
      </c>
      <c r="K124" s="174"/>
      <c r="L124" s="115"/>
      <c r="M124" s="115">
        <f>27.89</f>
        <v>27.89</v>
      </c>
      <c r="N124" s="115"/>
    </row>
    <row r="125" spans="1:15" s="131" customFormat="1" ht="13.5">
      <c r="I125" s="152"/>
      <c r="J125" s="187"/>
      <c r="K125" s="174"/>
      <c r="L125" s="115"/>
      <c r="M125" s="115"/>
      <c r="N125" s="115"/>
    </row>
    <row r="126" spans="1:15" s="131" customFormat="1" ht="13.5">
      <c r="A126" s="149" t="s">
        <v>404</v>
      </c>
      <c r="B126" s="149">
        <f>SUM(G127:G128)</f>
        <v>211.72</v>
      </c>
      <c r="C126" s="149">
        <f>SUM(H127:H128)</f>
        <v>35</v>
      </c>
      <c r="D126" s="149">
        <f>C126-B126</f>
        <v>-176.72</v>
      </c>
      <c r="I126" s="152"/>
      <c r="J126" s="187"/>
      <c r="K126" s="174"/>
      <c r="L126" s="115"/>
      <c r="M126" s="115"/>
      <c r="N126" s="115"/>
    </row>
    <row r="127" spans="1:15" s="131" customFormat="1" ht="13.5">
      <c r="B127" s="198" t="s">
        <v>128</v>
      </c>
      <c r="C127" s="198"/>
      <c r="D127" s="198"/>
      <c r="E127" s="198"/>
      <c r="F127" s="198"/>
      <c r="G127" s="131">
        <f>SUM(L127:N127)</f>
        <v>92.37</v>
      </c>
      <c r="H127" s="131">
        <v>20</v>
      </c>
      <c r="I127" s="152">
        <f>H127-G127</f>
        <v>-72.37</v>
      </c>
      <c r="J127" s="187">
        <f>Jan!I127+Feb!I127+Mar!I127+Apr!I127+May!I127+Jun!I127+July!I127+Aug!I127+Sep!I127</f>
        <v>-803.23000000000013</v>
      </c>
      <c r="K127" s="174"/>
      <c r="L127" s="115"/>
      <c r="M127" s="115">
        <v>92.37</v>
      </c>
      <c r="N127" s="115"/>
      <c r="O127" s="131" t="s">
        <v>910</v>
      </c>
    </row>
    <row r="128" spans="1:15" s="131" customFormat="1" ht="13.5">
      <c r="B128" s="198" t="s">
        <v>129</v>
      </c>
      <c r="C128" s="198"/>
      <c r="D128" s="198" t="s">
        <v>405</v>
      </c>
      <c r="E128" s="198"/>
      <c r="F128" s="198"/>
      <c r="G128" s="131">
        <f>SUM(L128:N128)</f>
        <v>119.35</v>
      </c>
      <c r="H128" s="131">
        <v>15</v>
      </c>
      <c r="I128" s="152">
        <f>H128-G128</f>
        <v>-104.35</v>
      </c>
      <c r="J128" s="187">
        <f>Jan!I128+Feb!I128+Mar!I128+Apr!I128+May!I128+Jun!I128+July!I128+Aug!I128+Sep!I128</f>
        <v>-161.76000000000002</v>
      </c>
      <c r="K128" s="174"/>
      <c r="L128" s="115"/>
      <c r="M128" s="115">
        <f>53.96+43.66+81.46-59.73</f>
        <v>119.35</v>
      </c>
      <c r="N128" s="115"/>
      <c r="O128" s="131" t="s">
        <v>906</v>
      </c>
    </row>
    <row r="129" spans="1:15" s="131" customFormat="1" ht="13.5">
      <c r="I129" s="152"/>
      <c r="J129" s="187"/>
      <c r="K129" s="174"/>
      <c r="L129" s="115"/>
      <c r="M129" s="115"/>
      <c r="N129" s="115"/>
    </row>
    <row r="130" spans="1:15" s="131" customFormat="1" ht="14.25" thickBot="1">
      <c r="I130" s="152"/>
      <c r="J130" s="187"/>
      <c r="K130" s="174"/>
      <c r="L130" s="115"/>
      <c r="M130" s="115"/>
      <c r="N130" s="115"/>
    </row>
    <row r="131" spans="1:15" s="131" customFormat="1" ht="14.25" thickBot="1">
      <c r="A131" s="149" t="s">
        <v>436</v>
      </c>
      <c r="B131" s="131">
        <f>SUM(G133:G140)</f>
        <v>533.49</v>
      </c>
      <c r="C131" s="131">
        <f>SUM(H133:H140)</f>
        <v>450</v>
      </c>
      <c r="D131" s="131">
        <f>C131-B131</f>
        <v>-83.490000000000009</v>
      </c>
      <c r="E131" s="185"/>
      <c r="I131" s="152"/>
      <c r="J131" s="187">
        <f>Jan!I131+Feb!I131+Mar!I131+Apr!I131+May!I131+Jun!I131+July!I131+Aug!I131+Sep!I131</f>
        <v>0</v>
      </c>
      <c r="K131" s="174"/>
      <c r="L131" s="115"/>
      <c r="M131" s="115"/>
      <c r="N131" s="115"/>
    </row>
    <row r="132" spans="1:15" s="131" customFormat="1" ht="13.5">
      <c r="A132" s="149" t="s">
        <v>437</v>
      </c>
      <c r="I132" s="152"/>
      <c r="J132" s="187"/>
      <c r="K132" s="174"/>
      <c r="L132" s="115"/>
      <c r="M132" s="115"/>
      <c r="N132" s="115"/>
    </row>
    <row r="133" spans="1:15" s="131" customFormat="1" ht="13.5">
      <c r="A133" s="149" t="s">
        <v>418</v>
      </c>
      <c r="B133" s="131" t="s">
        <v>445</v>
      </c>
      <c r="G133" s="131">
        <f t="shared" ref="G133:G140" si="5">SUM(L133:N133)</f>
        <v>0</v>
      </c>
      <c r="H133" s="131">
        <v>100</v>
      </c>
      <c r="I133" s="152">
        <f t="shared" ref="I133:I140" si="6">H133-G133</f>
        <v>100</v>
      </c>
      <c r="J133" s="187">
        <f>Jan!I133+Feb!I133+Mar!I133+Apr!I133+May!I133+Jun!I133+July!I133+Aug!I133+Sep!I133</f>
        <v>900</v>
      </c>
      <c r="K133" s="174"/>
      <c r="L133" s="115"/>
      <c r="M133" s="115"/>
      <c r="N133" s="115"/>
    </row>
    <row r="134" spans="1:15" s="131" customFormat="1" ht="13.5">
      <c r="A134" s="149" t="s">
        <v>516</v>
      </c>
      <c r="I134" s="152"/>
      <c r="J134" s="187"/>
      <c r="K134" s="174"/>
      <c r="L134" s="115"/>
      <c r="M134" s="115"/>
      <c r="N134" s="115"/>
    </row>
    <row r="135" spans="1:15" s="131" customFormat="1" ht="13.5">
      <c r="B135" s="131" t="s">
        <v>401</v>
      </c>
      <c r="G135" s="131">
        <f t="shared" si="5"/>
        <v>235.7</v>
      </c>
      <c r="H135" s="131">
        <v>100</v>
      </c>
      <c r="I135" s="152">
        <f t="shared" si="6"/>
        <v>-135.69999999999999</v>
      </c>
      <c r="J135" s="187">
        <f>Jan!I135+Feb!I135+Mar!I135+Apr!I135+May!I135+Jun!I135+July!I135+Aug!I135+Sep!I135</f>
        <v>340.87999999999994</v>
      </c>
      <c r="K135" s="174"/>
      <c r="L135" s="115">
        <v>40</v>
      </c>
      <c r="M135" s="115">
        <f>15.63+5.66+10.69+2.3+90</f>
        <v>124.28</v>
      </c>
      <c r="N135" s="115">
        <f>28.1+5.98+18.67+18.67</f>
        <v>71.42</v>
      </c>
    </row>
    <row r="136" spans="1:15" s="131" customFormat="1" ht="13.5">
      <c r="B136" s="131" t="s">
        <v>402</v>
      </c>
      <c r="G136" s="131">
        <f t="shared" si="5"/>
        <v>148.88</v>
      </c>
      <c r="H136" s="131">
        <v>100</v>
      </c>
      <c r="I136" s="152">
        <f t="shared" si="6"/>
        <v>-48.879999999999995</v>
      </c>
      <c r="J136" s="187">
        <f>Jan!I136+Feb!I136+Mar!I136+Apr!I136+May!I136+Jun!I136+July!I136+Aug!I136+Sep!I136</f>
        <v>651.17999999999995</v>
      </c>
      <c r="K136" s="174"/>
      <c r="L136" s="115"/>
      <c r="M136" s="115">
        <f>44.32+37.53</f>
        <v>81.849999999999994</v>
      </c>
      <c r="N136" s="115">
        <v>67.03</v>
      </c>
    </row>
    <row r="137" spans="1:15" s="131" customFormat="1" ht="13.5">
      <c r="B137" s="131" t="s">
        <v>861</v>
      </c>
      <c r="G137" s="131">
        <f t="shared" si="5"/>
        <v>148.91000000000003</v>
      </c>
      <c r="H137" s="131">
        <v>30</v>
      </c>
      <c r="I137" s="152">
        <f t="shared" si="6"/>
        <v>-118.91000000000003</v>
      </c>
      <c r="J137" s="187">
        <f>Jan!I137+Feb!I137+Mar!I137+Apr!I137+May!I137+Jun!I137+July!I137+Aug!I137+Sep!I137</f>
        <v>83.089999999999975</v>
      </c>
      <c r="K137" s="174"/>
      <c r="L137" s="115"/>
      <c r="M137" s="115"/>
      <c r="N137" s="115">
        <f>64.94+73.49+24.12-13.64</f>
        <v>148.91000000000003</v>
      </c>
      <c r="O137" s="131" t="s">
        <v>862</v>
      </c>
    </row>
    <row r="138" spans="1:15" s="131" customFormat="1" ht="13.5">
      <c r="B138" s="131" t="s">
        <v>127</v>
      </c>
      <c r="G138" s="131">
        <f t="shared" si="5"/>
        <v>0</v>
      </c>
      <c r="H138" s="131">
        <v>50</v>
      </c>
      <c r="I138" s="152">
        <f t="shared" si="6"/>
        <v>50</v>
      </c>
      <c r="J138" s="187">
        <f>Jan!I138+Feb!I138+Mar!I138+Apr!I138+May!I138+Jun!I138+July!I138+Aug!I138+Sep!I138</f>
        <v>-50</v>
      </c>
      <c r="K138" s="174"/>
      <c r="L138" s="115"/>
      <c r="M138" s="115"/>
      <c r="N138" s="115"/>
    </row>
    <row r="139" spans="1:15" s="131" customFormat="1" ht="13.5">
      <c r="I139" s="152"/>
      <c r="J139" s="187"/>
      <c r="K139" s="179"/>
      <c r="L139" s="115"/>
      <c r="M139" s="115"/>
      <c r="N139" s="115"/>
    </row>
    <row r="140" spans="1:15" s="131" customFormat="1" ht="13.5">
      <c r="A140" s="149" t="s">
        <v>431</v>
      </c>
      <c r="G140" s="131">
        <f t="shared" si="5"/>
        <v>0</v>
      </c>
      <c r="H140" s="131">
        <v>70</v>
      </c>
      <c r="I140" s="152">
        <f t="shared" si="6"/>
        <v>70</v>
      </c>
      <c r="J140" s="187">
        <f>Jan!I140+Feb!I140+Mar!I140+Apr!I140+May!I140+Jun!I140+July!I140+Aug!I140+Sep!I140</f>
        <v>-800</v>
      </c>
      <c r="K140" s="179"/>
      <c r="L140" s="115"/>
      <c r="M140" s="115"/>
      <c r="N140" s="115"/>
    </row>
    <row r="141" spans="1:15">
      <c r="J141" s="190"/>
    </row>
    <row r="142" spans="1:15">
      <c r="J142" s="190"/>
    </row>
    <row r="143" spans="1:15">
      <c r="J143" s="190"/>
    </row>
    <row r="144" spans="1:15">
      <c r="J144" s="190"/>
    </row>
    <row r="145" spans="10:10">
      <c r="J145" s="190"/>
    </row>
    <row r="146" spans="10:10">
      <c r="J146" s="190"/>
    </row>
    <row r="147" spans="10:10">
      <c r="J147" s="190"/>
    </row>
    <row r="148" spans="10:10">
      <c r="J148" s="190"/>
    </row>
    <row r="149" spans="10:10">
      <c r="J149" s="190"/>
    </row>
    <row r="150" spans="10:10">
      <c r="J150" s="190"/>
    </row>
  </sheetData>
  <sheetProtection selectLockedCells="1" selectUnlockedCells="1"/>
  <pageMargins left="0.75" right="0.75" top="1" bottom="1" header="0.51180555555555551" footer="0.51180555555555551"/>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0"/>
  <sheetViews>
    <sheetView topLeftCell="B21" zoomScale="84" zoomScaleNormal="84" workbookViewId="0">
      <selection activeCell="E46" sqref="E46"/>
    </sheetView>
  </sheetViews>
  <sheetFormatPr defaultColWidth="9" defaultRowHeight="15.75"/>
  <cols>
    <col min="1" max="1" width="24.42578125" style="165" customWidth="1"/>
    <col min="2" max="2" width="18" style="156" customWidth="1"/>
    <col min="3" max="3" width="17.140625" style="156" customWidth="1"/>
    <col min="4" max="5" width="16.5703125" style="156" customWidth="1"/>
    <col min="6" max="6" width="15.28515625" style="156" customWidth="1"/>
    <col min="7" max="7" width="13.5703125" style="156" customWidth="1"/>
    <col min="8" max="8" width="13.85546875" style="156" customWidth="1"/>
    <col min="9" max="10" width="14" style="156" customWidth="1"/>
    <col min="11" max="11" width="2.28515625" style="172" customWidth="1"/>
    <col min="12" max="12" width="11.5703125" style="156" customWidth="1"/>
    <col min="13" max="13" width="11.85546875" style="156" customWidth="1"/>
    <col min="14" max="15" width="11.5703125" style="156" customWidth="1"/>
    <col min="16" max="16" width="1.7109375" style="156" customWidth="1"/>
    <col min="17" max="17" width="11.7109375" style="156" customWidth="1"/>
    <col min="18" max="18" width="11.5703125" style="156" customWidth="1"/>
    <col min="19" max="16384" width="9" style="156"/>
  </cols>
  <sheetData>
    <row r="1" spans="1:16">
      <c r="A1" s="162" t="s">
        <v>277</v>
      </c>
      <c r="B1" s="163">
        <v>2013</v>
      </c>
      <c r="C1" s="163"/>
      <c r="L1" s="156" t="s">
        <v>519</v>
      </c>
    </row>
    <row r="2" spans="1:16">
      <c r="A2" s="162" t="s">
        <v>264</v>
      </c>
      <c r="B2" s="164" t="s">
        <v>16</v>
      </c>
      <c r="C2" s="164"/>
    </row>
    <row r="3" spans="1:16">
      <c r="O3" s="166"/>
    </row>
    <row r="4" spans="1:16">
      <c r="A4" s="162" t="s">
        <v>4</v>
      </c>
      <c r="B4" s="167">
        <f>SUM(G5:G9)</f>
        <v>7189.29</v>
      </c>
      <c r="C4" s="167"/>
      <c r="G4" s="156" t="s">
        <v>71</v>
      </c>
      <c r="L4" s="168"/>
      <c r="O4" s="166"/>
    </row>
    <row r="5" spans="1:16">
      <c r="B5" s="156" t="s">
        <v>27</v>
      </c>
      <c r="C5" s="156">
        <v>3282.96</v>
      </c>
      <c r="D5" s="166">
        <v>3282.97</v>
      </c>
      <c r="F5" s="156">
        <v>0</v>
      </c>
      <c r="G5" s="168">
        <f>SUM(C5:F5)</f>
        <v>6565.93</v>
      </c>
      <c r="H5" s="168"/>
      <c r="I5" s="168"/>
      <c r="J5" s="168"/>
      <c r="K5" s="173"/>
      <c r="L5" s="168"/>
      <c r="O5" s="166"/>
    </row>
    <row r="6" spans="1:16">
      <c r="B6" s="156" t="s">
        <v>29</v>
      </c>
      <c r="D6" s="166"/>
      <c r="G6" s="168">
        <f>SUM(C6:F6)</f>
        <v>0</v>
      </c>
      <c r="H6" s="168"/>
      <c r="I6" s="168"/>
      <c r="J6" s="168"/>
      <c r="K6" s="173"/>
      <c r="L6" s="168"/>
      <c r="O6" s="166"/>
    </row>
    <row r="7" spans="1:16">
      <c r="B7" s="156" t="s">
        <v>327</v>
      </c>
      <c r="G7" s="168">
        <f>SUM(C7:F7)</f>
        <v>0</v>
      </c>
      <c r="H7" s="168"/>
      <c r="I7" s="168"/>
      <c r="J7" s="168"/>
      <c r="K7" s="173"/>
      <c r="L7" s="168"/>
      <c r="O7" s="166"/>
    </row>
    <row r="8" spans="1:16">
      <c r="B8" s="156" t="s">
        <v>30</v>
      </c>
      <c r="C8" s="156">
        <v>311.68</v>
      </c>
      <c r="D8" s="156">
        <v>311.68</v>
      </c>
      <c r="G8" s="168">
        <f>SUM(C8:F8)</f>
        <v>623.36</v>
      </c>
      <c r="H8" s="168"/>
      <c r="I8" s="168"/>
      <c r="J8" s="168"/>
      <c r="K8" s="173"/>
      <c r="L8" s="168" t="s">
        <v>520</v>
      </c>
      <c r="P8" s="166"/>
    </row>
    <row r="10" spans="1:16" s="131" customFormat="1" ht="13.5">
      <c r="A10" s="149"/>
      <c r="B10" s="153"/>
      <c r="G10" s="140"/>
      <c r="I10" s="152" t="s">
        <v>80</v>
      </c>
      <c r="J10" s="187" t="s">
        <v>439</v>
      </c>
      <c r="K10" s="174"/>
    </row>
    <row r="11" spans="1:16" s="131" customFormat="1" ht="13.5">
      <c r="A11" s="149"/>
      <c r="B11" s="153"/>
      <c r="G11" s="140" t="s">
        <v>331</v>
      </c>
      <c r="H11" s="131" t="s">
        <v>84</v>
      </c>
      <c r="I11" s="154" t="s">
        <v>83</v>
      </c>
      <c r="J11" s="188" t="s">
        <v>83</v>
      </c>
      <c r="K11" s="175"/>
    </row>
    <row r="12" spans="1:16" s="131" customFormat="1" ht="13.5">
      <c r="A12" s="149" t="s">
        <v>422</v>
      </c>
      <c r="B12" s="153"/>
      <c r="D12" s="131" t="s">
        <v>426</v>
      </c>
      <c r="E12" s="131">
        <f>G12/B4</f>
        <v>0.16413303678110078</v>
      </c>
      <c r="G12" s="132">
        <f>Tithe!D15</f>
        <v>1180</v>
      </c>
      <c r="H12" s="131">
        <v>800</v>
      </c>
      <c r="I12" s="155">
        <f>H12-G12</f>
        <v>-380</v>
      </c>
      <c r="J12" s="189">
        <f>Jan!I12+Feb!I12+Mar!I12+Apr!I12+May!I12+Jun!I12+July!I12+Aug!I12+Sep!I12+Oct!I12</f>
        <v>400</v>
      </c>
      <c r="K12" s="176"/>
    </row>
    <row r="13" spans="1:16" s="131" customFormat="1" ht="13.5">
      <c r="A13" s="149"/>
      <c r="B13" s="153"/>
      <c r="G13" s="140"/>
      <c r="I13" s="155"/>
      <c r="J13" s="189"/>
      <c r="K13" s="176"/>
    </row>
    <row r="14" spans="1:16" s="131" customFormat="1" ht="13.5">
      <c r="A14" s="149" t="s">
        <v>427</v>
      </c>
      <c r="B14" s="153"/>
      <c r="G14" s="140"/>
      <c r="I14" s="155"/>
      <c r="J14" s="189"/>
      <c r="K14" s="176"/>
    </row>
    <row r="15" spans="1:16" s="131" customFormat="1" ht="13.5">
      <c r="B15" s="149" t="s">
        <v>329</v>
      </c>
      <c r="G15" s="132">
        <v>750</v>
      </c>
      <c r="H15" s="131">
        <v>760</v>
      </c>
      <c r="I15" s="155">
        <f t="shared" ref="I15:I26" si="0">H15-G15</f>
        <v>10</v>
      </c>
      <c r="J15" s="189">
        <f>Jan!I15+Feb!I15+Mar!I15+Apr!I15+May!I15+Jun!I15+July!I15+Aug!I15+Sep!I15+Oct!I15</f>
        <v>20</v>
      </c>
      <c r="K15" s="176"/>
    </row>
    <row r="16" spans="1:16" s="131" customFormat="1" ht="13.5">
      <c r="B16" s="149" t="s">
        <v>395</v>
      </c>
      <c r="G16" s="132">
        <v>200</v>
      </c>
      <c r="H16" s="131">
        <v>200</v>
      </c>
      <c r="I16" s="155">
        <f t="shared" si="0"/>
        <v>0</v>
      </c>
      <c r="J16" s="189">
        <f>Jan!I16+Feb!I16+Mar!I16+Apr!I16+May!I16+Jun!I16+July!I16+Aug!I16+Sep!I16+Oct!I16</f>
        <v>0</v>
      </c>
      <c r="K16" s="176"/>
    </row>
    <row r="17" spans="1:12" s="131" customFormat="1" ht="13.5">
      <c r="B17" s="149" t="s">
        <v>460</v>
      </c>
      <c r="G17" s="132">
        <v>300</v>
      </c>
      <c r="H17" s="131">
        <v>300</v>
      </c>
      <c r="I17" s="155">
        <f t="shared" si="0"/>
        <v>0</v>
      </c>
      <c r="J17" s="189">
        <f>Jan!I17+Feb!I17+Mar!I17+Apr!I17+May!I17+Jun!I17+July!I17+Aug!I17+Sep!I17+Oct!I17</f>
        <v>0</v>
      </c>
      <c r="K17" s="176"/>
    </row>
    <row r="18" spans="1:12" s="131" customFormat="1" ht="13.5">
      <c r="B18" s="149" t="s">
        <v>396</v>
      </c>
      <c r="G18" s="132">
        <v>200</v>
      </c>
      <c r="H18" s="131">
        <v>200</v>
      </c>
      <c r="I18" s="155">
        <f t="shared" si="0"/>
        <v>0</v>
      </c>
      <c r="J18" s="189">
        <f>Jan!I18+Feb!I18+Mar!I18+Apr!I18+May!I18+Jun!I18+July!I18+Aug!I18+Sep!I18+Oct!I18</f>
        <v>0</v>
      </c>
      <c r="K18" s="176"/>
    </row>
    <row r="19" spans="1:12" s="131" customFormat="1" ht="13.5">
      <c r="B19" s="149" t="s">
        <v>461</v>
      </c>
      <c r="G19" s="132">
        <v>300</v>
      </c>
      <c r="H19" s="131">
        <v>300</v>
      </c>
      <c r="I19" s="155">
        <f t="shared" si="0"/>
        <v>0</v>
      </c>
      <c r="J19" s="189">
        <f>Jan!I19+Feb!I19+Mar!I19+Apr!I19+May!I19+Jun!I19+July!I19+Aug!I19+Sep!I19+Oct!I19</f>
        <v>0</v>
      </c>
      <c r="K19" s="176"/>
    </row>
    <row r="20" spans="1:12" s="131" customFormat="1" ht="13.5">
      <c r="B20" s="149" t="s">
        <v>397</v>
      </c>
      <c r="G20" s="132">
        <v>50</v>
      </c>
      <c r="H20" s="131">
        <v>50</v>
      </c>
      <c r="I20" s="155">
        <f t="shared" si="0"/>
        <v>0</v>
      </c>
      <c r="J20" s="189">
        <f>Jan!I20+Feb!I20+Mar!I20+Apr!I20+May!I20+Jun!I20+July!I20+Aug!I20+Sep!I20+Oct!I20</f>
        <v>0</v>
      </c>
      <c r="K20" s="176"/>
    </row>
    <row r="21" spans="1:12" s="131" customFormat="1" ht="13.5">
      <c r="A21" s="149"/>
      <c r="B21" s="153"/>
      <c r="G21" s="140"/>
      <c r="I21" s="155"/>
      <c r="J21" s="189"/>
      <c r="K21" s="176"/>
    </row>
    <row r="22" spans="1:12" s="131" customFormat="1" ht="13.5">
      <c r="A22" s="149" t="s">
        <v>428</v>
      </c>
      <c r="B22" s="149" t="s">
        <v>594</v>
      </c>
      <c r="G22" s="140">
        <v>500</v>
      </c>
      <c r="H22" s="131">
        <v>500</v>
      </c>
      <c r="I22" s="155">
        <f t="shared" si="0"/>
        <v>0</v>
      </c>
      <c r="J22" s="189">
        <f>Jan!I22+Feb!I22+Mar!I22+Apr!I22+May!I22+Jun!I22+July!I22+Aug!I22+Sep!I22+Oct!I22</f>
        <v>0</v>
      </c>
      <c r="K22" s="176"/>
    </row>
    <row r="23" spans="1:12" s="131" customFormat="1" ht="13.5">
      <c r="A23" s="149"/>
      <c r="B23" s="153" t="s">
        <v>595</v>
      </c>
      <c r="G23" s="140"/>
      <c r="I23" s="155"/>
      <c r="J23" s="189"/>
      <c r="K23" s="176"/>
    </row>
    <row r="24" spans="1:12" s="131" customFormat="1" ht="13.5">
      <c r="A24" s="149" t="s">
        <v>429</v>
      </c>
      <c r="B24" s="153"/>
      <c r="G24" s="140"/>
      <c r="I24" s="155"/>
      <c r="J24" s="189"/>
      <c r="K24" s="176"/>
    </row>
    <row r="25" spans="1:12" s="131" customFormat="1" ht="13.5">
      <c r="B25" s="149" t="s">
        <v>363</v>
      </c>
      <c r="G25" s="140"/>
      <c r="H25" s="131">
        <v>1500</v>
      </c>
      <c r="I25" s="155">
        <f t="shared" si="0"/>
        <v>1500</v>
      </c>
      <c r="J25" s="189">
        <f>Jan!I25+Feb!I25+Mar!I25+Apr!I25+May!I25+Jun!I25+July!I25+Aug!I25+Sep!I25+Oct!I25</f>
        <v>12500</v>
      </c>
      <c r="K25" s="176"/>
    </row>
    <row r="26" spans="1:12" s="131" customFormat="1" ht="13.5">
      <c r="B26" s="149" t="s">
        <v>399</v>
      </c>
      <c r="H26" s="131">
        <v>500</v>
      </c>
      <c r="I26" s="155">
        <f t="shared" si="0"/>
        <v>500</v>
      </c>
      <c r="J26" s="192">
        <f>Jan!I26+Feb!I26+Mar!I26+Apr!I26+May!I26+Jun!I26+July!I26+Aug!I26+Sep!I26+Oct!I26</f>
        <v>5000</v>
      </c>
      <c r="K26" s="176"/>
    </row>
    <row r="27" spans="1:12" s="131" customFormat="1" ht="13.5">
      <c r="A27" s="149"/>
      <c r="G27" s="157"/>
      <c r="H27" s="157"/>
      <c r="I27" s="159"/>
      <c r="J27" s="171"/>
      <c r="K27" s="171"/>
    </row>
    <row r="28" spans="1:12" s="131" customFormat="1" ht="14.25" thickBot="1">
      <c r="A28" s="149"/>
      <c r="B28" s="149"/>
      <c r="G28" s="158">
        <f>SUM(G12:G26)</f>
        <v>3480</v>
      </c>
      <c r="H28" s="158">
        <f>SUM(H12:H26)</f>
        <v>5110</v>
      </c>
      <c r="I28" s="158">
        <f>SUM(I12:I26)</f>
        <v>1630</v>
      </c>
      <c r="J28" s="158">
        <f>SUM(J12:J26)</f>
        <v>17920</v>
      </c>
      <c r="K28" s="177"/>
    </row>
    <row r="29" spans="1:12" s="131" customFormat="1" ht="14.25" thickTop="1">
      <c r="A29" s="149"/>
      <c r="B29" s="149"/>
      <c r="G29" s="142"/>
      <c r="H29" s="142"/>
      <c r="I29" s="142"/>
      <c r="J29" s="142"/>
      <c r="K29" s="177"/>
    </row>
    <row r="30" spans="1:12" s="131" customFormat="1" ht="14.25" thickBot="1">
      <c r="A30" s="149"/>
      <c r="B30" s="149"/>
      <c r="G30" s="142"/>
      <c r="H30" s="142"/>
      <c r="I30" s="142"/>
      <c r="J30" s="142"/>
      <c r="K30" s="177"/>
    </row>
    <row r="31" spans="1:12" s="131" customFormat="1" ht="12.75" customHeight="1" thickBot="1">
      <c r="A31" s="149" t="s">
        <v>442</v>
      </c>
      <c r="B31" s="149"/>
      <c r="G31" s="185"/>
      <c r="H31" s="142"/>
      <c r="I31" s="142"/>
      <c r="J31" s="142"/>
      <c r="K31" s="177"/>
      <c r="L31" s="142"/>
    </row>
    <row r="32" spans="1:12" s="131" customFormat="1" ht="14.25" thickBot="1">
      <c r="A32" s="149"/>
      <c r="B32" s="149"/>
      <c r="G32" s="142"/>
      <c r="H32" s="142"/>
      <c r="I32" s="142"/>
      <c r="J32" s="142"/>
      <c r="K32" s="177"/>
      <c r="L32" s="142"/>
    </row>
    <row r="33" spans="1:15" s="131" customFormat="1" ht="14.25" thickBot="1">
      <c r="A33" s="149" t="s">
        <v>425</v>
      </c>
      <c r="B33" s="149"/>
      <c r="G33" s="169">
        <f>B4-G28</f>
        <v>3709.29</v>
      </c>
      <c r="H33" s="142"/>
      <c r="I33" s="142"/>
      <c r="J33" s="142"/>
      <c r="K33" s="177"/>
      <c r="L33" s="142"/>
    </row>
    <row r="34" spans="1:15" s="131" customFormat="1" ht="13.5">
      <c r="A34" s="149"/>
      <c r="B34" s="149"/>
      <c r="G34" s="170"/>
      <c r="H34" s="142"/>
      <c r="I34" s="142"/>
      <c r="J34" s="142"/>
      <c r="K34" s="177"/>
      <c r="L34" s="142"/>
    </row>
    <row r="35" spans="1:15" s="131" customFormat="1" ht="13.5">
      <c r="A35" s="149" t="s">
        <v>432</v>
      </c>
      <c r="B35" s="149"/>
      <c r="G35" s="170">
        <f>E46</f>
        <v>3178.96</v>
      </c>
      <c r="H35" s="142"/>
      <c r="I35" s="142"/>
      <c r="J35" s="142"/>
      <c r="K35" s="177"/>
      <c r="L35" s="142"/>
    </row>
    <row r="36" spans="1:15" s="131" customFormat="1" ht="13.5">
      <c r="A36" s="149"/>
      <c r="B36" s="149"/>
      <c r="G36" s="170"/>
      <c r="H36" s="142"/>
      <c r="I36" s="142"/>
      <c r="J36" s="142"/>
      <c r="K36" s="177"/>
      <c r="L36" s="142"/>
    </row>
    <row r="37" spans="1:15" s="131" customFormat="1" ht="13.5">
      <c r="A37" s="149" t="s">
        <v>433</v>
      </c>
      <c r="B37" s="149"/>
      <c r="G37" s="170">
        <f>B131</f>
        <v>442.12</v>
      </c>
      <c r="H37" s="142" t="s">
        <v>435</v>
      </c>
      <c r="I37" s="142"/>
      <c r="J37" s="142"/>
      <c r="K37" s="177"/>
      <c r="L37" s="142"/>
    </row>
    <row r="38" spans="1:15" s="131" customFormat="1" ht="14.25" thickBot="1">
      <c r="A38" s="149"/>
      <c r="B38" s="149"/>
      <c r="G38" s="170"/>
      <c r="H38" s="142"/>
      <c r="I38" s="142"/>
      <c r="J38" s="142"/>
      <c r="K38" s="177"/>
      <c r="L38" s="142"/>
    </row>
    <row r="39" spans="1:15" s="131" customFormat="1" ht="14.25" thickBot="1">
      <c r="A39" s="149" t="s">
        <v>430</v>
      </c>
      <c r="B39" s="149"/>
      <c r="G39" s="186">
        <f>G33-G35-G37+G31</f>
        <v>88.209999999999923</v>
      </c>
      <c r="H39" s="142"/>
      <c r="I39" s="142"/>
      <c r="J39" s="142"/>
      <c r="K39" s="177"/>
      <c r="L39" s="142"/>
    </row>
    <row r="40" spans="1:15" s="131" customFormat="1" ht="13.5">
      <c r="A40" s="149"/>
      <c r="B40" s="149"/>
      <c r="G40" s="196"/>
      <c r="H40" s="142"/>
      <c r="I40" s="142"/>
      <c r="J40" s="142"/>
      <c r="K40" s="177"/>
      <c r="L40" s="142"/>
    </row>
    <row r="41" spans="1:15" s="131" customFormat="1" ht="13.5">
      <c r="A41" s="197" t="s">
        <v>478</v>
      </c>
      <c r="B41" s="149"/>
      <c r="G41" s="196"/>
      <c r="H41" s="142"/>
      <c r="I41" s="142"/>
      <c r="J41" s="142"/>
      <c r="K41" s="177"/>
      <c r="L41" s="142"/>
    </row>
    <row r="42" spans="1:15" s="131" customFormat="1" ht="14.25">
      <c r="B42" s="197" t="s">
        <v>464</v>
      </c>
      <c r="C42" s="150">
        <f>H57+H58+H63+H64+H72+H73+H74+H81+H82+H83+H88+H91+H92+H93+H94+H95+H100+H104+H105+H106+H107+H108+H109+H110+H113+H117+H120+H121+H124</f>
        <v>1650</v>
      </c>
      <c r="D42" s="197" t="s">
        <v>465</v>
      </c>
      <c r="E42" s="150">
        <f>G57+G58+G63+G64+G72+G73+G74+G81+G82+G83+G88+G91+G92+G93+G94+G95+G100+G104+G105+G106+G107+G108+G109+G110+G113+G117+G120+G121+G124</f>
        <v>2007.54</v>
      </c>
      <c r="G42" s="196"/>
      <c r="H42" s="142"/>
      <c r="I42" s="142"/>
      <c r="J42" s="142"/>
      <c r="K42" s="177"/>
      <c r="L42" s="291"/>
      <c r="M42" s="267">
        <f>M46+M44-M43</f>
        <v>1717.0600000000002</v>
      </c>
      <c r="N42" s="267">
        <f>N46</f>
        <v>985.63000000000011</v>
      </c>
    </row>
    <row r="43" spans="1:15" s="131" customFormat="1" ht="14.25">
      <c r="A43" s="149"/>
      <c r="B43" s="149"/>
      <c r="I43" s="152"/>
      <c r="J43" s="187" t="s">
        <v>439</v>
      </c>
      <c r="K43" s="174"/>
      <c r="L43" s="267" t="s">
        <v>534</v>
      </c>
      <c r="M43" s="267"/>
      <c r="N43" s="267"/>
    </row>
    <row r="44" spans="1:15" s="131" customFormat="1" ht="14.25">
      <c r="A44" s="149"/>
      <c r="B44" s="149"/>
      <c r="G44" s="140"/>
      <c r="I44" s="152" t="s">
        <v>80</v>
      </c>
      <c r="J44" s="187" t="s">
        <v>440</v>
      </c>
      <c r="K44" s="174"/>
      <c r="L44" s="267" t="s">
        <v>515</v>
      </c>
      <c r="M44" s="267">
        <v>0</v>
      </c>
      <c r="N44" s="267"/>
    </row>
    <row r="45" spans="1:15" s="131" customFormat="1" ht="14.25" thickBot="1">
      <c r="B45" s="149"/>
      <c r="G45" s="140" t="s">
        <v>331</v>
      </c>
      <c r="H45" s="131" t="s">
        <v>84</v>
      </c>
      <c r="I45" s="154" t="s">
        <v>83</v>
      </c>
      <c r="J45" s="188" t="s">
        <v>441</v>
      </c>
      <c r="K45" s="175"/>
      <c r="L45" s="180" t="s">
        <v>332</v>
      </c>
      <c r="M45" s="181" t="s">
        <v>333</v>
      </c>
      <c r="N45" s="181" t="s">
        <v>334</v>
      </c>
      <c r="O45" s="131" t="s">
        <v>930</v>
      </c>
    </row>
    <row r="46" spans="1:15" s="131" customFormat="1" ht="14.25" thickBot="1">
      <c r="A46" s="149" t="s">
        <v>434</v>
      </c>
      <c r="D46"/>
      <c r="E46" s="262">
        <f>B48+B56+B62+B66+B71+B80+B85+B90+B97+B103+B112+B116+B119+B123+B126</f>
        <v>3178.96</v>
      </c>
      <c r="G46" s="191">
        <f>SUM(G48:G140)</f>
        <v>3621.0800000000004</v>
      </c>
      <c r="H46" s="191">
        <f>SUM(H48:H140)</f>
        <v>4603.1500000000005</v>
      </c>
      <c r="I46" s="191">
        <f>H46-G46</f>
        <v>982.07000000000016</v>
      </c>
      <c r="J46" s="191">
        <f>SUM(J48:J140)</f>
        <v>-10344.89</v>
      </c>
      <c r="K46" s="178"/>
      <c r="L46" s="182">
        <f>SUM(L49:L140)</f>
        <v>918.39000000000033</v>
      </c>
      <c r="M46" s="182">
        <f>SUM(M49:M140)</f>
        <v>1717.0600000000002</v>
      </c>
      <c r="N46" s="244">
        <f>SUM(N49:N140)</f>
        <v>985.63000000000011</v>
      </c>
      <c r="O46" s="131" t="s">
        <v>917</v>
      </c>
    </row>
    <row r="47" spans="1:15" s="131" customFormat="1" ht="13.5">
      <c r="A47" s="131" t="s">
        <v>421</v>
      </c>
      <c r="I47" s="152"/>
      <c r="J47" s="187"/>
      <c r="K47" s="174"/>
      <c r="L47" s="115"/>
      <c r="M47" s="116"/>
      <c r="N47" s="116"/>
    </row>
    <row r="48" spans="1:15" s="131" customFormat="1" ht="13.5">
      <c r="A48" s="149" t="s">
        <v>547</v>
      </c>
      <c r="B48" s="149">
        <f>SUM(G49:G54)</f>
        <v>503.3100000000004</v>
      </c>
      <c r="C48" s="149">
        <f>SUM(H49:H54)</f>
        <v>1739.6500000000005</v>
      </c>
      <c r="D48" s="149">
        <f>SUM(I49:I54)</f>
        <v>1236.3399999999999</v>
      </c>
      <c r="I48" s="152"/>
      <c r="J48" s="187"/>
      <c r="K48" s="174"/>
      <c r="L48" s="115"/>
      <c r="M48" s="116"/>
      <c r="N48" s="116"/>
    </row>
    <row r="49" spans="1:15" s="131" customFormat="1" ht="13.5">
      <c r="B49" s="131" t="s">
        <v>550</v>
      </c>
      <c r="G49" s="131">
        <f t="shared" ref="G49:G54" si="1">SUM(L49:N49)</f>
        <v>0</v>
      </c>
      <c r="H49" s="131">
        <v>0</v>
      </c>
      <c r="I49" s="152">
        <f t="shared" ref="I49:I54" si="2">H49-G49</f>
        <v>0</v>
      </c>
      <c r="J49" s="187">
        <f>Jan!I49+Feb!I49+Mar!I49+Apr!I49+May!I49+Jun!I49+July!I49+Aug!I49+Sep!I49+Oct!I49</f>
        <v>-2426.06</v>
      </c>
      <c r="K49" s="174"/>
      <c r="L49" s="115"/>
      <c r="M49" s="116"/>
      <c r="N49" s="116"/>
    </row>
    <row r="50" spans="1:15" s="131" customFormat="1" ht="13.5">
      <c r="B50" s="131" t="s">
        <v>622</v>
      </c>
      <c r="G50" s="131">
        <f t="shared" si="1"/>
        <v>13.67</v>
      </c>
      <c r="H50" s="131">
        <v>1250</v>
      </c>
      <c r="I50" s="152">
        <f t="shared" si="2"/>
        <v>1236.33</v>
      </c>
      <c r="J50" s="187">
        <f>Jan!I50+Feb!I50+Mar!I50+Apr!I50+May!I50+Jun!I50+July!I50+Aug!I50+Sep!I50+Oct!I50</f>
        <v>-2552.6600000000017</v>
      </c>
      <c r="K50" s="174"/>
      <c r="L50" s="115"/>
      <c r="M50" s="116"/>
      <c r="N50" s="116">
        <v>13.67</v>
      </c>
      <c r="O50" s="231" t="s">
        <v>926</v>
      </c>
    </row>
    <row r="51" spans="1:15" s="131" customFormat="1" ht="13.5">
      <c r="B51" s="131" t="s">
        <v>624</v>
      </c>
      <c r="G51" s="131">
        <f t="shared" si="1"/>
        <v>540.45000000000005</v>
      </c>
      <c r="H51" s="131">
        <v>540.46</v>
      </c>
      <c r="I51" s="152">
        <f t="shared" si="2"/>
        <v>9.9999999999909051E-3</v>
      </c>
      <c r="J51" s="187">
        <f>Jan!I51+Feb!I51+Mar!I51+Apr!I51+May!I51+Jun!I51+July!I51+Aug!I51+Sep!I51+Oct!I51</f>
        <v>239.13</v>
      </c>
      <c r="K51" s="174"/>
      <c r="L51" s="115">
        <v>540.45000000000005</v>
      </c>
      <c r="M51" s="116"/>
      <c r="N51" s="116"/>
    </row>
    <row r="52" spans="1:15" s="131" customFormat="1" ht="13.5">
      <c r="B52" s="131" t="s">
        <v>551</v>
      </c>
      <c r="G52" s="131">
        <f t="shared" si="1"/>
        <v>1636.68</v>
      </c>
      <c r="H52" s="131">
        <v>1636.68</v>
      </c>
      <c r="I52" s="152">
        <f t="shared" si="2"/>
        <v>0</v>
      </c>
      <c r="J52" s="187">
        <f>Jan!I52+Feb!I52+Mar!I52+Apr!I52+May!I52+Jun!I52+July!I52+Aug!I52+Sep!I52+Oct!I52</f>
        <v>1585.8700000000001</v>
      </c>
      <c r="K52" s="174"/>
      <c r="L52" s="115">
        <v>1636.68</v>
      </c>
      <c r="M52" s="116"/>
      <c r="N52" s="116"/>
    </row>
    <row r="53" spans="1:15" s="131" customFormat="1" ht="13.5">
      <c r="B53" s="131" t="s">
        <v>329</v>
      </c>
      <c r="G53" s="131">
        <f t="shared" si="1"/>
        <v>312.51</v>
      </c>
      <c r="H53" s="131">
        <v>312.51</v>
      </c>
      <c r="I53" s="152">
        <f t="shared" si="2"/>
        <v>0</v>
      </c>
      <c r="J53" s="187">
        <f>Jan!I53+Feb!I53+Mar!I53+Apr!I53+May!I53+Jun!I53+July!I53+Aug!I53+Sep!I53+Oct!I53</f>
        <v>312.51</v>
      </c>
      <c r="K53" s="174"/>
      <c r="L53" s="115">
        <v>312.51</v>
      </c>
      <c r="M53" s="116"/>
      <c r="N53" s="116"/>
    </row>
    <row r="54" spans="1:15" s="131" customFormat="1" ht="13.5">
      <c r="B54" s="131" t="s">
        <v>625</v>
      </c>
      <c r="G54" s="131">
        <f t="shared" si="1"/>
        <v>-2000</v>
      </c>
      <c r="H54" s="131">
        <v>-2000</v>
      </c>
      <c r="I54" s="152">
        <f t="shared" si="2"/>
        <v>0</v>
      </c>
      <c r="J54" s="187">
        <f>Jan!I54+Feb!I54+Mar!I54+Apr!I54+May!I54+Jun!I54+July!I54+Aug!I54+Sep!I54+Oct!I54</f>
        <v>-1000</v>
      </c>
      <c r="K54" s="174"/>
      <c r="L54" s="115">
        <f>15-2015</f>
        <v>-2000</v>
      </c>
      <c r="M54" s="116"/>
      <c r="N54" s="116"/>
      <c r="O54" s="131" t="s">
        <v>915</v>
      </c>
    </row>
    <row r="55" spans="1:15" s="131" customFormat="1" ht="13.5">
      <c r="I55" s="152"/>
      <c r="J55" s="187"/>
      <c r="K55" s="174"/>
      <c r="L55" s="115"/>
      <c r="M55" s="116"/>
      <c r="N55" s="116"/>
    </row>
    <row r="56" spans="1:15" s="131" customFormat="1" ht="13.5">
      <c r="A56" s="149" t="s">
        <v>85</v>
      </c>
      <c r="B56" s="149">
        <f>SUM(G57:G60)</f>
        <v>123.75</v>
      </c>
      <c r="C56" s="149">
        <f>SUM(H57:H60)</f>
        <v>355</v>
      </c>
      <c r="D56" s="149">
        <f>C56-B56</f>
        <v>231.25</v>
      </c>
      <c r="I56" s="152"/>
      <c r="J56" s="187"/>
      <c r="K56" s="174"/>
      <c r="L56" s="115"/>
      <c r="M56" s="116"/>
      <c r="N56" s="116"/>
    </row>
    <row r="57" spans="1:15" s="131" customFormat="1" ht="13.5">
      <c r="B57" s="131" t="s">
        <v>41</v>
      </c>
      <c r="C57" s="131" t="s">
        <v>42</v>
      </c>
      <c r="G57" s="131">
        <f>SUM(L57:N57)</f>
        <v>123.75</v>
      </c>
      <c r="H57" s="131">
        <v>110</v>
      </c>
      <c r="I57" s="152">
        <f>H57-G57</f>
        <v>-13.75</v>
      </c>
      <c r="J57" s="187">
        <f>Jan!I57+Feb!I57+Mar!I57+Apr!I57+May!I57+Jun!I57+July!I57+Aug!I57+Sep!I57+Oct!I57</f>
        <v>-125.18999999999998</v>
      </c>
      <c r="K57" s="174"/>
      <c r="L57" s="115">
        <v>123.75</v>
      </c>
      <c r="M57" s="116"/>
      <c r="N57" s="116"/>
    </row>
    <row r="58" spans="1:15" s="131" customFormat="1" ht="13.5">
      <c r="B58" s="131" t="s">
        <v>43</v>
      </c>
      <c r="C58" s="131" t="s">
        <v>44</v>
      </c>
      <c r="G58" s="131">
        <f t="shared" ref="G58:G121" si="3">SUM(L58:N58)</f>
        <v>0</v>
      </c>
      <c r="H58" s="131">
        <v>45</v>
      </c>
      <c r="I58" s="152">
        <f t="shared" ref="I58:I121" si="4">H58-G58</f>
        <v>45</v>
      </c>
      <c r="J58" s="187">
        <f>Jan!I58+Feb!I58+Mar!I58+Apr!I58+May!I58+Jun!I58+July!I58+Aug!I58+Sep!I58+Oct!I58</f>
        <v>162.35</v>
      </c>
      <c r="K58" s="174"/>
      <c r="L58" s="115"/>
      <c r="M58" s="116"/>
      <c r="N58" s="116"/>
    </row>
    <row r="59" spans="1:15" s="131" customFormat="1" ht="13.5">
      <c r="B59" s="198" t="s">
        <v>86</v>
      </c>
      <c r="C59" s="198" t="s">
        <v>87</v>
      </c>
      <c r="D59" s="198" t="s">
        <v>423</v>
      </c>
      <c r="E59" s="198"/>
      <c r="F59" s="198"/>
      <c r="G59" s="131">
        <f t="shared" si="3"/>
        <v>0</v>
      </c>
      <c r="H59" s="131">
        <v>90</v>
      </c>
      <c r="I59" s="152">
        <f t="shared" si="4"/>
        <v>90</v>
      </c>
      <c r="J59" s="187">
        <f>Jan!I59+Feb!I59+Mar!I59+Apr!I59+May!I59+Jun!I59+July!I59+Aug!I59+Sep!I59+Oct!I59</f>
        <v>-325</v>
      </c>
      <c r="K59" s="174"/>
      <c r="L59" s="115"/>
      <c r="M59" s="116"/>
      <c r="N59" s="116"/>
    </row>
    <row r="60" spans="1:15" s="131" customFormat="1" ht="13.5">
      <c r="B60" s="198" t="s">
        <v>88</v>
      </c>
      <c r="C60" s="198" t="s">
        <v>89</v>
      </c>
      <c r="D60" s="198" t="s">
        <v>424</v>
      </c>
      <c r="E60" s="198"/>
      <c r="F60" s="198"/>
      <c r="G60" s="131">
        <f t="shared" si="3"/>
        <v>0</v>
      </c>
      <c r="H60" s="131">
        <v>110</v>
      </c>
      <c r="I60" s="152">
        <f t="shared" si="4"/>
        <v>110</v>
      </c>
      <c r="J60" s="187">
        <f>Jan!I60+Feb!I60+Mar!I60+Apr!I60+May!I60+Jun!I60+July!I60+Aug!I60+Sep!I60+Oct!I60</f>
        <v>-289.71999999999991</v>
      </c>
      <c r="K60" s="174"/>
      <c r="L60" s="115"/>
      <c r="M60" s="116"/>
      <c r="N60" s="116"/>
    </row>
    <row r="61" spans="1:15" s="131" customFormat="1" ht="13.5">
      <c r="I61" s="152"/>
      <c r="J61" s="187"/>
      <c r="K61" s="174"/>
      <c r="L61" s="115"/>
      <c r="M61" s="116"/>
      <c r="N61" s="116"/>
    </row>
    <row r="62" spans="1:15" s="131" customFormat="1" ht="13.5">
      <c r="A62" s="149" t="s">
        <v>91</v>
      </c>
      <c r="B62" s="149">
        <f>SUM(G63:G64)</f>
        <v>140.26</v>
      </c>
      <c r="C62" s="149">
        <f>SUM(H63:H64)</f>
        <v>138</v>
      </c>
      <c r="D62" s="149">
        <f>C62-B62</f>
        <v>-2.2599999999999909</v>
      </c>
      <c r="I62" s="152"/>
      <c r="J62" s="187"/>
      <c r="K62" s="174"/>
      <c r="L62" s="115"/>
      <c r="M62" s="116"/>
      <c r="N62" s="116"/>
    </row>
    <row r="63" spans="1:15" s="131" customFormat="1" ht="13.5">
      <c r="B63" s="131" t="s">
        <v>50</v>
      </c>
      <c r="C63" s="131" t="s">
        <v>51</v>
      </c>
      <c r="G63" s="131">
        <f t="shared" si="3"/>
        <v>67.180000000000007</v>
      </c>
      <c r="H63" s="131">
        <v>63</v>
      </c>
      <c r="I63" s="152">
        <f t="shared" si="4"/>
        <v>-4.1800000000000068</v>
      </c>
      <c r="J63" s="187">
        <f>Jan!I63+Feb!I63+Mar!I63+Apr!I63+May!I63+Jun!I63+July!I63+Aug!I63+Sep!I63+Oct!I63</f>
        <v>-27.330000000000013</v>
      </c>
      <c r="K63" s="174"/>
      <c r="L63" s="115"/>
      <c r="M63" s="116">
        <v>67.180000000000007</v>
      </c>
      <c r="N63" s="116"/>
    </row>
    <row r="64" spans="1:15" s="131" customFormat="1" ht="13.5">
      <c r="B64" s="131" t="s">
        <v>92</v>
      </c>
      <c r="C64" s="131" t="s">
        <v>93</v>
      </c>
      <c r="D64" s="156"/>
      <c r="G64" s="131">
        <f t="shared" si="3"/>
        <v>73.08</v>
      </c>
      <c r="H64" s="131">
        <v>75</v>
      </c>
      <c r="I64" s="152">
        <f t="shared" si="4"/>
        <v>1.9200000000000017</v>
      </c>
      <c r="J64" s="187">
        <f>Jan!I64+Feb!I64+Mar!I64+Apr!I64+May!I64+Jun!I64+July!I64+Aug!I64+Sep!I64+Oct!I64</f>
        <v>10.820000000000022</v>
      </c>
      <c r="K64" s="174"/>
      <c r="L64" s="115"/>
      <c r="M64" s="116">
        <v>73.08</v>
      </c>
      <c r="N64" s="116"/>
    </row>
    <row r="65" spans="1:15" s="131" customFormat="1" ht="13.5">
      <c r="I65" s="152"/>
      <c r="J65" s="187"/>
      <c r="K65" s="174"/>
      <c r="L65" s="115"/>
      <c r="M65" s="116"/>
      <c r="N65" s="116"/>
    </row>
    <row r="66" spans="1:15" s="131" customFormat="1" ht="13.5">
      <c r="A66" s="193" t="s">
        <v>94</v>
      </c>
      <c r="B66" s="149">
        <f>SUM(G67:G69)</f>
        <v>0</v>
      </c>
      <c r="C66" s="149">
        <f>SUM(H67:H69)</f>
        <v>177</v>
      </c>
      <c r="D66" s="149">
        <f>C66-B66</f>
        <v>177</v>
      </c>
      <c r="I66" s="152"/>
      <c r="J66" s="187"/>
      <c r="K66" s="174"/>
      <c r="L66" s="115"/>
      <c r="M66" s="116"/>
      <c r="N66" s="116"/>
    </row>
    <row r="67" spans="1:15" s="131" customFormat="1" ht="13.5">
      <c r="B67" s="198" t="s">
        <v>95</v>
      </c>
      <c r="C67" s="198"/>
      <c r="D67" s="198" t="s">
        <v>96</v>
      </c>
      <c r="E67" s="198"/>
      <c r="F67" s="198"/>
      <c r="G67" s="131">
        <f t="shared" si="3"/>
        <v>0</v>
      </c>
      <c r="H67" s="131">
        <v>56.5</v>
      </c>
      <c r="I67" s="152">
        <f t="shared" si="4"/>
        <v>56.5</v>
      </c>
      <c r="J67" s="187">
        <f>Jan!I67+Feb!I67+Mar!I67+Apr!I67+May!I67+Jun!I67+July!I67+Aug!I67+Sep!I67+Oct!I67</f>
        <v>-151</v>
      </c>
      <c r="K67" s="174"/>
      <c r="L67" s="115"/>
      <c r="M67" s="116"/>
      <c r="N67" s="116"/>
    </row>
    <row r="68" spans="1:15" s="131" customFormat="1" ht="13.5">
      <c r="B68" s="198" t="s">
        <v>97</v>
      </c>
      <c r="C68" s="198"/>
      <c r="D68" s="198" t="s">
        <v>96</v>
      </c>
      <c r="E68" s="198"/>
      <c r="F68" s="198"/>
      <c r="G68" s="131">
        <f t="shared" si="3"/>
        <v>0</v>
      </c>
      <c r="H68" s="131">
        <v>84.5</v>
      </c>
      <c r="I68" s="152">
        <f t="shared" si="4"/>
        <v>84.5</v>
      </c>
      <c r="J68" s="187">
        <f>Jan!I68+Feb!I68+Mar!I68+Apr!I68+May!I68+Jun!I68+July!I68+Aug!I68+Sep!I68+Oct!I68</f>
        <v>-110</v>
      </c>
      <c r="K68" s="174"/>
      <c r="L68" s="115"/>
      <c r="M68" s="116"/>
      <c r="N68" s="116"/>
    </row>
    <row r="69" spans="1:15" s="131" customFormat="1" ht="13.5">
      <c r="B69" s="198" t="s">
        <v>98</v>
      </c>
      <c r="C69" s="198"/>
      <c r="D69" s="198" t="s">
        <v>477</v>
      </c>
      <c r="E69" s="198"/>
      <c r="F69" s="198"/>
      <c r="G69" s="131">
        <f t="shared" si="3"/>
        <v>0</v>
      </c>
      <c r="H69" s="131">
        <v>36</v>
      </c>
      <c r="I69" s="152">
        <f t="shared" si="4"/>
        <v>36</v>
      </c>
      <c r="J69" s="187">
        <f>Jan!I69+Feb!I69+Mar!I69+Apr!I69+May!I69+Jun!I69+July!I69+Aug!I69+Sep!I69+Oct!I69</f>
        <v>-72.819999999999993</v>
      </c>
      <c r="K69" s="174"/>
      <c r="L69" s="115"/>
      <c r="M69" s="116"/>
      <c r="N69" s="116"/>
    </row>
    <row r="70" spans="1:15" s="131" customFormat="1" ht="13.5">
      <c r="I70" s="152"/>
      <c r="J70" s="187"/>
      <c r="K70" s="174"/>
      <c r="L70" s="115"/>
      <c r="M70" s="116"/>
      <c r="N70" s="116"/>
    </row>
    <row r="71" spans="1:15" s="131" customFormat="1" ht="13.5">
      <c r="A71" s="149" t="s">
        <v>99</v>
      </c>
      <c r="B71" s="149">
        <f>SUM(G72:G78)</f>
        <v>365.87</v>
      </c>
      <c r="C71" s="149">
        <f>SUM(H72:H78)</f>
        <v>166.5</v>
      </c>
      <c r="D71" s="149">
        <f>C71-B71</f>
        <v>-199.37</v>
      </c>
      <c r="I71" s="152"/>
      <c r="J71" s="187"/>
      <c r="K71" s="174"/>
      <c r="L71" s="115"/>
      <c r="M71" s="116"/>
      <c r="N71" s="116"/>
    </row>
    <row r="72" spans="1:15" s="131" customFormat="1" ht="13.5">
      <c r="B72" s="131" t="s">
        <v>100</v>
      </c>
      <c r="G72" s="131">
        <f t="shared" si="3"/>
        <v>12.379999999999995</v>
      </c>
      <c r="H72" s="131">
        <v>15</v>
      </c>
      <c r="I72" s="152">
        <f t="shared" si="4"/>
        <v>2.6200000000000045</v>
      </c>
      <c r="J72" s="187">
        <f>Jan!I72+Feb!I72+Mar!I72+Apr!I72+May!I72+Jun!I72+July!I72+Aug!I72+Sep!I72+Oct!I72</f>
        <v>26.950000000000003</v>
      </c>
      <c r="K72" s="174"/>
      <c r="L72" s="115"/>
      <c r="M72" s="116"/>
      <c r="N72" s="116">
        <f>(61.33-48.95)</f>
        <v>12.379999999999995</v>
      </c>
    </row>
    <row r="73" spans="1:15" s="131" customFormat="1" ht="13.5">
      <c r="B73" s="131" t="s">
        <v>384</v>
      </c>
      <c r="G73" s="131">
        <f t="shared" si="3"/>
        <v>0</v>
      </c>
      <c r="H73" s="131">
        <v>5</v>
      </c>
      <c r="I73" s="152">
        <f t="shared" si="4"/>
        <v>5</v>
      </c>
      <c r="J73" s="187">
        <f>Jan!I73+Feb!I73+Mar!I73+Apr!I73+May!I73+Jun!I73+July!I73+Aug!I73+Sep!I73+Oct!I73</f>
        <v>8.8999999999999986</v>
      </c>
      <c r="K73" s="174"/>
      <c r="L73" s="115"/>
      <c r="M73" s="116"/>
      <c r="N73" s="116"/>
    </row>
    <row r="74" spans="1:15" s="131" customFormat="1" ht="13.5">
      <c r="B74" s="131" t="s">
        <v>385</v>
      </c>
      <c r="G74" s="131">
        <f t="shared" si="3"/>
        <v>169.85</v>
      </c>
      <c r="H74" s="131">
        <v>65</v>
      </c>
      <c r="I74" s="152">
        <f t="shared" si="4"/>
        <v>-104.85</v>
      </c>
      <c r="J74" s="187">
        <f>Jan!I74+Feb!I74+Mar!I74+Apr!I74+May!I74+Jun!I74+July!I74+Aug!I74+Sep!I74+Oct!I74</f>
        <v>-106.06999999999996</v>
      </c>
      <c r="K74" s="174"/>
      <c r="L74" s="115">
        <v>70</v>
      </c>
      <c r="M74" s="116">
        <f>29.86+69.99</f>
        <v>99.85</v>
      </c>
      <c r="N74" s="116"/>
      <c r="O74" s="131" t="s">
        <v>916</v>
      </c>
    </row>
    <row r="75" spans="1:15" s="131" customFormat="1" ht="13.5">
      <c r="B75" s="131" t="s">
        <v>386</v>
      </c>
      <c r="G75" s="131">
        <f t="shared" si="3"/>
        <v>31.15</v>
      </c>
      <c r="H75" s="131">
        <v>15</v>
      </c>
      <c r="I75" s="152">
        <f t="shared" si="4"/>
        <v>-16.149999999999999</v>
      </c>
      <c r="J75" s="187">
        <f>Jan!I75+Feb!I75+Mar!I75+Apr!I75+May!I75+Jun!I75+July!I75+Aug!I75+Sep!I75+Oct!I75</f>
        <v>55.879999999999988</v>
      </c>
      <c r="K75" s="174"/>
      <c r="L75" s="115"/>
      <c r="M75" s="116">
        <v>17.329999999999998</v>
      </c>
      <c r="N75" s="116">
        <v>13.82</v>
      </c>
      <c r="O75" s="131" t="s">
        <v>939</v>
      </c>
    </row>
    <row r="76" spans="1:15" s="131" customFormat="1" ht="13.5">
      <c r="B76" s="198" t="s">
        <v>390</v>
      </c>
      <c r="C76" s="198"/>
      <c r="D76" s="198"/>
      <c r="E76" s="198"/>
      <c r="F76" s="198"/>
      <c r="G76" s="131">
        <f t="shared" si="3"/>
        <v>152.49</v>
      </c>
      <c r="H76" s="131">
        <v>35</v>
      </c>
      <c r="I76" s="152">
        <f t="shared" si="4"/>
        <v>-117.49000000000001</v>
      </c>
      <c r="J76" s="187">
        <f>Jan!I76+Feb!I76+Mar!I76+Apr!I76+May!I76+Jun!I76+July!I76+Aug!I76+Sep!I76+Oct!I76</f>
        <v>-57.600000000000023</v>
      </c>
      <c r="K76" s="174"/>
      <c r="L76" s="115"/>
      <c r="M76" s="116">
        <f>232.48-79.99</f>
        <v>152.49</v>
      </c>
      <c r="N76" s="116"/>
    </row>
    <row r="77" spans="1:15" s="131" customFormat="1" ht="13.5">
      <c r="B77" s="198" t="s">
        <v>387</v>
      </c>
      <c r="C77" s="198"/>
      <c r="D77" s="198"/>
      <c r="E77" s="198"/>
      <c r="F77" s="198"/>
      <c r="G77" s="131">
        <f t="shared" si="3"/>
        <v>0</v>
      </c>
      <c r="H77" s="131">
        <v>20</v>
      </c>
      <c r="I77" s="152">
        <f t="shared" si="4"/>
        <v>20</v>
      </c>
      <c r="J77" s="187">
        <f>Jan!I77+Feb!I77+Mar!I77+Apr!I77+May!I77+Jun!I77+July!I77+Aug!I77+Sep!I77+Oct!I77</f>
        <v>200</v>
      </c>
      <c r="K77" s="174"/>
      <c r="L77" s="115"/>
      <c r="M77" s="116"/>
      <c r="N77" s="116"/>
    </row>
    <row r="78" spans="1:15" s="131" customFormat="1" ht="13.5">
      <c r="B78" s="198" t="s">
        <v>388</v>
      </c>
      <c r="C78" s="198"/>
      <c r="D78" s="198"/>
      <c r="E78" s="198"/>
      <c r="F78" s="198"/>
      <c r="G78" s="131">
        <f t="shared" si="3"/>
        <v>0</v>
      </c>
      <c r="H78" s="131">
        <v>11.5</v>
      </c>
      <c r="I78" s="152">
        <f t="shared" si="4"/>
        <v>11.5</v>
      </c>
      <c r="J78" s="187">
        <f>Jan!I78+Feb!I78+Mar!I78+Apr!I78+May!I78+Jun!I78+July!I78+Aug!I78+Sep!I78+Oct!I78</f>
        <v>-10.989999999999995</v>
      </c>
      <c r="K78" s="174"/>
      <c r="L78" s="115"/>
      <c r="M78" s="116"/>
      <c r="N78" s="116"/>
    </row>
    <row r="79" spans="1:15" s="131" customFormat="1" ht="13.5">
      <c r="I79" s="152"/>
      <c r="J79" s="187"/>
      <c r="K79" s="174"/>
      <c r="L79" s="115"/>
      <c r="M79" s="116"/>
      <c r="N79" s="116"/>
    </row>
    <row r="80" spans="1:15" s="131" customFormat="1" ht="13.5">
      <c r="A80" s="149" t="s">
        <v>335</v>
      </c>
      <c r="B80" s="149">
        <f>SUM(G81:G83)</f>
        <v>110.2</v>
      </c>
      <c r="C80" s="149">
        <f>SUM(H81:H83)</f>
        <v>30</v>
      </c>
      <c r="D80" s="149">
        <f>C80-B80</f>
        <v>-80.2</v>
      </c>
      <c r="I80" s="152"/>
      <c r="J80" s="187"/>
      <c r="K80" s="174"/>
      <c r="L80" s="115"/>
      <c r="M80" s="116"/>
      <c r="N80" s="116"/>
    </row>
    <row r="81" spans="1:15" s="131" customFormat="1" ht="13.5">
      <c r="B81" s="198" t="s">
        <v>101</v>
      </c>
      <c r="C81" s="198"/>
      <c r="D81" s="198"/>
      <c r="E81" s="198"/>
      <c r="F81" s="198"/>
      <c r="G81" s="131">
        <f t="shared" si="3"/>
        <v>0</v>
      </c>
      <c r="H81" s="131">
        <v>10</v>
      </c>
      <c r="I81" s="152">
        <f t="shared" si="4"/>
        <v>10</v>
      </c>
      <c r="J81" s="187">
        <f>Jan!I81+Feb!I81+Mar!I81+Apr!I81+May!I81+Jun!I81+July!I81+Aug!I81+Sep!I81+Oct!I81</f>
        <v>-353</v>
      </c>
      <c r="K81" s="174"/>
      <c r="L81" s="115"/>
      <c r="M81" s="116"/>
      <c r="N81" s="116"/>
    </row>
    <row r="82" spans="1:15" s="131" customFormat="1" ht="13.5">
      <c r="B82" s="198" t="s">
        <v>102</v>
      </c>
      <c r="C82" s="198"/>
      <c r="D82" s="198"/>
      <c r="E82" s="198"/>
      <c r="F82" s="198"/>
      <c r="G82" s="131">
        <f t="shared" si="3"/>
        <v>110.2</v>
      </c>
      <c r="H82" s="131">
        <v>10</v>
      </c>
      <c r="I82" s="152">
        <f t="shared" si="4"/>
        <v>-100.2</v>
      </c>
      <c r="J82" s="187">
        <f>Jan!I82+Feb!I82+Mar!I82+Apr!I82+May!I82+Jun!I82+July!I82+Aug!I82+Sep!I82+Oct!I82</f>
        <v>-98.95</v>
      </c>
      <c r="K82" s="174"/>
      <c r="L82" s="115"/>
      <c r="M82" s="116"/>
      <c r="N82" s="116">
        <f>(75.48-18.5-16.99)+70.21</f>
        <v>110.2</v>
      </c>
      <c r="O82" s="131" t="s">
        <v>931</v>
      </c>
    </row>
    <row r="83" spans="1:15" s="131" customFormat="1" ht="13.5">
      <c r="B83" s="198" t="s">
        <v>383</v>
      </c>
      <c r="C83" s="198"/>
      <c r="D83" s="198"/>
      <c r="E83" s="198"/>
      <c r="F83" s="198"/>
      <c r="G83" s="131">
        <f t="shared" si="3"/>
        <v>0</v>
      </c>
      <c r="H83" s="131">
        <v>10</v>
      </c>
      <c r="I83" s="152">
        <f t="shared" si="4"/>
        <v>10</v>
      </c>
      <c r="J83" s="187">
        <f>Jan!I83+Feb!I83+Mar!I83+Apr!I83+May!I83+Jun!I83+July!I83+Aug!I83+Sep!I83+Oct!I83</f>
        <v>4.3500000000000014</v>
      </c>
      <c r="K83" s="174"/>
      <c r="L83" s="115"/>
      <c r="M83" s="116"/>
      <c r="N83" s="116"/>
    </row>
    <row r="84" spans="1:15" s="131" customFormat="1" ht="13.5">
      <c r="I84" s="152"/>
      <c r="J84" s="187"/>
      <c r="K84" s="174"/>
      <c r="L84" s="115"/>
      <c r="M84" s="116"/>
      <c r="N84" s="116"/>
    </row>
    <row r="85" spans="1:15" s="131" customFormat="1" ht="13.5">
      <c r="A85" s="149" t="s">
        <v>110</v>
      </c>
      <c r="B85" s="149">
        <f>SUM(G86:G88)</f>
        <v>29.03</v>
      </c>
      <c r="C85" s="149">
        <f>SUM(H86:H88)</f>
        <v>115</v>
      </c>
      <c r="D85" s="149">
        <f>C85-B85</f>
        <v>85.97</v>
      </c>
      <c r="I85" s="152"/>
      <c r="J85" s="187"/>
      <c r="K85" s="174"/>
      <c r="L85" s="115"/>
      <c r="M85" s="116"/>
      <c r="N85" s="116"/>
    </row>
    <row r="86" spans="1:15" s="131" customFormat="1" ht="13.5">
      <c r="B86" s="198" t="s">
        <v>389</v>
      </c>
      <c r="C86" s="198"/>
      <c r="D86" s="198"/>
      <c r="E86" s="198"/>
      <c r="F86" s="198"/>
      <c r="G86" s="131">
        <f t="shared" si="3"/>
        <v>0</v>
      </c>
      <c r="H86" s="131">
        <v>30</v>
      </c>
      <c r="I86" s="152">
        <f t="shared" si="4"/>
        <v>30</v>
      </c>
      <c r="J86" s="187">
        <f>Jan!I86+Feb!I86+Mar!I86+Apr!I86+May!I86+Jun!I86+July!I86+Aug!I86+Sep!I86+Oct!I86</f>
        <v>-746.38000000000011</v>
      </c>
      <c r="K86" s="174"/>
      <c r="L86" s="115"/>
      <c r="M86" s="116"/>
      <c r="N86" s="116"/>
    </row>
    <row r="87" spans="1:15" s="131" customFormat="1" ht="13.5">
      <c r="B87" s="198" t="s">
        <v>111</v>
      </c>
      <c r="C87" s="198"/>
      <c r="D87" s="198"/>
      <c r="E87" s="198"/>
      <c r="F87" s="198"/>
      <c r="G87" s="131">
        <f t="shared" si="3"/>
        <v>0</v>
      </c>
      <c r="H87" s="131">
        <v>20</v>
      </c>
      <c r="I87" s="152">
        <f t="shared" si="4"/>
        <v>20</v>
      </c>
      <c r="J87" s="187">
        <f>Jan!I87+Feb!I87+Mar!I87+Apr!I87+May!I87+Jun!I87+July!I87+Aug!I87+Sep!I87+Oct!I87</f>
        <v>-83.399999999999977</v>
      </c>
      <c r="K87" s="174"/>
      <c r="L87" s="115"/>
      <c r="M87" s="116"/>
      <c r="N87" s="116"/>
    </row>
    <row r="88" spans="1:15" s="131" customFormat="1" ht="13.5">
      <c r="B88" s="131" t="s">
        <v>391</v>
      </c>
      <c r="G88" s="131">
        <f t="shared" si="3"/>
        <v>29.03</v>
      </c>
      <c r="H88" s="131">
        <v>65</v>
      </c>
      <c r="I88" s="152">
        <f t="shared" si="4"/>
        <v>35.97</v>
      </c>
      <c r="J88" s="187">
        <f>Jan!I88+Feb!I88+Mar!I88+Apr!I88+May!I88+Jun!I88+July!I88+Aug!I88+Sep!I88+Oct!I88</f>
        <v>-452.20999999999992</v>
      </c>
      <c r="K88" s="174"/>
      <c r="L88" s="115"/>
      <c r="M88" s="116"/>
      <c r="N88" s="116">
        <v>29.03</v>
      </c>
    </row>
    <row r="89" spans="1:15" s="131" customFormat="1" ht="13.5">
      <c r="I89" s="152"/>
      <c r="J89" s="187"/>
      <c r="K89" s="174"/>
      <c r="L89" s="115"/>
      <c r="M89" s="116"/>
      <c r="N89" s="116"/>
    </row>
    <row r="90" spans="1:15" s="131" customFormat="1" ht="13.5">
      <c r="A90" s="149" t="s">
        <v>112</v>
      </c>
      <c r="B90" s="149">
        <f>SUM(G91:G95)</f>
        <v>223.08</v>
      </c>
      <c r="C90" s="149">
        <f>SUM(H91:H95)</f>
        <v>220</v>
      </c>
      <c r="D90" s="149">
        <f>C90-B90</f>
        <v>-3.0800000000000125</v>
      </c>
      <c r="I90" s="152"/>
      <c r="J90" s="187"/>
      <c r="K90" s="174"/>
      <c r="L90" s="115"/>
      <c r="M90" s="116"/>
      <c r="N90" s="116"/>
    </row>
    <row r="91" spans="1:15" s="131" customFormat="1" ht="13.5">
      <c r="B91" s="131" t="s">
        <v>113</v>
      </c>
      <c r="G91" s="131">
        <f t="shared" si="3"/>
        <v>29.84</v>
      </c>
      <c r="H91" s="131">
        <v>40</v>
      </c>
      <c r="I91" s="152">
        <f t="shared" si="4"/>
        <v>10.16</v>
      </c>
      <c r="J91" s="187">
        <f>Jan!I91+Feb!I91+Mar!I91+Apr!I91+May!I91+Jun!I91+July!I91+Aug!I91+Sep!I91+Oct!I91</f>
        <v>-121.71000000000001</v>
      </c>
      <c r="K91" s="174"/>
      <c r="L91" s="115"/>
      <c r="M91" s="116">
        <f>29.84</f>
        <v>29.84</v>
      </c>
      <c r="N91" s="116"/>
    </row>
    <row r="92" spans="1:15" s="131" customFormat="1" ht="13.5">
      <c r="B92" s="131" t="s">
        <v>114</v>
      </c>
      <c r="D92" s="131" t="s">
        <v>115</v>
      </c>
      <c r="G92" s="131">
        <f t="shared" si="3"/>
        <v>110</v>
      </c>
      <c r="H92" s="131">
        <v>120</v>
      </c>
      <c r="I92" s="152">
        <f t="shared" si="4"/>
        <v>10</v>
      </c>
      <c r="J92" s="187">
        <f>Jan!I92+Feb!I92+Mar!I92+Apr!I92+May!I92+Jun!I92+July!I92+Aug!I92+Sep!I92+Oct!I92</f>
        <v>138.75</v>
      </c>
      <c r="K92" s="174"/>
      <c r="L92" s="115"/>
      <c r="M92" s="116">
        <f>10+15+85</f>
        <v>110</v>
      </c>
      <c r="N92" s="116"/>
    </row>
    <row r="93" spans="1:15" s="131" customFormat="1" ht="13.5">
      <c r="B93" s="131" t="s">
        <v>116</v>
      </c>
      <c r="G93" s="131">
        <f t="shared" si="3"/>
        <v>54.78</v>
      </c>
      <c r="H93" s="131">
        <v>20</v>
      </c>
      <c r="I93" s="152">
        <f t="shared" si="4"/>
        <v>-34.78</v>
      </c>
      <c r="J93" s="187">
        <f>Jan!I93+Feb!I93+Mar!I93+Apr!I93+May!I93+Jun!I93+July!I93+Aug!I93+Sep!I93+Oct!I93</f>
        <v>-8.2000000000000028</v>
      </c>
      <c r="K93" s="174"/>
      <c r="L93" s="115"/>
      <c r="M93" s="116">
        <f>4+30.85+4.83+8.88+6.22</f>
        <v>54.78</v>
      </c>
      <c r="N93" s="116"/>
    </row>
    <row r="94" spans="1:15" s="131" customFormat="1" ht="13.5">
      <c r="A94" s="149"/>
      <c r="B94" s="131" t="s">
        <v>117</v>
      </c>
      <c r="G94" s="131">
        <f t="shared" si="3"/>
        <v>16.989999999999998</v>
      </c>
      <c r="H94" s="131">
        <v>20</v>
      </c>
      <c r="I94" s="152">
        <f t="shared" si="4"/>
        <v>3.0100000000000016</v>
      </c>
      <c r="J94" s="187">
        <f>Jan!I94+Feb!I94+Mar!I94+Apr!I94+May!I94+Jun!I94+July!I94+Aug!I94+Sep!I94+Oct!I94</f>
        <v>-11.27999999999999</v>
      </c>
      <c r="K94" s="174"/>
      <c r="L94" s="115"/>
      <c r="M94" s="116"/>
      <c r="N94" s="116">
        <v>16.989999999999998</v>
      </c>
      <c r="O94" s="131" t="s">
        <v>871</v>
      </c>
    </row>
    <row r="95" spans="1:15" s="131" customFormat="1" ht="13.5">
      <c r="A95" s="149"/>
      <c r="B95" s="131" t="s">
        <v>118</v>
      </c>
      <c r="G95" s="131">
        <f t="shared" si="3"/>
        <v>11.47</v>
      </c>
      <c r="H95" s="131">
        <v>20</v>
      </c>
      <c r="I95" s="152">
        <f t="shared" si="4"/>
        <v>8.5299999999999994</v>
      </c>
      <c r="J95" s="187">
        <f>Jan!I95+Feb!I95+Mar!I95+Apr!I95+May!I95+Jun!I95+July!I95+Aug!I95+Sep!I95+Oct!I95</f>
        <v>-164.43000000000004</v>
      </c>
      <c r="K95" s="174"/>
      <c r="L95" s="115"/>
      <c r="M95" s="116">
        <f>3.82+1.75+1.95+3.95</f>
        <v>11.47</v>
      </c>
      <c r="N95" s="116"/>
    </row>
    <row r="96" spans="1:15" s="131" customFormat="1" ht="13.5">
      <c r="A96" s="149"/>
      <c r="B96" s="149"/>
      <c r="I96" s="152"/>
      <c r="J96" s="187"/>
      <c r="K96" s="174"/>
      <c r="L96" s="115"/>
      <c r="M96" s="116"/>
      <c r="N96" s="116"/>
    </row>
    <row r="97" spans="1:15" s="131" customFormat="1" ht="13.5">
      <c r="A97" s="149" t="s">
        <v>119</v>
      </c>
      <c r="B97" s="149">
        <f>SUM(G98:G101)</f>
        <v>235</v>
      </c>
      <c r="C97" s="149">
        <f>SUM(H98:H101)</f>
        <v>435</v>
      </c>
      <c r="D97" s="149">
        <f>C97-B97</f>
        <v>200</v>
      </c>
      <c r="I97" s="152"/>
      <c r="J97" s="187"/>
      <c r="K97" s="174"/>
      <c r="L97" s="115"/>
      <c r="M97" s="116"/>
      <c r="N97" s="116"/>
    </row>
    <row r="98" spans="1:15" s="131" customFormat="1" ht="13.5">
      <c r="B98" s="198" t="s">
        <v>120</v>
      </c>
      <c r="C98" s="198"/>
      <c r="D98" s="198" t="s">
        <v>121</v>
      </c>
      <c r="E98" s="198"/>
      <c r="F98" s="198"/>
      <c r="G98" s="131">
        <f t="shared" si="3"/>
        <v>0</v>
      </c>
      <c r="H98" s="131">
        <v>150</v>
      </c>
      <c r="I98" s="152">
        <f t="shared" si="4"/>
        <v>150</v>
      </c>
      <c r="J98" s="187">
        <f>Jan!I98+Feb!I98+Mar!I98+Apr!I98+May!I98+Jun!I98+July!I98+Aug!I98+Sep!I98+Oct!I98</f>
        <v>-124.5499999999999</v>
      </c>
      <c r="K98" s="174"/>
      <c r="L98" s="115"/>
      <c r="M98" s="116"/>
      <c r="N98" s="116"/>
    </row>
    <row r="99" spans="1:15" s="131" customFormat="1" ht="13.5">
      <c r="B99" s="198" t="s">
        <v>122</v>
      </c>
      <c r="C99" s="198"/>
      <c r="D99" s="198" t="s">
        <v>123</v>
      </c>
      <c r="E99" s="198"/>
      <c r="F99" s="198"/>
      <c r="G99" s="131">
        <f t="shared" si="3"/>
        <v>0</v>
      </c>
      <c r="H99" s="131">
        <v>20</v>
      </c>
      <c r="I99" s="152">
        <f t="shared" si="4"/>
        <v>20</v>
      </c>
      <c r="J99" s="187">
        <f>Jan!I99+Feb!I99+Mar!I99+Apr!I99+May!I99+Jun!I99+July!I99+Aug!I99+Sep!I99+Oct!I99</f>
        <v>-8.7900000000000027</v>
      </c>
      <c r="K99" s="174"/>
      <c r="L99" s="115"/>
      <c r="M99" s="116"/>
      <c r="N99" s="116"/>
    </row>
    <row r="100" spans="1:15" s="131" customFormat="1" ht="13.5">
      <c r="A100" s="149"/>
      <c r="B100" s="131" t="s">
        <v>124</v>
      </c>
      <c r="G100" s="131">
        <f t="shared" si="3"/>
        <v>160</v>
      </c>
      <c r="H100" s="131">
        <v>215</v>
      </c>
      <c r="I100" s="152">
        <f t="shared" si="4"/>
        <v>55</v>
      </c>
      <c r="J100" s="187">
        <f>Jan!I100+Feb!I100+Mar!I100+Apr!I100+May!I100+Jun!I100+July!I100+Aug!I100+Sep!I100+Oct!I100</f>
        <v>2.789999999999992</v>
      </c>
      <c r="K100" s="174"/>
      <c r="L100" s="115">
        <v>160</v>
      </c>
      <c r="M100" s="116"/>
      <c r="N100" s="116"/>
    </row>
    <row r="101" spans="1:15" s="131" customFormat="1" ht="13.5">
      <c r="A101" s="149"/>
      <c r="B101" s="198" t="s">
        <v>125</v>
      </c>
      <c r="C101" s="198"/>
      <c r="D101" s="198"/>
      <c r="E101" s="198"/>
      <c r="F101" s="198"/>
      <c r="G101" s="131">
        <f t="shared" si="3"/>
        <v>75</v>
      </c>
      <c r="H101" s="131">
        <v>50</v>
      </c>
      <c r="I101" s="152">
        <f t="shared" si="4"/>
        <v>-25</v>
      </c>
      <c r="J101" s="187">
        <f>Jan!I101+Feb!I101+Mar!I101+Apr!I101+May!I101+Jun!I101+July!I101+Aug!I101+Sep!I101+Oct!I101</f>
        <v>52.019999999999982</v>
      </c>
      <c r="K101" s="174"/>
      <c r="L101" s="115">
        <v>75</v>
      </c>
      <c r="M101" s="116"/>
      <c r="N101" s="116"/>
      <c r="O101" s="131" t="s">
        <v>897</v>
      </c>
    </row>
    <row r="102" spans="1:15" s="131" customFormat="1" ht="13.5">
      <c r="A102" s="149"/>
      <c r="I102" s="152"/>
      <c r="J102" s="187"/>
      <c r="K102" s="174"/>
      <c r="L102" s="115"/>
      <c r="M102" s="116"/>
      <c r="N102" s="116"/>
    </row>
    <row r="103" spans="1:15" s="131" customFormat="1" ht="13.5">
      <c r="A103" s="149" t="s">
        <v>103</v>
      </c>
      <c r="B103" s="149">
        <f>SUM(G104:G110)</f>
        <v>919.53</v>
      </c>
      <c r="C103" s="149">
        <f>SUM(H104:H110)</f>
        <v>637</v>
      </c>
      <c r="D103" s="149">
        <f>C103-B103</f>
        <v>-282.52999999999997</v>
      </c>
      <c r="I103" s="152"/>
      <c r="J103" s="187"/>
      <c r="K103" s="174"/>
      <c r="L103" s="115"/>
      <c r="M103" s="116"/>
      <c r="N103" s="116"/>
    </row>
    <row r="104" spans="1:15" s="131" customFormat="1" ht="13.5">
      <c r="B104" s="131" t="s">
        <v>456</v>
      </c>
      <c r="G104" s="131">
        <f t="shared" si="3"/>
        <v>0</v>
      </c>
      <c r="H104" s="131">
        <v>50</v>
      </c>
      <c r="I104" s="152">
        <f t="shared" si="4"/>
        <v>50</v>
      </c>
      <c r="J104" s="187">
        <f>Jan!I104+Feb!I104+Mar!I104+Apr!I104+May!I104+Jun!I104+July!I104+Aug!I104+Sep!I104+Oct!I104</f>
        <v>-160</v>
      </c>
      <c r="K104" s="174"/>
      <c r="L104" s="115"/>
      <c r="M104" s="116"/>
      <c r="N104" s="116"/>
    </row>
    <row r="105" spans="1:15" s="131" customFormat="1" ht="13.5">
      <c r="B105" s="131" t="s">
        <v>105</v>
      </c>
      <c r="D105" s="131" t="s">
        <v>457</v>
      </c>
      <c r="E105" s="131">
        <f>60*52/12</f>
        <v>260</v>
      </c>
      <c r="G105" s="131">
        <f t="shared" si="3"/>
        <v>654.70000000000005</v>
      </c>
      <c r="H105" s="131">
        <v>500</v>
      </c>
      <c r="I105" s="152">
        <f t="shared" si="4"/>
        <v>-154.70000000000005</v>
      </c>
      <c r="J105" s="187">
        <f>Jan!I105+Feb!I105+Mar!I105+Apr!I105+May!I105+Jun!I105+July!I105+Aug!I105+Sep!I105+Oct!I105</f>
        <v>63.659999999999854</v>
      </c>
      <c r="K105" s="174"/>
      <c r="L105" s="115"/>
      <c r="M105" s="116">
        <f>17.8+49.58+12.52+10.95+10</f>
        <v>100.85</v>
      </c>
      <c r="N105" s="116">
        <f>62.57+97.71+54.84+29.7+69.93+72.57+(18.91+42.79+85.85)+(155.31-47.94-13.82-10.97-63.6)</f>
        <v>553.85</v>
      </c>
    </row>
    <row r="106" spans="1:15" s="131" customFormat="1" ht="13.5">
      <c r="B106" s="131" t="s">
        <v>392</v>
      </c>
      <c r="G106" s="131">
        <f t="shared" si="3"/>
        <v>0</v>
      </c>
      <c r="H106" s="131">
        <v>27</v>
      </c>
      <c r="I106" s="152">
        <f t="shared" si="4"/>
        <v>27</v>
      </c>
      <c r="J106" s="187">
        <f>Jan!I106+Feb!I106+Mar!I106+Apr!I106+May!I106+Jun!I106+July!I106+Aug!I106+Sep!I106+Oct!I106</f>
        <v>130.07</v>
      </c>
      <c r="K106" s="174"/>
      <c r="L106" s="115"/>
      <c r="M106" s="116"/>
      <c r="N106" s="116"/>
    </row>
    <row r="107" spans="1:15" s="131" customFormat="1" ht="13.5">
      <c r="B107" s="131" t="s">
        <v>106</v>
      </c>
      <c r="G107" s="131">
        <f t="shared" si="3"/>
        <v>0</v>
      </c>
      <c r="H107" s="131">
        <v>15</v>
      </c>
      <c r="I107" s="152">
        <f t="shared" si="4"/>
        <v>15</v>
      </c>
      <c r="J107" s="187">
        <f>Jan!I107+Feb!I107+Mar!I107+Apr!I107+May!I107+Jun!I107+July!I107+Aug!I107+Sep!I107+Oct!I107</f>
        <v>70.81</v>
      </c>
      <c r="K107" s="174"/>
      <c r="L107" s="115"/>
      <c r="M107" s="116"/>
      <c r="N107" s="116"/>
    </row>
    <row r="108" spans="1:15" s="131" customFormat="1" ht="13.5">
      <c r="B108" s="131" t="s">
        <v>107</v>
      </c>
      <c r="G108" s="131">
        <f t="shared" si="3"/>
        <v>47.05</v>
      </c>
      <c r="H108" s="131">
        <v>20</v>
      </c>
      <c r="I108" s="152">
        <f t="shared" si="4"/>
        <v>-27.049999999999997</v>
      </c>
      <c r="J108" s="187">
        <f>Jan!I108+Feb!I108+Mar!I108+Apr!I108+May!I108+Jun!I108+July!I108+Aug!I108+Sep!I108+Oct!I108</f>
        <v>-229.88</v>
      </c>
      <c r="K108" s="174"/>
      <c r="L108" s="115"/>
      <c r="M108" s="116">
        <f>(60.65-1-29-10)</f>
        <v>20.65</v>
      </c>
      <c r="N108" s="116">
        <f>10.97+5.47+9.96</f>
        <v>26.400000000000002</v>
      </c>
    </row>
    <row r="109" spans="1:15" s="131" customFormat="1" ht="13.5">
      <c r="B109" s="131" t="s">
        <v>108</v>
      </c>
      <c r="G109" s="131">
        <f t="shared" si="3"/>
        <v>197.82</v>
      </c>
      <c r="H109" s="131">
        <v>20</v>
      </c>
      <c r="I109" s="152">
        <f t="shared" si="4"/>
        <v>-177.82</v>
      </c>
      <c r="J109" s="187">
        <f>Jan!I109+Feb!I109+Mar!I109+Apr!I109+May!I109+Jun!I109+July!I109+Aug!I109+Sep!I109+Oct!I109</f>
        <v>-585.66000000000008</v>
      </c>
      <c r="K109" s="174"/>
      <c r="L109" s="115"/>
      <c r="M109" s="116">
        <v>8.49</v>
      </c>
      <c r="N109" s="116">
        <f>18.5+25.78+63.6+(35.59-5.47)+(118.07-36.82-19.96-9.96)</f>
        <v>189.32999999999998</v>
      </c>
      <c r="O109" s="131" t="s">
        <v>938</v>
      </c>
    </row>
    <row r="110" spans="1:15" s="131" customFormat="1" ht="13.5">
      <c r="B110" s="131" t="s">
        <v>109</v>
      </c>
      <c r="G110" s="131">
        <f t="shared" si="3"/>
        <v>19.96</v>
      </c>
      <c r="H110" s="131">
        <v>5</v>
      </c>
      <c r="I110" s="152">
        <f t="shared" si="4"/>
        <v>-14.96</v>
      </c>
      <c r="J110" s="187">
        <f>Jan!I110+Feb!I110+Mar!I110+Apr!I110+May!I110+Jun!I110+July!I110+Aug!I110+Sep!I110+Oct!I110</f>
        <v>-42.63000000000001</v>
      </c>
      <c r="K110" s="174"/>
      <c r="L110" s="115"/>
      <c r="M110" s="116"/>
      <c r="N110" s="116">
        <v>19.96</v>
      </c>
    </row>
    <row r="111" spans="1:15" s="131" customFormat="1" ht="13.5">
      <c r="I111" s="152"/>
      <c r="J111" s="187"/>
      <c r="K111" s="174"/>
      <c r="L111" s="115"/>
      <c r="M111" s="116"/>
      <c r="N111" s="116"/>
    </row>
    <row r="112" spans="1:15" s="131" customFormat="1" ht="13.5">
      <c r="A112" s="149" t="s">
        <v>407</v>
      </c>
      <c r="B112" s="149">
        <f>G113+G114</f>
        <v>47.2</v>
      </c>
      <c r="C112" s="149">
        <f>H113</f>
        <v>20</v>
      </c>
      <c r="D112" s="149">
        <f>C112-B112</f>
        <v>-27.200000000000003</v>
      </c>
      <c r="I112" s="152"/>
      <c r="J112" s="187"/>
      <c r="K112" s="174"/>
      <c r="L112" s="115"/>
      <c r="M112" s="116"/>
      <c r="N112" s="116"/>
    </row>
    <row r="113" spans="1:15" s="131" customFormat="1" ht="13.5">
      <c r="B113" s="131" t="s">
        <v>408</v>
      </c>
      <c r="G113" s="131">
        <f t="shared" si="3"/>
        <v>47.2</v>
      </c>
      <c r="H113" s="131">
        <v>20</v>
      </c>
      <c r="I113" s="152">
        <f t="shared" si="4"/>
        <v>-27.200000000000003</v>
      </c>
      <c r="J113" s="187">
        <f>Jan!I113+Feb!I113+Mar!I113+Apr!I113+May!I113+Jun!I113+July!I113+Aug!I113+Sep!I113+Oct!I113</f>
        <v>24.03</v>
      </c>
      <c r="K113" s="174"/>
      <c r="L113" s="115"/>
      <c r="M113" s="116">
        <v>47.2</v>
      </c>
      <c r="N113" s="116"/>
      <c r="O113" s="131" t="s">
        <v>894</v>
      </c>
    </row>
    <row r="114" spans="1:15" s="131" customFormat="1" ht="13.5">
      <c r="I114" s="152"/>
      <c r="J114" s="187"/>
      <c r="K114" s="174"/>
      <c r="L114" s="115"/>
      <c r="M114" s="116"/>
      <c r="N114" s="116"/>
    </row>
    <row r="115" spans="1:15" s="131" customFormat="1" ht="13.5">
      <c r="I115" s="152"/>
      <c r="J115" s="187"/>
      <c r="K115" s="174"/>
      <c r="L115" s="115"/>
      <c r="M115" s="116"/>
      <c r="N115" s="116"/>
    </row>
    <row r="116" spans="1:15" s="131" customFormat="1" ht="13.5">
      <c r="A116" s="149" t="s">
        <v>130</v>
      </c>
      <c r="B116" s="149">
        <f>G117</f>
        <v>4.7699999999999996</v>
      </c>
      <c r="C116" s="149">
        <f>H117</f>
        <v>10</v>
      </c>
      <c r="D116" s="149">
        <f>I117</f>
        <v>5.23</v>
      </c>
      <c r="I116" s="152"/>
      <c r="J116" s="187"/>
      <c r="K116" s="174"/>
      <c r="L116" s="115"/>
      <c r="M116" s="116"/>
      <c r="N116" s="116"/>
    </row>
    <row r="117" spans="1:15" s="131" customFormat="1" ht="13.5">
      <c r="B117" s="131" t="s">
        <v>455</v>
      </c>
      <c r="G117" s="131">
        <f t="shared" si="3"/>
        <v>4.7699999999999996</v>
      </c>
      <c r="H117" s="131">
        <v>10</v>
      </c>
      <c r="I117" s="152">
        <f t="shared" si="4"/>
        <v>5.23</v>
      </c>
      <c r="J117" s="187">
        <f>Jan!I117+Feb!I117+Mar!I117+Apr!I117+May!I117+Jun!I117+July!I117+Aug!I117+Sep!I117+Oct!I117</f>
        <v>-1362.02</v>
      </c>
      <c r="K117" s="174"/>
      <c r="L117" s="115"/>
      <c r="M117" s="116">
        <v>4.7699999999999996</v>
      </c>
      <c r="N117" s="116"/>
    </row>
    <row r="118" spans="1:15" s="131" customFormat="1" ht="13.5">
      <c r="I118" s="152"/>
      <c r="J118" s="187"/>
      <c r="K118" s="174"/>
      <c r="L118" s="115"/>
      <c r="M118" s="116"/>
      <c r="N118" s="116"/>
    </row>
    <row r="119" spans="1:15" s="131" customFormat="1" ht="13.5">
      <c r="A119" s="149" t="s">
        <v>406</v>
      </c>
      <c r="B119" s="149">
        <f>SUM(G120:G121)</f>
        <v>60.79</v>
      </c>
      <c r="C119" s="149">
        <f>SUM(H120:H121)</f>
        <v>65</v>
      </c>
      <c r="D119" s="149">
        <f>C119-B119</f>
        <v>4.2100000000000009</v>
      </c>
      <c r="I119" s="152"/>
      <c r="J119" s="187"/>
      <c r="K119" s="174"/>
      <c r="L119" s="115"/>
      <c r="M119" s="116"/>
      <c r="N119" s="116"/>
    </row>
    <row r="120" spans="1:15" s="131" customFormat="1" ht="13.5">
      <c r="B120" s="131" t="s">
        <v>400</v>
      </c>
      <c r="G120" s="131">
        <f t="shared" si="3"/>
        <v>60.79</v>
      </c>
      <c r="H120" s="131">
        <v>60</v>
      </c>
      <c r="I120" s="152">
        <f t="shared" si="4"/>
        <v>-0.78999999999999915</v>
      </c>
      <c r="J120" s="187">
        <f>Jan!I120+Feb!I120+Mar!I120+Apr!I120+May!I120+Jun!I120+July!I120+Aug!I120+Sep!I120+Oct!I120</f>
        <v>-1259.73</v>
      </c>
      <c r="K120" s="174"/>
      <c r="L120" s="115"/>
      <c r="M120" s="115">
        <f>5.45+5.45+49.89</f>
        <v>60.79</v>
      </c>
      <c r="N120" s="115"/>
    </row>
    <row r="121" spans="1:15" s="131" customFormat="1" ht="13.5">
      <c r="B121" s="131" t="s">
        <v>403</v>
      </c>
      <c r="G121" s="131">
        <f t="shared" si="3"/>
        <v>0</v>
      </c>
      <c r="H121" s="131">
        <v>5</v>
      </c>
      <c r="I121" s="152">
        <f t="shared" si="4"/>
        <v>5</v>
      </c>
      <c r="J121" s="187">
        <f>Jan!I121+Feb!I121+Mar!I121+Apr!I121+May!I121+Jun!I121+July!I121+Aug!I121+Sep!I121+Oct!I121</f>
        <v>-173.28</v>
      </c>
      <c r="K121" s="174"/>
      <c r="L121" s="115"/>
      <c r="M121" s="115"/>
      <c r="N121" s="115"/>
    </row>
    <row r="122" spans="1:15" s="131" customFormat="1" ht="13.5">
      <c r="I122" s="152"/>
      <c r="J122" s="187"/>
      <c r="K122" s="174"/>
      <c r="L122" s="115"/>
      <c r="M122" s="115"/>
      <c r="N122" s="115"/>
    </row>
    <row r="123" spans="1:15" s="131" customFormat="1" ht="13.5">
      <c r="A123" s="149" t="s">
        <v>132</v>
      </c>
      <c r="B123" s="149">
        <f>G124</f>
        <v>6.7</v>
      </c>
      <c r="C123" s="149">
        <f>H124</f>
        <v>10</v>
      </c>
      <c r="D123" s="149">
        <f>C123-B123</f>
        <v>3.3</v>
      </c>
      <c r="I123" s="152"/>
      <c r="J123" s="187"/>
      <c r="K123" s="174"/>
      <c r="L123" s="115"/>
      <c r="M123" s="115"/>
      <c r="N123" s="115"/>
    </row>
    <row r="124" spans="1:15" s="131" customFormat="1" ht="13.5">
      <c r="B124" s="131" t="s">
        <v>133</v>
      </c>
      <c r="G124" s="131">
        <f>SUM(L124:N124)</f>
        <v>6.7</v>
      </c>
      <c r="H124" s="131">
        <v>10</v>
      </c>
      <c r="I124" s="152">
        <f>H124-G124</f>
        <v>3.3</v>
      </c>
      <c r="J124" s="187">
        <f>Jan!I124+Feb!I124+Mar!I124+Apr!I124+May!I124+Jun!I124+July!I124+Aug!I124+Sep!I124+Oct!I124</f>
        <v>13.190000000000001</v>
      </c>
      <c r="K124" s="174"/>
      <c r="L124" s="115"/>
      <c r="M124" s="115">
        <f>5.32+1.38</f>
        <v>6.7</v>
      </c>
      <c r="N124" s="115"/>
    </row>
    <row r="125" spans="1:15" s="131" customFormat="1" ht="13.5">
      <c r="I125" s="152"/>
      <c r="J125" s="187"/>
      <c r="K125" s="174"/>
      <c r="L125" s="115"/>
      <c r="M125" s="115"/>
      <c r="N125" s="115"/>
    </row>
    <row r="126" spans="1:15" s="131" customFormat="1" ht="13.5">
      <c r="A126" s="149" t="s">
        <v>404</v>
      </c>
      <c r="B126" s="149">
        <f>SUM(G127:G128)</f>
        <v>409.47</v>
      </c>
      <c r="C126" s="149">
        <f>SUM(H127:H128)</f>
        <v>35</v>
      </c>
      <c r="D126" s="149">
        <f>C126-B126</f>
        <v>-374.47</v>
      </c>
      <c r="I126" s="152"/>
      <c r="J126" s="187"/>
      <c r="K126" s="174"/>
      <c r="L126" s="115"/>
      <c r="M126" s="115"/>
      <c r="N126" s="115"/>
    </row>
    <row r="127" spans="1:15" s="131" customFormat="1" ht="13.5">
      <c r="B127" s="198" t="s">
        <v>128</v>
      </c>
      <c r="C127" s="198"/>
      <c r="D127" s="198"/>
      <c r="E127" s="198"/>
      <c r="F127" s="198"/>
      <c r="G127" s="131">
        <f>SUM(L127:N127)</f>
        <v>378.99</v>
      </c>
      <c r="H127" s="131">
        <v>20</v>
      </c>
      <c r="I127" s="152">
        <f>H127-G127</f>
        <v>-358.99</v>
      </c>
      <c r="J127" s="187">
        <f>Jan!I127+Feb!I127+Mar!I127+Apr!I127+May!I127+Jun!I127+July!I127+Aug!I127+Sep!I127+Oct!I127</f>
        <v>-1162.2200000000003</v>
      </c>
      <c r="K127" s="174"/>
      <c r="L127" s="115"/>
      <c r="M127" s="115">
        <f>349.99+29</f>
        <v>378.99</v>
      </c>
      <c r="N127" s="115"/>
      <c r="O127" s="131" t="s">
        <v>896</v>
      </c>
    </row>
    <row r="128" spans="1:15" s="131" customFormat="1" ht="13.5">
      <c r="B128" s="198" t="s">
        <v>129</v>
      </c>
      <c r="C128" s="198"/>
      <c r="D128" s="198" t="s">
        <v>405</v>
      </c>
      <c r="E128" s="198"/>
      <c r="F128" s="198"/>
      <c r="G128" s="131">
        <f>SUM(L128:N128)</f>
        <v>30.48</v>
      </c>
      <c r="H128" s="131">
        <v>15</v>
      </c>
      <c r="I128" s="152">
        <f>H128-G128</f>
        <v>-15.48</v>
      </c>
      <c r="J128" s="187">
        <f>Jan!I128+Feb!I128+Mar!I128+Apr!I128+May!I128+Jun!I128+July!I128+Aug!I128+Sep!I128+Oct!I128</f>
        <v>-177.24</v>
      </c>
      <c r="K128" s="174"/>
      <c r="L128" s="115"/>
      <c r="M128" s="115">
        <v>30.48</v>
      </c>
      <c r="N128" s="115"/>
      <c r="O128" s="131" t="s">
        <v>895</v>
      </c>
    </row>
    <row r="129" spans="1:15" s="131" customFormat="1" ht="13.5">
      <c r="I129" s="152"/>
      <c r="J129" s="187"/>
      <c r="K129" s="174"/>
      <c r="L129" s="115"/>
      <c r="M129" s="115"/>
      <c r="N129" s="115"/>
    </row>
    <row r="130" spans="1:15" s="131" customFormat="1" ht="14.25" thickBot="1">
      <c r="I130" s="152"/>
      <c r="J130" s="187"/>
      <c r="K130" s="174"/>
      <c r="L130" s="115"/>
      <c r="M130" s="115"/>
      <c r="N130" s="115"/>
    </row>
    <row r="131" spans="1:15" s="131" customFormat="1" ht="14.25" thickBot="1">
      <c r="A131" s="149" t="s">
        <v>436</v>
      </c>
      <c r="B131" s="131">
        <f>SUM(G133:G140)</f>
        <v>442.12</v>
      </c>
      <c r="C131" s="131">
        <f>SUM(H133:H140)</f>
        <v>450</v>
      </c>
      <c r="D131" s="131">
        <f>C131-B131</f>
        <v>7.8799999999999955</v>
      </c>
      <c r="E131" s="185"/>
      <c r="I131" s="152"/>
      <c r="J131" s="187">
        <f>Jan!I131+Feb!I131+Mar!I131+Apr!I131+May!I131+Jun!I131+July!I131+Aug!I131+Sep!I131+Oct!I131</f>
        <v>0</v>
      </c>
      <c r="K131" s="174"/>
      <c r="L131" s="115"/>
      <c r="M131" s="115"/>
      <c r="N131" s="115"/>
    </row>
    <row r="132" spans="1:15" s="131" customFormat="1" ht="13.5">
      <c r="A132" s="149" t="s">
        <v>437</v>
      </c>
      <c r="I132" s="152"/>
      <c r="J132" s="187"/>
      <c r="K132" s="174"/>
      <c r="L132" s="115"/>
      <c r="M132" s="115"/>
      <c r="N132" s="115"/>
    </row>
    <row r="133" spans="1:15" s="131" customFormat="1" ht="13.5">
      <c r="A133" s="149" t="s">
        <v>418</v>
      </c>
      <c r="B133" s="131" t="s">
        <v>445</v>
      </c>
      <c r="G133" s="131">
        <f t="shared" ref="G133:G140" si="5">SUM(L133:N133)</f>
        <v>145.91</v>
      </c>
      <c r="H133" s="131">
        <v>100</v>
      </c>
      <c r="I133" s="152">
        <f t="shared" ref="I133:I140" si="6">H133-G133</f>
        <v>-45.91</v>
      </c>
      <c r="J133" s="187">
        <f>Jan!I133+Feb!I133+Mar!I133+Apr!I133+May!I133+Jun!I133+July!I133+Aug!I133+Sep!I133+Oct!I133</f>
        <v>854.09</v>
      </c>
      <c r="K133" s="174"/>
      <c r="L133" s="115"/>
      <c r="M133" s="115">
        <v>145.91</v>
      </c>
      <c r="N133" s="115"/>
      <c r="O133" s="131" t="s">
        <v>893</v>
      </c>
    </row>
    <row r="134" spans="1:15" s="131" customFormat="1" ht="13.5">
      <c r="A134" s="149" t="s">
        <v>516</v>
      </c>
      <c r="I134" s="152"/>
      <c r="J134" s="187"/>
      <c r="K134" s="174"/>
      <c r="L134" s="115"/>
      <c r="M134" s="115"/>
      <c r="N134" s="115"/>
    </row>
    <row r="135" spans="1:15" s="131" customFormat="1" ht="13.5">
      <c r="B135" s="131" t="s">
        <v>401</v>
      </c>
      <c r="G135" s="131">
        <f t="shared" si="5"/>
        <v>129.71</v>
      </c>
      <c r="H135" s="131">
        <v>100</v>
      </c>
      <c r="I135" s="152">
        <f t="shared" si="6"/>
        <v>-29.710000000000008</v>
      </c>
      <c r="J135" s="187">
        <f>Jan!I135+Feb!I135+Mar!I135+Apr!I135+May!I135+Jun!I135+July!I135+Aug!I135+Sep!I135+Oct!I135</f>
        <v>311.16999999999996</v>
      </c>
      <c r="K135" s="174"/>
      <c r="L135" s="115"/>
      <c r="M135" s="115">
        <f>42.45+3.38+15.16+68.72</f>
        <v>129.71</v>
      </c>
      <c r="N135" s="115"/>
      <c r="O135" s="131" t="s">
        <v>869</v>
      </c>
    </row>
    <row r="136" spans="1:15" s="131" customFormat="1" ht="13.5">
      <c r="B136" s="131" t="s">
        <v>402</v>
      </c>
      <c r="G136" s="131">
        <f t="shared" si="5"/>
        <v>0</v>
      </c>
      <c r="H136" s="131">
        <v>100</v>
      </c>
      <c r="I136" s="152">
        <f t="shared" si="6"/>
        <v>100</v>
      </c>
      <c r="J136" s="187">
        <f>Jan!I136+Feb!I136+Mar!I136+Apr!I136+May!I136+Jun!I136+July!I136+Aug!I136+Sep!I136+Oct!I136</f>
        <v>751.18</v>
      </c>
      <c r="K136" s="174"/>
      <c r="L136" s="115"/>
      <c r="M136" s="115"/>
      <c r="N136" s="115"/>
    </row>
    <row r="137" spans="1:15" s="131" customFormat="1" ht="13.5">
      <c r="B137" s="131" t="s">
        <v>126</v>
      </c>
      <c r="G137" s="131">
        <f t="shared" si="5"/>
        <v>73</v>
      </c>
      <c r="H137" s="131">
        <v>30</v>
      </c>
      <c r="I137" s="152">
        <f t="shared" si="6"/>
        <v>-43</v>
      </c>
      <c r="J137" s="187">
        <f>Jan!I137+Feb!I137+Mar!I137+Apr!I137+May!I137+Jun!I137+July!I137+Aug!I137+Sep!I137+Oct!I137</f>
        <v>40.089999999999975</v>
      </c>
      <c r="K137" s="174"/>
      <c r="L137" s="115"/>
      <c r="M137" s="115">
        <v>73</v>
      </c>
      <c r="N137" s="115"/>
      <c r="O137" s="131" t="s">
        <v>870</v>
      </c>
    </row>
    <row r="138" spans="1:15" s="131" customFormat="1" ht="13.5">
      <c r="B138" s="131" t="s">
        <v>127</v>
      </c>
      <c r="G138" s="131">
        <f t="shared" si="5"/>
        <v>93.5</v>
      </c>
      <c r="H138" s="131">
        <v>50</v>
      </c>
      <c r="I138" s="152">
        <f t="shared" si="6"/>
        <v>-43.5</v>
      </c>
      <c r="J138" s="187">
        <f>Jan!I138+Feb!I138+Mar!I138+Apr!I138+May!I138+Jun!I138+July!I138+Aug!I138+Sep!I138+Oct!I138</f>
        <v>-93.5</v>
      </c>
      <c r="K138" s="174"/>
      <c r="L138" s="115"/>
      <c r="M138" s="115">
        <v>93.5</v>
      </c>
      <c r="N138" s="115"/>
    </row>
    <row r="139" spans="1:15" s="131" customFormat="1" ht="13.5">
      <c r="I139" s="152"/>
      <c r="J139" s="187"/>
      <c r="K139" s="179"/>
      <c r="L139" s="115"/>
      <c r="M139" s="115"/>
      <c r="N139" s="115"/>
    </row>
    <row r="140" spans="1:15" s="131" customFormat="1" ht="13.5">
      <c r="A140" s="149" t="s">
        <v>431</v>
      </c>
      <c r="G140" s="131">
        <f t="shared" si="5"/>
        <v>0</v>
      </c>
      <c r="H140" s="131">
        <v>70</v>
      </c>
      <c r="I140" s="152">
        <f t="shared" si="6"/>
        <v>70</v>
      </c>
      <c r="J140" s="187">
        <f>Jan!I140+Feb!I140+Mar!I140+Apr!I140+May!I140+Jun!I140+July!I140+Aug!I140+Sep!I140+Oct!I140</f>
        <v>-730</v>
      </c>
      <c r="K140" s="179"/>
      <c r="L140" s="115"/>
      <c r="M140" s="115"/>
      <c r="N140" s="115"/>
    </row>
    <row r="141" spans="1:15">
      <c r="J141" s="190"/>
    </row>
    <row r="142" spans="1:15">
      <c r="J142" s="190"/>
    </row>
    <row r="143" spans="1:15">
      <c r="J143" s="190"/>
    </row>
    <row r="144" spans="1:15">
      <c r="J144" s="190"/>
    </row>
    <row r="145" spans="10:10">
      <c r="J145" s="190"/>
    </row>
    <row r="146" spans="10:10">
      <c r="J146" s="190"/>
    </row>
    <row r="147" spans="10:10">
      <c r="J147" s="190"/>
    </row>
    <row r="148" spans="10:10">
      <c r="J148" s="190"/>
    </row>
    <row r="149" spans="10:10">
      <c r="J149" s="190"/>
    </row>
    <row r="150" spans="10:10">
      <c r="J150" s="190"/>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0"/>
  <sheetViews>
    <sheetView topLeftCell="B65" zoomScale="84" zoomScaleNormal="84" workbookViewId="0">
      <selection activeCell="E46" sqref="E46"/>
    </sheetView>
  </sheetViews>
  <sheetFormatPr defaultColWidth="9" defaultRowHeight="15.75"/>
  <cols>
    <col min="1" max="1" width="24.42578125" style="165" customWidth="1"/>
    <col min="2" max="2" width="18" style="156" customWidth="1"/>
    <col min="3" max="3" width="17.140625" style="156" customWidth="1"/>
    <col min="4" max="5" width="16.5703125" style="156" customWidth="1"/>
    <col min="6" max="6" width="15.28515625" style="156" customWidth="1"/>
    <col min="7" max="7" width="13.5703125" style="156" customWidth="1"/>
    <col min="8" max="8" width="13.85546875" style="156" customWidth="1"/>
    <col min="9" max="10" width="14" style="156" customWidth="1"/>
    <col min="11" max="11" width="2.28515625" style="172" customWidth="1"/>
    <col min="12" max="12" width="11.5703125" style="156" customWidth="1"/>
    <col min="13" max="13" width="11.85546875" style="156" customWidth="1"/>
    <col min="14" max="15" width="11.5703125" style="156" customWidth="1"/>
    <col min="16" max="16" width="1.7109375" style="156" customWidth="1"/>
    <col min="17" max="17" width="11.7109375" style="156" customWidth="1"/>
    <col min="18" max="18" width="11.5703125" style="156" customWidth="1"/>
    <col min="19" max="16384" width="9" style="156"/>
  </cols>
  <sheetData>
    <row r="1" spans="1:16">
      <c r="A1" s="162" t="s">
        <v>277</v>
      </c>
      <c r="B1" s="163">
        <v>2013</v>
      </c>
      <c r="C1" s="163"/>
      <c r="L1" s="156" t="s">
        <v>519</v>
      </c>
    </row>
    <row r="2" spans="1:16">
      <c r="A2" s="162" t="s">
        <v>264</v>
      </c>
      <c r="B2" s="164" t="s">
        <v>17</v>
      </c>
      <c r="C2" s="164"/>
    </row>
    <row r="3" spans="1:16">
      <c r="O3" s="166"/>
    </row>
    <row r="4" spans="1:16">
      <c r="A4" s="162" t="s">
        <v>4</v>
      </c>
      <c r="B4" s="167">
        <f>SUM(G5:G9)</f>
        <v>15133.180000000002</v>
      </c>
      <c r="C4" s="167"/>
      <c r="G4" s="156" t="s">
        <v>71</v>
      </c>
      <c r="L4" s="168"/>
      <c r="O4" s="166"/>
    </row>
    <row r="5" spans="1:16">
      <c r="B5" s="156" t="s">
        <v>27</v>
      </c>
      <c r="C5" s="156">
        <v>3536.57</v>
      </c>
      <c r="D5" s="166">
        <v>3579.32</v>
      </c>
      <c r="E5" s="156">
        <v>3638.56</v>
      </c>
      <c r="F5" s="156">
        <v>0</v>
      </c>
      <c r="G5" s="168">
        <f>SUM(C5:F5)</f>
        <v>10754.45</v>
      </c>
      <c r="H5" s="168"/>
      <c r="I5" s="168"/>
      <c r="J5" s="168"/>
      <c r="K5" s="173"/>
      <c r="L5" s="168"/>
      <c r="O5" s="166"/>
    </row>
    <row r="6" spans="1:16">
      <c r="B6" s="156" t="s">
        <v>29</v>
      </c>
      <c r="D6" s="166"/>
      <c r="G6" s="168">
        <f>SUM(C6:F6)</f>
        <v>0</v>
      </c>
      <c r="H6" s="168"/>
      <c r="I6" s="168"/>
      <c r="J6" s="168"/>
      <c r="K6" s="173"/>
      <c r="L6" s="168"/>
      <c r="O6" s="166"/>
    </row>
    <row r="7" spans="1:16">
      <c r="B7" s="156" t="s">
        <v>327</v>
      </c>
      <c r="C7" s="156">
        <v>1877.68</v>
      </c>
      <c r="D7" s="156">
        <v>1877.68</v>
      </c>
      <c r="G7" s="168">
        <f>SUM(C7:F7)</f>
        <v>3755.36</v>
      </c>
      <c r="H7" s="168"/>
      <c r="I7" s="168"/>
      <c r="J7" s="168"/>
      <c r="K7" s="173"/>
      <c r="L7" s="168"/>
      <c r="O7" s="166"/>
    </row>
    <row r="8" spans="1:16">
      <c r="B8" s="156" t="s">
        <v>30</v>
      </c>
      <c r="C8" s="156">
        <v>311.68</v>
      </c>
      <c r="D8" s="156">
        <v>311.69</v>
      </c>
      <c r="G8" s="168">
        <f>SUM(C8:F8)</f>
        <v>623.37</v>
      </c>
      <c r="H8" s="168"/>
      <c r="I8" s="168"/>
      <c r="J8" s="168"/>
      <c r="K8" s="173"/>
      <c r="L8" s="168" t="s">
        <v>520</v>
      </c>
      <c r="P8" s="166"/>
    </row>
    <row r="9" spans="1:16">
      <c r="L9" s="156" t="s">
        <v>950</v>
      </c>
    </row>
    <row r="10" spans="1:16" s="131" customFormat="1" ht="13.5">
      <c r="A10" s="149"/>
      <c r="B10" s="153"/>
      <c r="G10" s="140"/>
      <c r="I10" s="152" t="s">
        <v>80</v>
      </c>
      <c r="J10" s="187" t="s">
        <v>439</v>
      </c>
      <c r="K10" s="174"/>
      <c r="L10" s="131" t="s">
        <v>958</v>
      </c>
    </row>
    <row r="11" spans="1:16" s="131" customFormat="1" ht="13.5">
      <c r="A11" s="149"/>
      <c r="B11" s="153"/>
      <c r="G11" s="140" t="s">
        <v>331</v>
      </c>
      <c r="H11" s="131" t="s">
        <v>84</v>
      </c>
      <c r="I11" s="154" t="s">
        <v>83</v>
      </c>
      <c r="J11" s="188" t="s">
        <v>83</v>
      </c>
      <c r="K11" s="175"/>
    </row>
    <row r="12" spans="1:16" s="131" customFormat="1" ht="13.5">
      <c r="A12" s="149" t="s">
        <v>422</v>
      </c>
      <c r="B12" s="153"/>
      <c r="D12" s="131" t="s">
        <v>426</v>
      </c>
      <c r="E12" s="131">
        <f>G12/B4</f>
        <v>0.16850390995151049</v>
      </c>
      <c r="G12" s="132">
        <f>Tithe!D16</f>
        <v>2550</v>
      </c>
      <c r="H12" s="131">
        <v>800</v>
      </c>
      <c r="I12" s="155">
        <f>H12-G12</f>
        <v>-1750</v>
      </c>
      <c r="J12" s="189">
        <f>Jan!I12+Feb!I12+Mar!I12+Apr!I12+May!I12+Jun!I12+July!I12+Aug!I12+Sep!I12+Oct!I12+Nov!I12</f>
        <v>-1350</v>
      </c>
      <c r="K12" s="176"/>
    </row>
    <row r="13" spans="1:16" s="131" customFormat="1" ht="13.5">
      <c r="A13" s="149"/>
      <c r="B13" s="153"/>
      <c r="G13" s="140"/>
      <c r="I13" s="155"/>
      <c r="J13" s="189"/>
      <c r="K13" s="176"/>
    </row>
    <row r="14" spans="1:16" s="131" customFormat="1" ht="13.5">
      <c r="A14" s="149" t="s">
        <v>427</v>
      </c>
      <c r="B14" s="153"/>
      <c r="G14" s="140"/>
      <c r="I14" s="155"/>
      <c r="J14" s="189"/>
      <c r="K14" s="176"/>
    </row>
    <row r="15" spans="1:16" s="131" customFormat="1" ht="13.5">
      <c r="B15" s="149" t="s">
        <v>329</v>
      </c>
      <c r="G15" s="132">
        <v>750</v>
      </c>
      <c r="H15" s="131">
        <v>760</v>
      </c>
      <c r="I15" s="155">
        <f t="shared" ref="I15:I26" si="0">H15-G15</f>
        <v>10</v>
      </c>
      <c r="J15" s="189">
        <f>Jan!I15+Feb!I15+Mar!I15+Apr!I15+May!I15+Jun!I15+July!I15+Aug!I15+Sep!I15+Oct!I15+Nov!I15</f>
        <v>30</v>
      </c>
      <c r="K15" s="176"/>
    </row>
    <row r="16" spans="1:16" s="131" customFormat="1" ht="13.5">
      <c r="B16" s="149" t="s">
        <v>395</v>
      </c>
      <c r="G16" s="132">
        <v>200</v>
      </c>
      <c r="H16" s="131">
        <v>200</v>
      </c>
      <c r="I16" s="155">
        <f t="shared" si="0"/>
        <v>0</v>
      </c>
      <c r="J16" s="189">
        <f>Jan!I16+Feb!I16+Mar!I16+Apr!I16+May!I16+Jun!I16+July!I16+Aug!I16+Sep!I16+Oct!I16+Nov!I16</f>
        <v>0</v>
      </c>
      <c r="K16" s="176"/>
    </row>
    <row r="17" spans="1:12" s="131" customFormat="1" ht="13.5">
      <c r="B17" s="149" t="s">
        <v>460</v>
      </c>
      <c r="G17" s="132">
        <v>300</v>
      </c>
      <c r="H17" s="131">
        <v>300</v>
      </c>
      <c r="I17" s="155"/>
      <c r="J17" s="189"/>
      <c r="K17" s="176"/>
    </row>
    <row r="18" spans="1:12" s="131" customFormat="1" ht="13.5">
      <c r="B18" s="149" t="s">
        <v>396</v>
      </c>
      <c r="G18" s="132">
        <v>200</v>
      </c>
      <c r="H18" s="131">
        <v>200</v>
      </c>
      <c r="I18" s="155">
        <f t="shared" si="0"/>
        <v>0</v>
      </c>
      <c r="J18" s="189">
        <f>Jan!I18+Feb!I18+Mar!I18+Apr!I18+May!I18+Jun!I18+July!I18+Aug!I18+Sep!I18+Oct!I18+Nov!I18</f>
        <v>0</v>
      </c>
      <c r="K18" s="176"/>
    </row>
    <row r="19" spans="1:12" s="131" customFormat="1" ht="13.5">
      <c r="B19" s="149" t="s">
        <v>461</v>
      </c>
      <c r="G19" s="132">
        <v>300</v>
      </c>
      <c r="H19" s="131">
        <v>300</v>
      </c>
      <c r="I19" s="155"/>
      <c r="J19" s="189"/>
      <c r="K19" s="176"/>
    </row>
    <row r="20" spans="1:12" s="131" customFormat="1" ht="13.5">
      <c r="B20" s="149" t="s">
        <v>397</v>
      </c>
      <c r="G20" s="132">
        <v>50</v>
      </c>
      <c r="H20" s="131">
        <v>50</v>
      </c>
      <c r="I20" s="155">
        <f t="shared" si="0"/>
        <v>0</v>
      </c>
      <c r="J20" s="189">
        <f>Jan!I20+Feb!I20+Mar!I20+Apr!I20+May!I20+Jun!I20+July!I20+Aug!I20+Sep!I20+Oct!I20+Nov!I20</f>
        <v>0</v>
      </c>
      <c r="K20" s="176"/>
    </row>
    <row r="21" spans="1:12" s="131" customFormat="1" ht="13.5">
      <c r="A21" s="149"/>
      <c r="B21" s="153"/>
      <c r="G21" s="140"/>
      <c r="I21" s="155"/>
      <c r="J21" s="189"/>
      <c r="K21" s="176"/>
    </row>
    <row r="22" spans="1:12" s="131" customFormat="1" ht="13.5">
      <c r="A22" s="149" t="s">
        <v>428</v>
      </c>
      <c r="B22" s="149" t="s">
        <v>594</v>
      </c>
      <c r="G22" s="140">
        <v>500</v>
      </c>
      <c r="H22" s="131">
        <v>500</v>
      </c>
      <c r="I22" s="155">
        <f t="shared" si="0"/>
        <v>0</v>
      </c>
      <c r="J22" s="189">
        <f>Jan!I22+Feb!I22+Mar!I22+Apr!I22+May!I22+Jun!I22+July!I22+Aug!I22+Sep!I22+Oct!I22+Nov!I22</f>
        <v>0</v>
      </c>
      <c r="K22" s="176"/>
    </row>
    <row r="23" spans="1:12" s="131" customFormat="1" ht="13.5">
      <c r="A23" s="149"/>
      <c r="B23" s="153" t="s">
        <v>595</v>
      </c>
      <c r="G23" s="140"/>
      <c r="I23" s="155"/>
      <c r="J23" s="189"/>
      <c r="K23" s="176"/>
    </row>
    <row r="24" spans="1:12" s="131" customFormat="1" ht="13.5">
      <c r="A24" s="149" t="s">
        <v>429</v>
      </c>
      <c r="B24" s="153"/>
      <c r="G24" s="140"/>
      <c r="I24" s="155"/>
      <c r="J24" s="189"/>
      <c r="K24" s="176"/>
    </row>
    <row r="25" spans="1:12" s="131" customFormat="1" ht="13.5">
      <c r="B25" s="149" t="s">
        <v>363</v>
      </c>
      <c r="G25" s="140"/>
      <c r="H25" s="131">
        <v>1500</v>
      </c>
      <c r="I25" s="155">
        <f t="shared" si="0"/>
        <v>1500</v>
      </c>
      <c r="J25" s="189">
        <f>Jan!I25+Feb!I25+Mar!I25+Apr!I25+May!I25+Jun!I25+July!I25+Aug!I25+Sep!I25+Oct!I25+Nov!I25</f>
        <v>14000</v>
      </c>
      <c r="K25" s="176"/>
    </row>
    <row r="26" spans="1:12" s="131" customFormat="1" ht="13.5">
      <c r="B26" s="149" t="s">
        <v>399</v>
      </c>
      <c r="H26" s="131">
        <v>500</v>
      </c>
      <c r="I26" s="155">
        <f t="shared" si="0"/>
        <v>500</v>
      </c>
      <c r="J26" s="192">
        <f>Jan!I26+Feb!I26+Mar!I26+Apr!I26+May!I26+Jun!I26+July!I26+Aug!I26+Sep!I26+Oct!I26+Nov!I26</f>
        <v>5500</v>
      </c>
      <c r="K26" s="176"/>
    </row>
    <row r="27" spans="1:12" s="131" customFormat="1" ht="13.5">
      <c r="A27" s="149"/>
      <c r="G27" s="157"/>
      <c r="H27" s="157"/>
      <c r="I27" s="159"/>
      <c r="J27" s="171"/>
      <c r="K27" s="171"/>
    </row>
    <row r="28" spans="1:12" s="131" customFormat="1" ht="14.25" thickBot="1">
      <c r="A28" s="149"/>
      <c r="B28" s="149"/>
      <c r="G28" s="158">
        <f>SUM(G12:G26)</f>
        <v>4850</v>
      </c>
      <c r="H28" s="158">
        <f>SUM(H12:H26)</f>
        <v>5110</v>
      </c>
      <c r="I28" s="158">
        <f>SUM(I12:I26)</f>
        <v>260</v>
      </c>
      <c r="J28" s="158">
        <f>SUM(J12:J26)</f>
        <v>18180</v>
      </c>
      <c r="K28" s="177"/>
    </row>
    <row r="29" spans="1:12" s="131" customFormat="1" ht="14.25" thickTop="1">
      <c r="A29" s="149"/>
      <c r="B29" s="149"/>
      <c r="G29" s="142"/>
      <c r="H29" s="142"/>
      <c r="I29" s="142"/>
      <c r="J29" s="142"/>
      <c r="K29" s="177"/>
    </row>
    <row r="30" spans="1:12" s="131" customFormat="1" ht="14.25" thickBot="1">
      <c r="A30" s="149"/>
      <c r="B30" s="149"/>
      <c r="G30" s="142"/>
      <c r="H30" s="142"/>
      <c r="I30" s="142"/>
      <c r="J30" s="142"/>
      <c r="K30" s="177"/>
    </row>
    <row r="31" spans="1:12" s="131" customFormat="1" ht="12.75" customHeight="1" thickBot="1">
      <c r="A31" s="149" t="s">
        <v>442</v>
      </c>
      <c r="B31" s="149"/>
      <c r="G31" s="185"/>
      <c r="H31" s="142"/>
      <c r="I31" s="142"/>
      <c r="J31" s="142"/>
      <c r="K31" s="177"/>
      <c r="L31" s="142"/>
    </row>
    <row r="32" spans="1:12" s="131" customFormat="1" ht="14.25" thickBot="1">
      <c r="A32" s="149"/>
      <c r="B32" s="149"/>
      <c r="G32" s="142"/>
      <c r="H32" s="142"/>
      <c r="I32" s="142"/>
      <c r="J32" s="142"/>
      <c r="K32" s="177"/>
      <c r="L32" s="142"/>
    </row>
    <row r="33" spans="1:15" s="131" customFormat="1" ht="14.25" thickBot="1">
      <c r="A33" s="149" t="s">
        <v>425</v>
      </c>
      <c r="B33" s="149"/>
      <c r="G33" s="169">
        <f>B4-G28</f>
        <v>10283.180000000002</v>
      </c>
      <c r="H33" s="142"/>
      <c r="I33" s="142"/>
      <c r="J33" s="142"/>
      <c r="K33" s="177"/>
      <c r="L33" s="142"/>
    </row>
    <row r="34" spans="1:15" s="131" customFormat="1" ht="13.5">
      <c r="A34" s="149"/>
      <c r="B34" s="149"/>
      <c r="G34" s="170"/>
      <c r="H34" s="142"/>
      <c r="I34" s="142"/>
      <c r="J34" s="142"/>
      <c r="K34" s="177"/>
      <c r="L34" s="142"/>
    </row>
    <row r="35" spans="1:15" s="131" customFormat="1" ht="13.5">
      <c r="A35" s="149" t="s">
        <v>432</v>
      </c>
      <c r="B35" s="149"/>
      <c r="G35" s="170">
        <f>E46</f>
        <v>2877.9800000000005</v>
      </c>
      <c r="H35" s="142"/>
      <c r="I35" s="142"/>
      <c r="J35" s="142"/>
      <c r="K35" s="177"/>
      <c r="L35" s="142"/>
    </row>
    <row r="36" spans="1:15" s="131" customFormat="1" ht="13.5">
      <c r="A36" s="149"/>
      <c r="B36" s="149"/>
      <c r="G36" s="170"/>
      <c r="H36" s="142"/>
      <c r="I36" s="142"/>
      <c r="J36" s="142"/>
      <c r="K36" s="177"/>
      <c r="L36" s="142"/>
    </row>
    <row r="37" spans="1:15" s="131" customFormat="1" ht="13.5">
      <c r="A37" s="149" t="s">
        <v>433</v>
      </c>
      <c r="B37" s="149"/>
      <c r="G37" s="170">
        <f>B131</f>
        <v>0</v>
      </c>
      <c r="H37" s="142" t="s">
        <v>435</v>
      </c>
      <c r="I37" s="142"/>
      <c r="J37" s="142"/>
      <c r="K37" s="177"/>
      <c r="L37" s="142"/>
    </row>
    <row r="38" spans="1:15" s="131" customFormat="1" ht="14.25" thickBot="1">
      <c r="A38" s="149"/>
      <c r="B38" s="149"/>
      <c r="G38" s="170"/>
      <c r="H38" s="142"/>
      <c r="I38" s="142"/>
      <c r="J38" s="142"/>
      <c r="K38" s="177"/>
      <c r="L38" s="142"/>
    </row>
    <row r="39" spans="1:15" s="131" customFormat="1" ht="14.25" thickBot="1">
      <c r="A39" s="149" t="s">
        <v>430</v>
      </c>
      <c r="B39" s="149"/>
      <c r="G39" s="186">
        <f>G33-G35-G37+G31</f>
        <v>7405.2000000000016</v>
      </c>
      <c r="H39" s="142"/>
      <c r="I39" s="142"/>
      <c r="J39" s="142"/>
      <c r="K39" s="177"/>
      <c r="L39" s="142"/>
    </row>
    <row r="40" spans="1:15" s="131" customFormat="1" ht="13.5">
      <c r="A40" s="149"/>
      <c r="B40" s="149"/>
      <c r="G40" s="196"/>
      <c r="H40" s="142"/>
      <c r="I40" s="142"/>
      <c r="J40" s="142"/>
      <c r="K40" s="177"/>
      <c r="L40" s="142"/>
      <c r="M40" s="131">
        <v>1289.17</v>
      </c>
    </row>
    <row r="41" spans="1:15" s="131" customFormat="1" ht="13.5">
      <c r="A41" s="197" t="s">
        <v>478</v>
      </c>
      <c r="B41" s="149"/>
      <c r="G41" s="196"/>
      <c r="H41" s="142"/>
      <c r="I41" s="142"/>
      <c r="J41" s="142"/>
      <c r="K41" s="177"/>
      <c r="L41" s="142"/>
    </row>
    <row r="42" spans="1:15" s="131" customFormat="1" ht="14.25">
      <c r="B42" s="197" t="s">
        <v>464</v>
      </c>
      <c r="C42" s="150">
        <f>H57+H58+H63+H64+H72+H73+H74+H81+H82+H83+H88+H91+H92+H93+H94+H95+H100+H104+H105+H106+H107+H108+H109+H110+H113+H117+H120+H121+H124</f>
        <v>1650</v>
      </c>
      <c r="D42" s="197" t="s">
        <v>465</v>
      </c>
      <c r="E42" s="150">
        <f>G57+G58+G63+G64+G72+G73+G74+G81+G82+G83+G88+G91+G92+G93+G94+G95+G100+G104+G105+G106+G107+G108+G109+G110+G113+G117+G120+G121+G124</f>
        <v>2050.44</v>
      </c>
      <c r="G42" s="196"/>
      <c r="H42" s="142"/>
      <c r="I42" s="142"/>
      <c r="J42" s="142"/>
      <c r="K42" s="177"/>
      <c r="L42" s="291"/>
      <c r="M42" s="267">
        <f>M46+M44-M43</f>
        <v>1289.17</v>
      </c>
      <c r="N42" s="267">
        <f>N46</f>
        <v>580.38</v>
      </c>
    </row>
    <row r="43" spans="1:15" s="131" customFormat="1" ht="14.25">
      <c r="A43" s="149"/>
      <c r="B43" s="149"/>
      <c r="I43" s="152"/>
      <c r="J43" s="187" t="s">
        <v>439</v>
      </c>
      <c r="K43" s="174"/>
      <c r="L43" s="267" t="s">
        <v>534</v>
      </c>
      <c r="M43" s="267">
        <f>100+100</f>
        <v>200</v>
      </c>
      <c r="N43" s="267"/>
    </row>
    <row r="44" spans="1:15" s="131" customFormat="1" ht="14.25">
      <c r="A44" s="149"/>
      <c r="B44" s="149"/>
      <c r="G44" s="140"/>
      <c r="I44" s="152" t="s">
        <v>80</v>
      </c>
      <c r="J44" s="187" t="s">
        <v>440</v>
      </c>
      <c r="K44" s="174"/>
      <c r="L44" s="267" t="s">
        <v>515</v>
      </c>
      <c r="M44" s="267">
        <v>100</v>
      </c>
      <c r="N44" s="267"/>
    </row>
    <row r="45" spans="1:15" s="131" customFormat="1" ht="14.25" thickBot="1">
      <c r="B45" s="149"/>
      <c r="G45" s="140" t="s">
        <v>331</v>
      </c>
      <c r="H45" s="131" t="s">
        <v>84</v>
      </c>
      <c r="I45" s="154" t="s">
        <v>83</v>
      </c>
      <c r="J45" s="188" t="s">
        <v>441</v>
      </c>
      <c r="K45" s="175"/>
      <c r="L45" s="180" t="s">
        <v>332</v>
      </c>
      <c r="M45" s="181" t="s">
        <v>333</v>
      </c>
      <c r="N45" s="181" t="s">
        <v>334</v>
      </c>
    </row>
    <row r="46" spans="1:15" s="131" customFormat="1" ht="14.25" thickBot="1">
      <c r="A46" s="149" t="s">
        <v>434</v>
      </c>
      <c r="D46"/>
      <c r="E46" s="262">
        <f>B48+B56+B62+B66+B71+B80+B85+B90+B97+B103+B112+B116+B119+B123+B126</f>
        <v>2877.9800000000005</v>
      </c>
      <c r="G46" s="191">
        <f>SUM(G48:G128)</f>
        <v>2877.9800000000005</v>
      </c>
      <c r="H46" s="191">
        <f>SUM(H48:H128)</f>
        <v>4162.6900000000005</v>
      </c>
      <c r="I46" s="191">
        <f>H46-G46</f>
        <v>1284.71</v>
      </c>
      <c r="J46" s="191">
        <f>SUM(J48:J128)</f>
        <v>-10193.210000000001</v>
      </c>
      <c r="K46" s="178"/>
      <c r="L46" s="182">
        <f>SUM(L49:L139)</f>
        <v>908.43000000000029</v>
      </c>
      <c r="M46" s="182">
        <f>SUM(M49:M139)</f>
        <v>1389.17</v>
      </c>
      <c r="N46" s="244">
        <f>SUM(N49:N139)</f>
        <v>580.38</v>
      </c>
      <c r="O46" s="131" t="s">
        <v>988</v>
      </c>
    </row>
    <row r="47" spans="1:15" s="131" customFormat="1" ht="13.5">
      <c r="A47" s="131" t="s">
        <v>421</v>
      </c>
      <c r="I47" s="152"/>
      <c r="J47" s="187"/>
      <c r="K47" s="174"/>
      <c r="L47" s="115"/>
      <c r="M47" s="116"/>
      <c r="N47" s="116"/>
    </row>
    <row r="48" spans="1:15" s="131" customFormat="1" ht="13.5">
      <c r="A48" s="149" t="s">
        <v>547</v>
      </c>
      <c r="B48" s="149">
        <f>SUM(G49:G54)</f>
        <v>598.55000000000018</v>
      </c>
      <c r="C48" s="149">
        <f>SUM(H49:H54)</f>
        <v>1749.1900000000005</v>
      </c>
      <c r="D48" s="149">
        <f>SUM(I49:I54)</f>
        <v>1150.6399999999999</v>
      </c>
      <c r="I48" s="152"/>
      <c r="J48" s="187"/>
      <c r="K48" s="174"/>
      <c r="L48" s="115"/>
      <c r="M48" s="116"/>
      <c r="N48" s="116"/>
    </row>
    <row r="49" spans="1:14" s="131" customFormat="1" ht="13.5">
      <c r="B49" s="131" t="s">
        <v>550</v>
      </c>
      <c r="G49" s="131">
        <f t="shared" ref="G49:G54" si="1">SUM(L49:N49)</f>
        <v>0</v>
      </c>
      <c r="H49" s="131">
        <v>0</v>
      </c>
      <c r="I49" s="152">
        <f t="shared" ref="I49:I54" si="2">H49-G49</f>
        <v>0</v>
      </c>
      <c r="J49" s="187">
        <f>Jan!I49+Feb!I49+Mar!I49+Apr!I49+May!I49+Jun!I49+July!I49+Aug!I49+Sep!I49+Oct!I49+Nov!I49</f>
        <v>-2426.06</v>
      </c>
      <c r="K49" s="174"/>
      <c r="L49" s="115"/>
      <c r="M49" s="116"/>
      <c r="N49" s="116"/>
    </row>
    <row r="50" spans="1:14" s="131" customFormat="1" ht="13.5">
      <c r="B50" s="131" t="s">
        <v>622</v>
      </c>
      <c r="G50" s="131">
        <f t="shared" si="1"/>
        <v>108.91</v>
      </c>
      <c r="H50" s="131">
        <v>1250</v>
      </c>
      <c r="I50" s="152">
        <f t="shared" si="2"/>
        <v>1141.0899999999999</v>
      </c>
      <c r="J50" s="187">
        <f>Jan!I50+Feb!I50+Mar!I50+Apr!I50+May!I50+Jun!I50+July!I50+Aug!I50+Sep!I50+Oct!I50+Nov!I50</f>
        <v>-1411.5700000000018</v>
      </c>
      <c r="K50" s="174"/>
      <c r="L50" s="115"/>
      <c r="M50" s="116">
        <f>12.35+19.88+54.26+2.45+19.97</f>
        <v>108.91</v>
      </c>
      <c r="N50" s="116"/>
    </row>
    <row r="51" spans="1:14" s="131" customFormat="1" ht="13.5">
      <c r="B51" s="131" t="s">
        <v>624</v>
      </c>
      <c r="G51" s="131">
        <f t="shared" si="1"/>
        <v>540.45000000000005</v>
      </c>
      <c r="H51" s="131">
        <v>550</v>
      </c>
      <c r="I51" s="152">
        <f t="shared" si="2"/>
        <v>9.5499999999999545</v>
      </c>
      <c r="J51" s="187">
        <f>Jan!I51+Feb!I51+Mar!I51+Apr!I51+May!I51+Jun!I51+July!I51+Aug!I51+Sep!I51+Oct!I51+Nov!I51</f>
        <v>248.67999999999995</v>
      </c>
      <c r="K51" s="174"/>
      <c r="L51" s="115">
        <v>540.45000000000005</v>
      </c>
      <c r="M51" s="116"/>
      <c r="N51" s="116"/>
    </row>
    <row r="52" spans="1:14" s="131" customFormat="1" ht="13.5">
      <c r="B52" s="131" t="s">
        <v>551</v>
      </c>
      <c r="G52" s="131">
        <f t="shared" si="1"/>
        <v>1636.68</v>
      </c>
      <c r="H52" s="131">
        <v>1636.68</v>
      </c>
      <c r="I52" s="152">
        <f t="shared" si="2"/>
        <v>0</v>
      </c>
      <c r="J52" s="187">
        <f>Jan!I52+Feb!I52+Mar!I52+Apr!I52+May!I52+Jun!I52+July!I52+Aug!I52+Sep!I52+Oct!I52+Nov!I52</f>
        <v>1585.8700000000001</v>
      </c>
      <c r="K52" s="174"/>
      <c r="L52" s="115">
        <v>1636.68</v>
      </c>
      <c r="M52" s="116"/>
      <c r="N52" s="116"/>
    </row>
    <row r="53" spans="1:14" s="131" customFormat="1" ht="13.5">
      <c r="B53" s="131" t="s">
        <v>329</v>
      </c>
      <c r="G53" s="131">
        <f t="shared" si="1"/>
        <v>312.51</v>
      </c>
      <c r="H53" s="131">
        <v>312.51</v>
      </c>
      <c r="I53" s="152">
        <f t="shared" si="2"/>
        <v>0</v>
      </c>
      <c r="J53" s="187">
        <f>Jan!I53+Feb!I53+Mar!I53+Apr!I53+May!I53+Jun!I53+July!I53+Aug!I53+Sep!I53+Oct!I53+Nov!I53</f>
        <v>312.51</v>
      </c>
      <c r="K53" s="174"/>
      <c r="L53" s="115">
        <v>312.51</v>
      </c>
      <c r="M53" s="116"/>
      <c r="N53" s="116"/>
    </row>
    <row r="54" spans="1:14" s="131" customFormat="1" ht="13.5">
      <c r="B54" s="131" t="s">
        <v>625</v>
      </c>
      <c r="G54" s="131">
        <f t="shared" si="1"/>
        <v>-2000</v>
      </c>
      <c r="H54" s="131">
        <v>-2000</v>
      </c>
      <c r="I54" s="152">
        <f t="shared" si="2"/>
        <v>0</v>
      </c>
      <c r="J54" s="187">
        <f>Jan!I54+Feb!I54+Mar!I54+Apr!I54+May!I54+Jun!I54+July!I54+Aug!I54+Sep!I54+Oct!I54+Nov!I54</f>
        <v>-1000</v>
      </c>
      <c r="K54" s="174"/>
      <c r="L54" s="115">
        <v>-2000</v>
      </c>
      <c r="M54" s="116"/>
      <c r="N54" s="116"/>
    </row>
    <row r="55" spans="1:14" s="131" customFormat="1" ht="13.5">
      <c r="I55" s="152"/>
      <c r="J55" s="187"/>
      <c r="K55" s="174"/>
      <c r="L55" s="115"/>
      <c r="M55" s="116"/>
      <c r="N55" s="116"/>
    </row>
    <row r="56" spans="1:14" s="131" customFormat="1" ht="13.5">
      <c r="A56" s="149" t="s">
        <v>85</v>
      </c>
      <c r="B56" s="149">
        <f>SUM(G57:G60)</f>
        <v>110.79</v>
      </c>
      <c r="C56" s="149">
        <f>SUM(H57:H60)</f>
        <v>355</v>
      </c>
      <c r="D56" s="149">
        <f>C56-B56</f>
        <v>244.20999999999998</v>
      </c>
      <c r="I56" s="152"/>
      <c r="J56" s="187"/>
      <c r="K56" s="174"/>
      <c r="L56" s="115"/>
      <c r="M56" s="116"/>
      <c r="N56" s="116"/>
    </row>
    <row r="57" spans="1:14" s="131" customFormat="1" ht="13.5">
      <c r="B57" s="131" t="s">
        <v>41</v>
      </c>
      <c r="C57" s="131" t="s">
        <v>42</v>
      </c>
      <c r="G57" s="131">
        <f>SUM(L57:N57)</f>
        <v>110.79</v>
      </c>
      <c r="H57" s="131">
        <v>110</v>
      </c>
      <c r="I57" s="152">
        <f>H57-G57</f>
        <v>-0.79000000000000625</v>
      </c>
      <c r="J57" s="187">
        <f>Jan!I57+Feb!I57+Mar!I57+Apr!I57+May!I57+Jun!I57+July!I57+Aug!I57+Sep!I57+Oct!I57+Nov!I57</f>
        <v>-125.97999999999999</v>
      </c>
      <c r="K57" s="174"/>
      <c r="L57" s="115">
        <v>110.79</v>
      </c>
      <c r="M57" s="116"/>
      <c r="N57" s="116"/>
    </row>
    <row r="58" spans="1:14" s="131" customFormat="1" ht="13.5">
      <c r="B58" s="131" t="s">
        <v>43</v>
      </c>
      <c r="C58" s="131" t="s">
        <v>44</v>
      </c>
      <c r="G58" s="131">
        <f t="shared" ref="G58:G121" si="3">SUM(L58:N58)</f>
        <v>0</v>
      </c>
      <c r="H58" s="131">
        <v>45</v>
      </c>
      <c r="I58" s="152">
        <f t="shared" ref="I58:I121" si="4">H58-G58</f>
        <v>45</v>
      </c>
      <c r="J58" s="187">
        <f>Jan!I58+Feb!I58+Mar!I58+Apr!I58+May!I58+Jun!I58+July!I58+Aug!I58+Sep!I58+Oct!I58+Nov!I58</f>
        <v>207.35</v>
      </c>
      <c r="K58" s="174"/>
      <c r="L58" s="115"/>
      <c r="M58" s="116"/>
      <c r="N58" s="116"/>
    </row>
    <row r="59" spans="1:14" s="131" customFormat="1" ht="13.5">
      <c r="B59" s="198" t="s">
        <v>86</v>
      </c>
      <c r="C59" s="198" t="s">
        <v>87</v>
      </c>
      <c r="D59" s="198" t="s">
        <v>423</v>
      </c>
      <c r="E59" s="198"/>
      <c r="F59" s="198"/>
      <c r="G59" s="131">
        <f t="shared" si="3"/>
        <v>0</v>
      </c>
      <c r="H59" s="131">
        <v>90</v>
      </c>
      <c r="I59" s="152">
        <f t="shared" si="4"/>
        <v>90</v>
      </c>
      <c r="J59" s="187">
        <f>Jan!I59+Feb!I59+Mar!I59+Apr!I59+May!I59+Jun!I59+July!I59+Aug!I59+Sep!I59+Oct!I59+Nov!I59</f>
        <v>-235</v>
      </c>
      <c r="K59" s="174"/>
      <c r="L59" s="115"/>
      <c r="M59" s="116"/>
      <c r="N59" s="116"/>
    </row>
    <row r="60" spans="1:14" s="131" customFormat="1" ht="13.5">
      <c r="B60" s="198" t="s">
        <v>88</v>
      </c>
      <c r="C60" s="198" t="s">
        <v>89</v>
      </c>
      <c r="D60" s="198" t="s">
        <v>424</v>
      </c>
      <c r="E60" s="198"/>
      <c r="F60" s="198"/>
      <c r="G60" s="131">
        <f t="shared" si="3"/>
        <v>0</v>
      </c>
      <c r="H60" s="131">
        <v>110</v>
      </c>
      <c r="I60" s="152">
        <f t="shared" si="4"/>
        <v>110</v>
      </c>
      <c r="J60" s="187">
        <f>Jan!I60+Feb!I60+Mar!I60+Apr!I60+May!I60+Jun!I60+July!I60+Aug!I60+Sep!I60+Oct!I60+Nov!I60</f>
        <v>-179.71999999999991</v>
      </c>
      <c r="K60" s="174"/>
      <c r="L60" s="115"/>
      <c r="M60" s="116"/>
      <c r="N60" s="116"/>
    </row>
    <row r="61" spans="1:14" s="131" customFormat="1" ht="13.5">
      <c r="I61" s="152"/>
      <c r="J61" s="187"/>
      <c r="K61" s="174"/>
      <c r="L61" s="115"/>
      <c r="M61" s="116"/>
      <c r="N61" s="116"/>
    </row>
    <row r="62" spans="1:14" s="131" customFormat="1" ht="13.5">
      <c r="A62" s="149" t="s">
        <v>91</v>
      </c>
      <c r="B62" s="149">
        <f>SUM(G63:G64)</f>
        <v>135.41000000000003</v>
      </c>
      <c r="C62" s="149">
        <f>SUM(H63:H64)</f>
        <v>138</v>
      </c>
      <c r="D62" s="149">
        <f>C62-B62</f>
        <v>2.589999999999975</v>
      </c>
      <c r="I62" s="152"/>
      <c r="J62" s="187"/>
      <c r="K62" s="174"/>
      <c r="L62" s="115"/>
      <c r="M62" s="116"/>
      <c r="N62" s="116"/>
    </row>
    <row r="63" spans="1:14" s="131" customFormat="1" ht="13.5">
      <c r="B63" s="131" t="s">
        <v>50</v>
      </c>
      <c r="C63" s="131" t="s">
        <v>51</v>
      </c>
      <c r="G63" s="131">
        <f t="shared" si="3"/>
        <v>67.180000000000007</v>
      </c>
      <c r="H63" s="131">
        <v>63</v>
      </c>
      <c r="I63" s="152">
        <f t="shared" si="4"/>
        <v>-4.1800000000000068</v>
      </c>
      <c r="J63" s="187">
        <f>Jan!I63+Feb!I63+Mar!I63+Apr!I63+May!I63+Jun!I63+July!I63+Aug!I63+Sep!I63+Oct!I63+Nov!I63</f>
        <v>-31.510000000000019</v>
      </c>
      <c r="K63" s="174"/>
      <c r="L63" s="115"/>
      <c r="M63" s="116">
        <v>67.180000000000007</v>
      </c>
      <c r="N63" s="116"/>
    </row>
    <row r="64" spans="1:14" s="131" customFormat="1" ht="13.5">
      <c r="B64" s="131" t="s">
        <v>92</v>
      </c>
      <c r="C64" s="131" t="s">
        <v>93</v>
      </c>
      <c r="D64" s="156"/>
      <c r="G64" s="131">
        <f t="shared" si="3"/>
        <v>68.23</v>
      </c>
      <c r="H64" s="131">
        <v>75</v>
      </c>
      <c r="I64" s="152">
        <f t="shared" si="4"/>
        <v>6.769999999999996</v>
      </c>
      <c r="J64" s="187">
        <f>Jan!I64+Feb!I64+Mar!I64+Apr!I64+May!I64+Jun!I64+July!I64+Aug!I64+Sep!I64+Oct!I64+Nov!I64</f>
        <v>17.590000000000018</v>
      </c>
      <c r="K64" s="174"/>
      <c r="L64" s="115"/>
      <c r="M64" s="116">
        <v>68.23</v>
      </c>
      <c r="N64" s="116"/>
    </row>
    <row r="65" spans="1:15" s="131" customFormat="1" ht="13.5">
      <c r="I65" s="152"/>
      <c r="J65" s="187"/>
      <c r="K65" s="174"/>
      <c r="L65" s="115"/>
      <c r="M65" s="116"/>
      <c r="N65" s="116"/>
    </row>
    <row r="66" spans="1:15" s="131" customFormat="1" ht="13.5">
      <c r="A66" s="193" t="s">
        <v>94</v>
      </c>
      <c r="B66" s="149">
        <f>SUM(G67:G69)</f>
        <v>0</v>
      </c>
      <c r="C66" s="149">
        <f>SUM(H67:H69)</f>
        <v>177</v>
      </c>
      <c r="D66" s="149">
        <f>C66-B66</f>
        <v>177</v>
      </c>
      <c r="I66" s="152"/>
      <c r="J66" s="187"/>
      <c r="K66" s="174"/>
      <c r="L66" s="115"/>
      <c r="M66" s="116"/>
      <c r="N66" s="116"/>
    </row>
    <row r="67" spans="1:15" s="131" customFormat="1" ht="13.5">
      <c r="B67" s="198" t="s">
        <v>95</v>
      </c>
      <c r="C67" s="198"/>
      <c r="D67" s="198" t="s">
        <v>96</v>
      </c>
      <c r="E67" s="198"/>
      <c r="F67" s="198"/>
      <c r="G67" s="131">
        <f t="shared" si="3"/>
        <v>0</v>
      </c>
      <c r="H67" s="131">
        <v>56.5</v>
      </c>
      <c r="I67" s="152">
        <f t="shared" si="4"/>
        <v>56.5</v>
      </c>
      <c r="J67" s="187">
        <f>Jan!I67+Feb!I67+Mar!I67+Apr!I67+May!I67+Jun!I67+July!I67+Aug!I67+Sep!I67+Oct!I67+Nov!I67</f>
        <v>-94.5</v>
      </c>
      <c r="K67" s="174"/>
      <c r="L67" s="115"/>
      <c r="M67" s="116"/>
      <c r="N67" s="116"/>
    </row>
    <row r="68" spans="1:15" s="131" customFormat="1" ht="13.5">
      <c r="B68" s="198" t="s">
        <v>97</v>
      </c>
      <c r="C68" s="198"/>
      <c r="D68" s="198" t="s">
        <v>96</v>
      </c>
      <c r="E68" s="198"/>
      <c r="F68" s="198"/>
      <c r="G68" s="131">
        <f t="shared" si="3"/>
        <v>0</v>
      </c>
      <c r="H68" s="131">
        <v>84.5</v>
      </c>
      <c r="I68" s="152">
        <f t="shared" si="4"/>
        <v>84.5</v>
      </c>
      <c r="J68" s="187">
        <f>Jan!I68+Feb!I68+Mar!I68+Apr!I68+May!I68+Jun!I68+July!I68+Aug!I68+Sep!I68+Oct!I68+Nov!I68</f>
        <v>-25.5</v>
      </c>
      <c r="K68" s="174"/>
      <c r="L68" s="115"/>
      <c r="M68" s="116"/>
      <c r="N68" s="116"/>
    </row>
    <row r="69" spans="1:15" s="131" customFormat="1" ht="13.5">
      <c r="B69" s="198" t="s">
        <v>98</v>
      </c>
      <c r="C69" s="198"/>
      <c r="D69" s="198" t="s">
        <v>477</v>
      </c>
      <c r="E69" s="198"/>
      <c r="F69" s="198"/>
      <c r="G69" s="131">
        <f t="shared" si="3"/>
        <v>0</v>
      </c>
      <c r="H69" s="131">
        <v>36</v>
      </c>
      <c r="I69" s="152">
        <f t="shared" si="4"/>
        <v>36</v>
      </c>
      <c r="J69" s="187">
        <f>Jan!I69+Feb!I69+Mar!I69+Apr!I69+May!I69+Jun!I69+July!I69+Aug!I69+Sep!I69+Oct!I69+Nov!I69</f>
        <v>-36.819999999999993</v>
      </c>
      <c r="K69" s="174"/>
      <c r="L69" s="115"/>
      <c r="M69" s="116"/>
      <c r="N69" s="116"/>
    </row>
    <row r="70" spans="1:15" s="131" customFormat="1" ht="13.5">
      <c r="I70" s="152"/>
      <c r="J70" s="187"/>
      <c r="K70" s="174"/>
      <c r="L70" s="115"/>
      <c r="M70" s="116"/>
      <c r="N70" s="116"/>
    </row>
    <row r="71" spans="1:15" s="131" customFormat="1" ht="13.5">
      <c r="A71" s="149" t="s">
        <v>99</v>
      </c>
      <c r="B71" s="149">
        <f>SUM(G72:G78)</f>
        <v>109</v>
      </c>
      <c r="C71" s="149">
        <f>SUM(H72:H78)</f>
        <v>166.5</v>
      </c>
      <c r="D71" s="149">
        <f>C71-B71</f>
        <v>57.5</v>
      </c>
      <c r="I71" s="152"/>
      <c r="J71" s="187"/>
      <c r="K71" s="174"/>
      <c r="L71" s="115"/>
      <c r="M71" s="116"/>
      <c r="N71" s="116"/>
    </row>
    <row r="72" spans="1:15" s="131" customFormat="1" ht="13.5">
      <c r="B72" s="131" t="s">
        <v>100</v>
      </c>
      <c r="G72" s="131">
        <f t="shared" si="3"/>
        <v>109</v>
      </c>
      <c r="H72" s="131">
        <v>15</v>
      </c>
      <c r="I72" s="152">
        <f t="shared" si="4"/>
        <v>-94</v>
      </c>
      <c r="J72" s="187">
        <f>Jan!I72+Feb!I72+Mar!I72+Apr!I72+May!I72+Jun!I72+July!I72+Aug!I72+Sep!I72+Oct!I72+Nov!I72</f>
        <v>-67.05</v>
      </c>
      <c r="K72" s="174"/>
      <c r="L72" s="115"/>
      <c r="M72" s="116">
        <v>109</v>
      </c>
      <c r="N72" s="116"/>
      <c r="O72" s="131" t="s">
        <v>947</v>
      </c>
    </row>
    <row r="73" spans="1:15" s="131" customFormat="1" ht="13.5">
      <c r="B73" s="131" t="s">
        <v>384</v>
      </c>
      <c r="G73" s="131">
        <f t="shared" si="3"/>
        <v>0</v>
      </c>
      <c r="H73" s="131">
        <v>5</v>
      </c>
      <c r="I73" s="152">
        <f t="shared" si="4"/>
        <v>5</v>
      </c>
      <c r="J73" s="187">
        <f>Jan!I73+Feb!I73+Mar!I73+Apr!I73+May!I73+Jun!I73+July!I73+Aug!I73+Sep!I73+Oct!I73+Nov!I73</f>
        <v>13.899999999999999</v>
      </c>
      <c r="K73" s="174"/>
      <c r="L73" s="115"/>
      <c r="M73" s="116"/>
      <c r="N73" s="116"/>
    </row>
    <row r="74" spans="1:15" s="131" customFormat="1" ht="13.5">
      <c r="B74" s="131" t="s">
        <v>385</v>
      </c>
      <c r="G74" s="131">
        <f t="shared" si="3"/>
        <v>0</v>
      </c>
      <c r="H74" s="131">
        <v>65</v>
      </c>
      <c r="I74" s="152">
        <f t="shared" si="4"/>
        <v>65</v>
      </c>
      <c r="J74" s="187">
        <f>Jan!I74+Feb!I74+Mar!I74+Apr!I74+May!I74+Jun!I74+July!I74+Aug!I74+Sep!I74+Oct!I74+Nov!I74</f>
        <v>-41.069999999999965</v>
      </c>
      <c r="K74" s="174"/>
      <c r="L74" s="115"/>
      <c r="M74" s="116"/>
      <c r="N74" s="116"/>
    </row>
    <row r="75" spans="1:15" s="131" customFormat="1" ht="13.5">
      <c r="B75" s="131" t="s">
        <v>386</v>
      </c>
      <c r="G75" s="131">
        <f t="shared" si="3"/>
        <v>0</v>
      </c>
      <c r="H75" s="131">
        <v>15</v>
      </c>
      <c r="I75" s="152">
        <f t="shared" si="4"/>
        <v>15</v>
      </c>
      <c r="J75" s="187">
        <f>Jan!I75+Feb!I75+Mar!I75+Apr!I75+May!I75+Jun!I75+July!I75+Aug!I75+Sep!I75+Oct!I75+Nov!I75</f>
        <v>70.88</v>
      </c>
      <c r="K75" s="174"/>
      <c r="L75" s="115"/>
      <c r="M75" s="116"/>
      <c r="N75" s="116"/>
    </row>
    <row r="76" spans="1:15" s="131" customFormat="1" ht="13.5">
      <c r="B76" s="198" t="s">
        <v>390</v>
      </c>
      <c r="C76" s="198"/>
      <c r="D76" s="198"/>
      <c r="E76" s="198"/>
      <c r="F76" s="198"/>
      <c r="G76" s="131">
        <f t="shared" si="3"/>
        <v>0</v>
      </c>
      <c r="H76" s="131">
        <v>35</v>
      </c>
      <c r="I76" s="152">
        <f t="shared" si="4"/>
        <v>35</v>
      </c>
      <c r="J76" s="187">
        <f>Jan!I76+Feb!I76+Mar!I76+Apr!I76+May!I76+Jun!I76+July!I76+Aug!I76+Sep!I76+Oct!I76+Nov!I76</f>
        <v>-22.600000000000023</v>
      </c>
      <c r="K76" s="174"/>
      <c r="L76" s="115"/>
      <c r="M76" s="116"/>
      <c r="N76" s="116"/>
    </row>
    <row r="77" spans="1:15" s="131" customFormat="1" ht="13.5">
      <c r="B77" s="198" t="s">
        <v>387</v>
      </c>
      <c r="C77" s="198"/>
      <c r="D77" s="198"/>
      <c r="E77" s="198"/>
      <c r="F77" s="198"/>
      <c r="G77" s="131">
        <f t="shared" si="3"/>
        <v>0</v>
      </c>
      <c r="H77" s="131">
        <v>20</v>
      </c>
      <c r="I77" s="152">
        <f t="shared" si="4"/>
        <v>20</v>
      </c>
      <c r="J77" s="187">
        <f>Jan!I77+Feb!I77+Mar!I77+Apr!I77+May!I77+Jun!I77+July!I77+Aug!I77+Sep!I77+Oct!I77+Nov!I77</f>
        <v>220</v>
      </c>
      <c r="K77" s="174"/>
      <c r="L77" s="115"/>
      <c r="M77" s="116"/>
      <c r="N77" s="116"/>
    </row>
    <row r="78" spans="1:15" s="131" customFormat="1" ht="13.5">
      <c r="B78" s="198" t="s">
        <v>388</v>
      </c>
      <c r="C78" s="198"/>
      <c r="D78" s="198"/>
      <c r="E78" s="198"/>
      <c r="F78" s="198"/>
      <c r="G78" s="131">
        <f t="shared" si="3"/>
        <v>0</v>
      </c>
      <c r="H78" s="131">
        <v>11.5</v>
      </c>
      <c r="I78" s="152">
        <f t="shared" si="4"/>
        <v>11.5</v>
      </c>
      <c r="J78" s="187">
        <f>Jan!I78+Feb!I78+Mar!I78+Apr!I78+May!I78+Jun!I78+July!I78+Aug!I78+Sep!I78+Oct!I78+Nov!I78</f>
        <v>0.51000000000000512</v>
      </c>
      <c r="K78" s="174"/>
      <c r="L78" s="115"/>
      <c r="M78" s="116"/>
      <c r="N78" s="116"/>
    </row>
    <row r="79" spans="1:15" s="131" customFormat="1" ht="13.5">
      <c r="I79" s="152"/>
      <c r="J79" s="187"/>
      <c r="K79" s="174"/>
      <c r="L79" s="115"/>
      <c r="M79" s="116"/>
      <c r="N79" s="116"/>
    </row>
    <row r="80" spans="1:15" s="131" customFormat="1" ht="13.5">
      <c r="A80" s="149" t="s">
        <v>335</v>
      </c>
      <c r="B80" s="149">
        <f>SUM(G81:G83)</f>
        <v>-10.49</v>
      </c>
      <c r="C80" s="149">
        <f>SUM(H81:H83)</f>
        <v>30</v>
      </c>
      <c r="D80" s="149">
        <f>C80-B80</f>
        <v>40.49</v>
      </c>
      <c r="I80" s="152"/>
      <c r="J80" s="187"/>
      <c r="K80" s="174"/>
      <c r="L80" s="115"/>
      <c r="M80" s="116"/>
      <c r="N80" s="116"/>
    </row>
    <row r="81" spans="1:15" s="131" customFormat="1" ht="13.5">
      <c r="B81" s="198" t="s">
        <v>101</v>
      </c>
      <c r="C81" s="198"/>
      <c r="D81" s="198"/>
      <c r="E81" s="198"/>
      <c r="F81" s="198"/>
      <c r="G81" s="131">
        <f t="shared" si="3"/>
        <v>0</v>
      </c>
      <c r="H81" s="131">
        <v>10</v>
      </c>
      <c r="I81" s="152">
        <f t="shared" si="4"/>
        <v>10</v>
      </c>
      <c r="J81" s="187">
        <f>Jan!I81+Feb!I81+Mar!I81+Apr!I81+May!I81+Jun!I81+July!I81+Aug!I81+Sep!I81+Oct!I81+Nov!I81</f>
        <v>-343</v>
      </c>
      <c r="K81" s="174"/>
      <c r="L81" s="115"/>
      <c r="M81" s="116"/>
      <c r="N81" s="116"/>
    </row>
    <row r="82" spans="1:15" s="131" customFormat="1" ht="13.5">
      <c r="B82" s="198" t="s">
        <v>102</v>
      </c>
      <c r="C82" s="198"/>
      <c r="D82" s="198"/>
      <c r="E82" s="198"/>
      <c r="F82" s="198"/>
      <c r="G82" s="131">
        <f t="shared" si="3"/>
        <v>-10.49</v>
      </c>
      <c r="H82" s="131">
        <v>10</v>
      </c>
      <c r="I82" s="152">
        <f t="shared" si="4"/>
        <v>20.490000000000002</v>
      </c>
      <c r="J82" s="187">
        <f>Jan!I82+Feb!I82+Mar!I82+Apr!I82+May!I82+Jun!I82+July!I82+Aug!I82+Sep!I82+Oct!I82+Nov!I82</f>
        <v>-78.460000000000008</v>
      </c>
      <c r="K82" s="174"/>
      <c r="L82" s="115"/>
      <c r="M82" s="116"/>
      <c r="N82" s="116">
        <f>-12.99+2.5</f>
        <v>-10.49</v>
      </c>
    </row>
    <row r="83" spans="1:15" s="131" customFormat="1" ht="13.5">
      <c r="B83" s="198" t="s">
        <v>383</v>
      </c>
      <c r="C83" s="198"/>
      <c r="D83" s="198"/>
      <c r="E83" s="198"/>
      <c r="F83" s="198"/>
      <c r="G83" s="131">
        <f t="shared" si="3"/>
        <v>0</v>
      </c>
      <c r="H83" s="131">
        <v>10</v>
      </c>
      <c r="I83" s="152">
        <f t="shared" si="4"/>
        <v>10</v>
      </c>
      <c r="J83" s="187">
        <f>Jan!I83+Feb!I83+Mar!I83+Apr!I83+May!I83+Jun!I83+July!I83+Aug!I83+Sep!I83+Oct!I83+Nov!I83</f>
        <v>14.350000000000001</v>
      </c>
      <c r="K83" s="174"/>
      <c r="L83" s="115"/>
      <c r="M83" s="116"/>
      <c r="N83" s="116"/>
    </row>
    <row r="84" spans="1:15" s="131" customFormat="1" ht="13.5">
      <c r="I84" s="152"/>
      <c r="J84" s="187"/>
      <c r="K84" s="174"/>
      <c r="L84" s="115"/>
      <c r="M84" s="116"/>
      <c r="N84" s="116"/>
    </row>
    <row r="85" spans="1:15" s="131" customFormat="1" ht="13.5">
      <c r="A85" s="149" t="s">
        <v>110</v>
      </c>
      <c r="B85" s="149">
        <f>SUM(G86:G88)</f>
        <v>193.36</v>
      </c>
      <c r="C85" s="149">
        <f>SUM(H86:H88)</f>
        <v>115</v>
      </c>
      <c r="D85" s="149">
        <f>C85-B85</f>
        <v>-78.360000000000014</v>
      </c>
      <c r="I85" s="152"/>
      <c r="J85" s="187"/>
      <c r="K85" s="174"/>
      <c r="L85" s="115"/>
      <c r="M85" s="116"/>
      <c r="N85" s="116"/>
    </row>
    <row r="86" spans="1:15" s="131" customFormat="1" ht="13.5">
      <c r="B86" s="198" t="s">
        <v>389</v>
      </c>
      <c r="C86" s="198"/>
      <c r="D86" s="198"/>
      <c r="E86" s="198"/>
      <c r="F86" s="198"/>
      <c r="G86" s="131">
        <f t="shared" si="3"/>
        <v>0</v>
      </c>
      <c r="H86" s="131">
        <v>30</v>
      </c>
      <c r="I86" s="152">
        <f t="shared" si="4"/>
        <v>30</v>
      </c>
      <c r="J86" s="187">
        <f>Jan!I86+Feb!I86+Mar!I86+Apr!I86+May!I86+Jun!I86+July!I86+Aug!I86+Sep!I86+Oct!I86+Nov!I86</f>
        <v>-716.38000000000011</v>
      </c>
      <c r="K86" s="174"/>
      <c r="L86" s="115"/>
      <c r="M86" s="116"/>
      <c r="N86" s="116"/>
    </row>
    <row r="87" spans="1:15" s="131" customFormat="1" ht="13.5">
      <c r="B87" s="198" t="s">
        <v>111</v>
      </c>
      <c r="C87" s="198"/>
      <c r="D87" s="198"/>
      <c r="E87" s="198"/>
      <c r="F87" s="198"/>
      <c r="G87" s="131">
        <f t="shared" si="3"/>
        <v>0</v>
      </c>
      <c r="H87" s="131">
        <v>20</v>
      </c>
      <c r="I87" s="152">
        <f t="shared" si="4"/>
        <v>20</v>
      </c>
      <c r="J87" s="187">
        <f>Jan!I87+Feb!I87+Mar!I87+Apr!I87+May!I87+Jun!I87+July!I87+Aug!I87+Sep!I87+Oct!I87+Nov!I87</f>
        <v>-63.399999999999977</v>
      </c>
      <c r="K87" s="174"/>
      <c r="L87" s="115"/>
      <c r="M87" s="116"/>
      <c r="N87" s="116"/>
    </row>
    <row r="88" spans="1:15" s="131" customFormat="1" ht="13.5">
      <c r="B88" s="131" t="s">
        <v>391</v>
      </c>
      <c r="G88" s="131">
        <f t="shared" si="3"/>
        <v>193.36</v>
      </c>
      <c r="H88" s="131">
        <v>65</v>
      </c>
      <c r="I88" s="152">
        <f t="shared" si="4"/>
        <v>-128.36000000000001</v>
      </c>
      <c r="J88" s="187">
        <f>Jan!I88+Feb!I88+Mar!I88+Apr!I88+May!I88+Jun!I88+July!I88+Aug!I88+Sep!I88+Oct!I88+Nov!I88</f>
        <v>-580.56999999999994</v>
      </c>
      <c r="K88" s="174"/>
      <c r="L88" s="115"/>
      <c r="M88" s="116">
        <f>60.16+47.65+32.28</f>
        <v>140.09</v>
      </c>
      <c r="N88" s="116">
        <v>53.27</v>
      </c>
    </row>
    <row r="89" spans="1:15" s="131" customFormat="1" ht="13.5">
      <c r="I89" s="152"/>
      <c r="J89" s="187"/>
      <c r="K89" s="174"/>
      <c r="L89" s="115"/>
      <c r="M89" s="116"/>
      <c r="N89" s="116"/>
    </row>
    <row r="90" spans="1:15" s="131" customFormat="1" ht="13.5">
      <c r="A90" s="149" t="s">
        <v>112</v>
      </c>
      <c r="B90" s="149">
        <f>SUM(G91:G95)</f>
        <v>357.35999999999996</v>
      </c>
      <c r="C90" s="149">
        <f>SUM(H91:H95)</f>
        <v>220</v>
      </c>
      <c r="D90" s="149">
        <f>C90-B90</f>
        <v>-137.35999999999996</v>
      </c>
      <c r="I90" s="152"/>
      <c r="J90" s="187"/>
      <c r="K90" s="174"/>
      <c r="L90" s="115"/>
      <c r="M90" s="116"/>
      <c r="N90" s="116"/>
    </row>
    <row r="91" spans="1:15" s="131" customFormat="1" ht="13.5">
      <c r="B91" s="131" t="s">
        <v>113</v>
      </c>
      <c r="G91" s="131">
        <f t="shared" si="3"/>
        <v>73.44</v>
      </c>
      <c r="H91" s="131">
        <v>40</v>
      </c>
      <c r="I91" s="152">
        <f t="shared" si="4"/>
        <v>-33.44</v>
      </c>
      <c r="J91" s="187">
        <f>Jan!I91+Feb!I91+Mar!I91+Apr!I91+May!I91+Jun!I91+July!I91+Aug!I91+Sep!I91+Oct!I91+Nov!I91</f>
        <v>-155.15</v>
      </c>
      <c r="K91" s="174"/>
      <c r="L91" s="115"/>
      <c r="M91" s="116">
        <f>36.06+37.38</f>
        <v>73.44</v>
      </c>
      <c r="N91" s="116"/>
    </row>
    <row r="92" spans="1:15" s="131" customFormat="1" ht="13.5">
      <c r="B92" s="131" t="s">
        <v>114</v>
      </c>
      <c r="D92" s="131" t="s">
        <v>115</v>
      </c>
      <c r="G92" s="131">
        <f t="shared" si="3"/>
        <v>195.25</v>
      </c>
      <c r="H92" s="131">
        <v>120</v>
      </c>
      <c r="I92" s="152">
        <f t="shared" si="4"/>
        <v>-75.25</v>
      </c>
      <c r="J92" s="187">
        <f>Jan!I92+Feb!I92+Mar!I92+Apr!I92+May!I92+Jun!I92+July!I92+Aug!I92+Sep!I92+Oct!I92+Nov!I92</f>
        <v>63.5</v>
      </c>
      <c r="K92" s="174"/>
      <c r="L92" s="115"/>
      <c r="M92" s="116">
        <f>10+85+85</f>
        <v>180</v>
      </c>
      <c r="N92" s="116">
        <v>15.25</v>
      </c>
      <c r="O92" s="131" t="s">
        <v>989</v>
      </c>
    </row>
    <row r="93" spans="1:15" s="131" customFormat="1" ht="13.5">
      <c r="B93" s="131" t="s">
        <v>116</v>
      </c>
      <c r="G93" s="131">
        <f t="shared" si="3"/>
        <v>21.71</v>
      </c>
      <c r="H93" s="131">
        <v>20</v>
      </c>
      <c r="I93" s="152">
        <f t="shared" si="4"/>
        <v>-1.7100000000000009</v>
      </c>
      <c r="J93" s="187">
        <f>Jan!I93+Feb!I93+Mar!I93+Apr!I93+May!I93+Jun!I93+July!I93+Aug!I93+Sep!I93+Oct!I93+Nov!I93</f>
        <v>-9.9100000000000037</v>
      </c>
      <c r="K93" s="174"/>
      <c r="L93" s="115"/>
      <c r="M93" s="116">
        <f>10+11.71</f>
        <v>21.71</v>
      </c>
      <c r="N93" s="116"/>
    </row>
    <row r="94" spans="1:15" s="131" customFormat="1" ht="13.5">
      <c r="A94" s="149"/>
      <c r="B94" s="131" t="s">
        <v>117</v>
      </c>
      <c r="G94" s="131">
        <f t="shared" si="3"/>
        <v>50</v>
      </c>
      <c r="H94" s="131">
        <v>20</v>
      </c>
      <c r="I94" s="152">
        <f t="shared" si="4"/>
        <v>-30</v>
      </c>
      <c r="J94" s="187">
        <f>Jan!I94+Feb!I94+Mar!I94+Apr!I94+May!I94+Jun!I94+July!I94+Aug!I94+Sep!I94+Oct!I94+Nov!I94</f>
        <v>-41.279999999999987</v>
      </c>
      <c r="K94" s="174"/>
      <c r="L94" s="115"/>
      <c r="M94" s="116">
        <f>50</f>
        <v>50</v>
      </c>
      <c r="N94" s="116"/>
      <c r="O94" s="131" t="s">
        <v>918</v>
      </c>
    </row>
    <row r="95" spans="1:15" s="131" customFormat="1" ht="13.5">
      <c r="A95" s="149"/>
      <c r="B95" s="131" t="s">
        <v>118</v>
      </c>
      <c r="G95" s="131">
        <f t="shared" si="3"/>
        <v>16.96</v>
      </c>
      <c r="H95" s="131">
        <v>20</v>
      </c>
      <c r="I95" s="152">
        <f t="shared" si="4"/>
        <v>3.0399999999999991</v>
      </c>
      <c r="J95" s="187">
        <f>Jan!I95+Feb!I95+Mar!I95+Apr!I95+May!I95+Jun!I95+July!I95+Aug!I95+Sep!I95+Oct!I95+Nov!I95</f>
        <v>-161.39000000000004</v>
      </c>
      <c r="K95" s="174"/>
      <c r="L95" s="115"/>
      <c r="M95" s="116">
        <f>10.87+2.34+3.75</f>
        <v>16.96</v>
      </c>
      <c r="N95" s="116"/>
    </row>
    <row r="96" spans="1:15" s="131" customFormat="1" ht="13.5">
      <c r="A96" s="149"/>
      <c r="B96" s="149"/>
      <c r="I96" s="152"/>
      <c r="J96" s="187"/>
      <c r="K96" s="174"/>
      <c r="L96" s="115"/>
      <c r="M96" s="116"/>
      <c r="N96" s="116"/>
    </row>
    <row r="97" spans="1:15" s="131" customFormat="1" ht="13.5">
      <c r="A97" s="149" t="s">
        <v>119</v>
      </c>
      <c r="B97" s="149">
        <f>SUM(G98:G101)</f>
        <v>409.51</v>
      </c>
      <c r="C97" s="149">
        <f>SUM(H98:H101)</f>
        <v>435</v>
      </c>
      <c r="D97" s="149">
        <f>C97-B97</f>
        <v>25.490000000000009</v>
      </c>
      <c r="I97" s="152"/>
      <c r="J97" s="187"/>
      <c r="K97" s="174"/>
      <c r="L97" s="115"/>
      <c r="M97" s="116"/>
      <c r="N97" s="116"/>
    </row>
    <row r="98" spans="1:15" s="131" customFormat="1" ht="13.5">
      <c r="B98" s="198" t="s">
        <v>120</v>
      </c>
      <c r="C98" s="198"/>
      <c r="D98" s="198" t="s">
        <v>121</v>
      </c>
      <c r="E98" s="198"/>
      <c r="F98" s="198"/>
      <c r="G98" s="131">
        <f t="shared" si="3"/>
        <v>0</v>
      </c>
      <c r="H98" s="131">
        <v>150</v>
      </c>
      <c r="I98" s="152">
        <f t="shared" si="4"/>
        <v>150</v>
      </c>
      <c r="J98" s="187">
        <f>Jan!I98+Feb!I98+Mar!I98+Apr!I98+May!I98+Jun!I98+July!I98+Aug!I98+Sep!I98+Oct!I98+Nov!I98</f>
        <v>25.450000000000102</v>
      </c>
      <c r="K98" s="174"/>
      <c r="L98" s="115"/>
      <c r="M98" s="116"/>
      <c r="N98" s="116"/>
    </row>
    <row r="99" spans="1:15" s="131" customFormat="1" ht="13.5">
      <c r="B99" s="198" t="s">
        <v>122</v>
      </c>
      <c r="C99" s="198"/>
      <c r="D99" s="198" t="s">
        <v>123</v>
      </c>
      <c r="E99" s="198"/>
      <c r="F99" s="198"/>
      <c r="G99" s="131">
        <f t="shared" si="3"/>
        <v>28.99</v>
      </c>
      <c r="H99" s="131">
        <v>20</v>
      </c>
      <c r="I99" s="152">
        <f t="shared" si="4"/>
        <v>-8.9899999999999984</v>
      </c>
      <c r="J99" s="187">
        <f>Jan!I99+Feb!I99+Mar!I99+Apr!I99+May!I99+Jun!I99+July!I99+Aug!I99+Sep!I99+Oct!I99+Nov!I99</f>
        <v>-17.78</v>
      </c>
      <c r="K99" s="174"/>
      <c r="L99" s="115"/>
      <c r="M99" s="116">
        <f>28.99</f>
        <v>28.99</v>
      </c>
      <c r="N99" s="116"/>
      <c r="O99" s="131" t="s">
        <v>544</v>
      </c>
    </row>
    <row r="100" spans="1:15" s="131" customFormat="1" ht="13.5">
      <c r="A100" s="149"/>
      <c r="B100" s="131" t="s">
        <v>124</v>
      </c>
      <c r="G100" s="131">
        <f t="shared" si="3"/>
        <v>202.52</v>
      </c>
      <c r="H100" s="131">
        <v>215</v>
      </c>
      <c r="I100" s="152">
        <f t="shared" si="4"/>
        <v>12.47999999999999</v>
      </c>
      <c r="J100" s="187">
        <f>Jan!I100+Feb!I100+Mar!I100+Apr!I100+May!I100+Jun!I100+July!I100+Aug!I100+Sep!I100+Oct!I100+Nov!I100</f>
        <v>15.269999999999982</v>
      </c>
      <c r="K100" s="174"/>
      <c r="L100" s="115">
        <v>160</v>
      </c>
      <c r="M100" s="116">
        <v>42.52</v>
      </c>
      <c r="N100" s="116"/>
    </row>
    <row r="101" spans="1:15" s="131" customFormat="1" ht="13.5">
      <c r="A101" s="149"/>
      <c r="B101" s="198" t="s">
        <v>125</v>
      </c>
      <c r="C101" s="198"/>
      <c r="D101" s="198"/>
      <c r="E101" s="198"/>
      <c r="F101" s="198"/>
      <c r="G101" s="131">
        <f t="shared" si="3"/>
        <v>178</v>
      </c>
      <c r="H101" s="131">
        <v>50</v>
      </c>
      <c r="I101" s="152">
        <f t="shared" si="4"/>
        <v>-128</v>
      </c>
      <c r="J101" s="187">
        <f>Jan!I101+Feb!I101+Mar!I101+Apr!I101+May!I101+Jun!I101+July!I101+Aug!I101+Sep!I101+Oct!I101+Nov!I101</f>
        <v>-75.980000000000018</v>
      </c>
      <c r="K101" s="174"/>
      <c r="L101" s="115">
        <v>48</v>
      </c>
      <c r="M101" s="116">
        <v>130</v>
      </c>
      <c r="N101" s="116"/>
      <c r="O101" s="131" t="s">
        <v>944</v>
      </c>
    </row>
    <row r="102" spans="1:15" s="131" customFormat="1" ht="13.5">
      <c r="A102" s="149"/>
      <c r="I102" s="152"/>
      <c r="J102" s="187"/>
      <c r="K102" s="174"/>
      <c r="L102" s="115"/>
      <c r="M102" s="116"/>
      <c r="N102" s="116"/>
    </row>
    <row r="103" spans="1:15" s="131" customFormat="1" ht="13.5">
      <c r="A103" s="149" t="s">
        <v>103</v>
      </c>
      <c r="B103" s="149">
        <f>SUM(G104:G110)</f>
        <v>897.62000000000012</v>
      </c>
      <c r="C103" s="149">
        <f>SUM(H104:H110)</f>
        <v>637</v>
      </c>
      <c r="D103" s="149">
        <f>C103-B103</f>
        <v>-260.62000000000012</v>
      </c>
      <c r="I103" s="152"/>
      <c r="J103" s="187"/>
      <c r="K103" s="174"/>
      <c r="L103" s="115"/>
      <c r="M103" s="116"/>
      <c r="N103" s="116"/>
    </row>
    <row r="104" spans="1:15" s="131" customFormat="1" ht="13.5">
      <c r="B104" s="131" t="s">
        <v>456</v>
      </c>
      <c r="G104" s="131">
        <f t="shared" si="3"/>
        <v>100</v>
      </c>
      <c r="H104" s="131">
        <v>50</v>
      </c>
      <c r="I104" s="152">
        <f t="shared" si="4"/>
        <v>-50</v>
      </c>
      <c r="J104" s="187">
        <f>Jan!I104+Feb!I104+Mar!I104+Apr!I104+May!I104+Jun!I104+July!I104+Aug!I104+Sep!I104+Oct!I104+Nov!I104</f>
        <v>-210</v>
      </c>
      <c r="K104" s="174"/>
      <c r="L104" s="115">
        <v>100</v>
      </c>
      <c r="M104" s="116"/>
      <c r="N104" s="116"/>
      <c r="O104" s="231">
        <v>41466</v>
      </c>
    </row>
    <row r="105" spans="1:15" s="131" customFormat="1" ht="13.5">
      <c r="B105" s="131" t="s">
        <v>105</v>
      </c>
      <c r="D105" s="131" t="s">
        <v>457</v>
      </c>
      <c r="E105" s="131">
        <f>60*52/12</f>
        <v>260</v>
      </c>
      <c r="G105" s="131">
        <f t="shared" si="3"/>
        <v>587.81000000000006</v>
      </c>
      <c r="H105" s="131">
        <v>500</v>
      </c>
      <c r="I105" s="152">
        <f t="shared" si="4"/>
        <v>-87.810000000000059</v>
      </c>
      <c r="J105" s="187">
        <f>Jan!I105+Feb!I105+Mar!I105+Apr!I105+May!I105+Jun!I105+July!I105+Aug!I105+Sep!I105+Oct!I105+Nov!I105</f>
        <v>-24.150000000000205</v>
      </c>
      <c r="K105" s="174"/>
      <c r="L105" s="115"/>
      <c r="M105" s="116">
        <f>38.67+14.7+4.34+17.73</f>
        <v>75.440000000000012</v>
      </c>
      <c r="N105" s="116">
        <f>35.27+92.78+4.98+106.55+45.59+106.89+21.24+44.09+54.98</f>
        <v>512.37</v>
      </c>
    </row>
    <row r="106" spans="1:15" s="131" customFormat="1" ht="13.5">
      <c r="B106" s="131" t="s">
        <v>392</v>
      </c>
      <c r="G106" s="131">
        <f t="shared" si="3"/>
        <v>0</v>
      </c>
      <c r="H106" s="131">
        <v>27</v>
      </c>
      <c r="I106" s="152">
        <f t="shared" si="4"/>
        <v>27</v>
      </c>
      <c r="J106" s="187">
        <f>Jan!I106+Feb!I106+Mar!I106+Apr!I106+May!I106+Jun!I106+July!I106+Aug!I106+Sep!I106+Oct!I106+Nov!I106</f>
        <v>157.07</v>
      </c>
      <c r="K106" s="174"/>
      <c r="L106" s="115"/>
      <c r="M106" s="116"/>
      <c r="N106" s="116"/>
    </row>
    <row r="107" spans="1:15" s="131" customFormat="1" ht="13.5">
      <c r="B107" s="131" t="s">
        <v>106</v>
      </c>
      <c r="G107" s="131">
        <f t="shared" si="3"/>
        <v>0</v>
      </c>
      <c r="H107" s="131">
        <v>15</v>
      </c>
      <c r="I107" s="152">
        <f t="shared" si="4"/>
        <v>15</v>
      </c>
      <c r="J107" s="187">
        <f>Jan!I107+Feb!I107+Mar!I107+Apr!I107+May!I107+Jun!I107+July!I107+Aug!I107+Sep!I107+Oct!I107+Nov!I107</f>
        <v>85.81</v>
      </c>
      <c r="K107" s="174"/>
      <c r="L107" s="115"/>
      <c r="M107" s="116"/>
      <c r="N107" s="116"/>
    </row>
    <row r="108" spans="1:15" s="131" customFormat="1" ht="13.5">
      <c r="B108" s="131" t="s">
        <v>107</v>
      </c>
      <c r="G108" s="131">
        <f t="shared" si="3"/>
        <v>74.12</v>
      </c>
      <c r="H108" s="131">
        <v>20</v>
      </c>
      <c r="I108" s="152">
        <f t="shared" si="4"/>
        <v>-54.120000000000005</v>
      </c>
      <c r="J108" s="187">
        <f>Jan!I108+Feb!I108+Mar!I108+Apr!I108+May!I108+Jun!I108+July!I108+Aug!I108+Sep!I108+Oct!I108+Nov!I108</f>
        <v>-284</v>
      </c>
      <c r="K108" s="174"/>
      <c r="L108" s="115"/>
      <c r="M108" s="116">
        <f>(36.8-4.34)+18.7+(24.98-12)</f>
        <v>64.14</v>
      </c>
      <c r="N108" s="116">
        <f>(17.46-4.98-2.5)</f>
        <v>9.98</v>
      </c>
    </row>
    <row r="109" spans="1:15" s="131" customFormat="1" ht="13.5">
      <c r="B109" s="131" t="s">
        <v>108</v>
      </c>
      <c r="G109" s="131">
        <f t="shared" si="3"/>
        <v>135.69</v>
      </c>
      <c r="H109" s="131">
        <v>20</v>
      </c>
      <c r="I109" s="152">
        <f t="shared" si="4"/>
        <v>-115.69</v>
      </c>
      <c r="J109" s="187">
        <f>Jan!I109+Feb!I109+Mar!I109+Apr!I109+May!I109+Jun!I109+July!I109+Aug!I109+Sep!I109+Oct!I109+Nov!I109</f>
        <v>-701.35000000000014</v>
      </c>
      <c r="K109" s="174"/>
      <c r="L109" s="115"/>
      <c r="M109" s="116">
        <f>(140.38-97.19)+(102.5-10)</f>
        <v>135.69</v>
      </c>
      <c r="N109" s="116"/>
      <c r="O109" s="131" t="s">
        <v>945</v>
      </c>
    </row>
    <row r="110" spans="1:15" s="131" customFormat="1" ht="13.5">
      <c r="B110" s="131" t="s">
        <v>109</v>
      </c>
      <c r="G110" s="131">
        <f t="shared" si="3"/>
        <v>0</v>
      </c>
      <c r="H110" s="131">
        <v>5</v>
      </c>
      <c r="I110" s="152">
        <f t="shared" si="4"/>
        <v>5</v>
      </c>
      <c r="J110" s="187">
        <f>Jan!I110+Feb!I110+Mar!I110+Apr!I110+May!I110+Jun!I110+July!I110+Aug!I110+Sep!I110+Oct!I110+Nov!I110</f>
        <v>-37.63000000000001</v>
      </c>
      <c r="K110" s="174"/>
      <c r="L110" s="115"/>
      <c r="M110" s="116"/>
      <c r="N110" s="116"/>
    </row>
    <row r="111" spans="1:15" s="131" customFormat="1" ht="13.5">
      <c r="I111" s="152"/>
      <c r="J111" s="187"/>
      <c r="K111" s="174"/>
      <c r="L111" s="115"/>
      <c r="M111" s="116"/>
      <c r="N111" s="116"/>
    </row>
    <row r="112" spans="1:15" s="131" customFormat="1" ht="13.5">
      <c r="A112" s="149" t="s">
        <v>407</v>
      </c>
      <c r="B112" s="149">
        <f>G113+G114</f>
        <v>0</v>
      </c>
      <c r="C112" s="149">
        <f>H113</f>
        <v>20</v>
      </c>
      <c r="D112" s="149">
        <f>C112-B112</f>
        <v>20</v>
      </c>
      <c r="I112" s="152"/>
      <c r="J112" s="187"/>
      <c r="K112" s="174"/>
      <c r="L112" s="115"/>
      <c r="M112" s="116"/>
      <c r="N112" s="116"/>
    </row>
    <row r="113" spans="1:15" s="131" customFormat="1" ht="13.5">
      <c r="B113" s="131" t="s">
        <v>408</v>
      </c>
      <c r="G113" s="131">
        <f t="shared" si="3"/>
        <v>0</v>
      </c>
      <c r="H113" s="131">
        <v>20</v>
      </c>
      <c r="I113" s="152">
        <f t="shared" si="4"/>
        <v>20</v>
      </c>
      <c r="J113" s="187">
        <f>Jan!I113+Feb!I113+Mar!I113+Apr!I113+May!I113+Jun!I113+July!I113+Aug!I113+Sep!I113+Oct!I113+Nov!I113</f>
        <v>44.03</v>
      </c>
      <c r="K113" s="174"/>
      <c r="L113" s="115"/>
      <c r="M113" s="116"/>
      <c r="N113" s="116"/>
    </row>
    <row r="114" spans="1:15" s="131" customFormat="1" ht="13.5">
      <c r="I114" s="152"/>
      <c r="J114" s="187"/>
      <c r="K114" s="174"/>
      <c r="L114" s="115"/>
      <c r="M114" s="116"/>
      <c r="N114" s="116"/>
    </row>
    <row r="115" spans="1:15" s="131" customFormat="1" ht="13.5">
      <c r="I115" s="152"/>
      <c r="J115" s="187"/>
      <c r="K115" s="174"/>
      <c r="L115" s="115"/>
      <c r="M115" s="116"/>
      <c r="N115" s="116"/>
    </row>
    <row r="116" spans="1:15" s="131" customFormat="1" ht="13.5">
      <c r="A116" s="149" t="s">
        <v>130</v>
      </c>
      <c r="B116" s="149">
        <f>G117</f>
        <v>0</v>
      </c>
      <c r="C116" s="149">
        <f>H117</f>
        <v>10</v>
      </c>
      <c r="D116" s="149">
        <f>I117</f>
        <v>10</v>
      </c>
      <c r="I116" s="152"/>
      <c r="J116" s="187"/>
      <c r="K116" s="174"/>
      <c r="L116" s="115"/>
      <c r="M116" s="116"/>
      <c r="N116" s="116"/>
    </row>
    <row r="117" spans="1:15" s="131" customFormat="1" ht="13.5">
      <c r="B117" s="131" t="s">
        <v>455</v>
      </c>
      <c r="G117" s="131">
        <f t="shared" si="3"/>
        <v>0</v>
      </c>
      <c r="H117" s="131">
        <v>10</v>
      </c>
      <c r="I117" s="152">
        <f t="shared" si="4"/>
        <v>10</v>
      </c>
      <c r="J117" s="187">
        <f>Jan!I117+Feb!I117+Mar!I117+Apr!I117+May!I117+Jun!I117+July!I117+Aug!I117+Sep!I117+Oct!I117+Nov!I117</f>
        <v>-1352.02</v>
      </c>
      <c r="K117" s="174"/>
      <c r="L117" s="115"/>
      <c r="M117" s="116"/>
      <c r="N117" s="116"/>
    </row>
    <row r="118" spans="1:15" s="131" customFormat="1" ht="13.5">
      <c r="I118" s="152"/>
      <c r="J118" s="187"/>
      <c r="K118" s="174"/>
      <c r="L118" s="115"/>
      <c r="M118" s="116"/>
      <c r="N118" s="116"/>
    </row>
    <row r="119" spans="1:15" s="131" customFormat="1" ht="13.5">
      <c r="A119" s="149" t="s">
        <v>406</v>
      </c>
      <c r="B119" s="149">
        <f>SUM(G120:G121)</f>
        <v>54.87</v>
      </c>
      <c r="C119" s="149">
        <f>SUM(H120:H121)</f>
        <v>65</v>
      </c>
      <c r="D119" s="149">
        <f>C119-B119</f>
        <v>10.130000000000003</v>
      </c>
      <c r="I119" s="152"/>
      <c r="J119" s="187"/>
      <c r="K119" s="174"/>
      <c r="L119" s="115"/>
      <c r="M119" s="116"/>
      <c r="N119" s="116"/>
    </row>
    <row r="120" spans="1:15" s="131" customFormat="1" ht="13.5">
      <c r="B120" s="131" t="s">
        <v>400</v>
      </c>
      <c r="G120" s="131">
        <f t="shared" si="3"/>
        <v>54.87</v>
      </c>
      <c r="H120" s="131">
        <v>60</v>
      </c>
      <c r="I120" s="152">
        <f t="shared" si="4"/>
        <v>5.1300000000000026</v>
      </c>
      <c r="J120" s="187">
        <f>Jan!I120+Feb!I120+Mar!I120+Apr!I120+May!I120+Jun!I120+July!I120+Aug!I120+Sep!I120+Oct!I120+Nov!I120</f>
        <v>-1254.5999999999999</v>
      </c>
      <c r="K120" s="174"/>
      <c r="L120" s="115"/>
      <c r="M120" s="115">
        <f>24.05+11.64+19.18</f>
        <v>54.87</v>
      </c>
      <c r="N120" s="115"/>
    </row>
    <row r="121" spans="1:15" s="131" customFormat="1" ht="13.5">
      <c r="B121" s="131" t="s">
        <v>403</v>
      </c>
      <c r="G121" s="131">
        <f t="shared" si="3"/>
        <v>0</v>
      </c>
      <c r="H121" s="131">
        <v>5</v>
      </c>
      <c r="I121" s="152">
        <f t="shared" si="4"/>
        <v>5</v>
      </c>
      <c r="J121" s="187">
        <f>Jan!I121+Feb!I121+Mar!I121+Apr!I121+May!I121+Jun!I121+July!I121+Aug!I121+Sep!I121+Oct!I121+Nov!I121</f>
        <v>-168.28</v>
      </c>
      <c r="K121" s="174"/>
      <c r="L121" s="115"/>
      <c r="M121" s="115"/>
      <c r="N121" s="115"/>
    </row>
    <row r="122" spans="1:15" s="131" customFormat="1" ht="13.5">
      <c r="I122" s="152"/>
      <c r="J122" s="187"/>
      <c r="K122" s="174"/>
      <c r="L122" s="115"/>
      <c r="M122" s="115"/>
      <c r="N122" s="115"/>
    </row>
    <row r="123" spans="1:15" s="131" customFormat="1" ht="13.5">
      <c r="A123" s="149" t="s">
        <v>132</v>
      </c>
      <c r="B123" s="149">
        <f>G124</f>
        <v>0</v>
      </c>
      <c r="C123" s="149">
        <f>H124</f>
        <v>10</v>
      </c>
      <c r="D123" s="149">
        <f>C123-B123</f>
        <v>10</v>
      </c>
      <c r="I123" s="152"/>
      <c r="J123" s="187"/>
      <c r="K123" s="174"/>
      <c r="L123" s="115"/>
      <c r="M123" s="115"/>
      <c r="N123" s="115"/>
    </row>
    <row r="124" spans="1:15" s="131" customFormat="1" ht="13.5">
      <c r="B124" s="131" t="s">
        <v>133</v>
      </c>
      <c r="G124" s="131">
        <f>SUM(L124:N124)</f>
        <v>0</v>
      </c>
      <c r="H124" s="131">
        <v>10</v>
      </c>
      <c r="I124" s="152">
        <f>H124-G124</f>
        <v>10</v>
      </c>
      <c r="J124" s="187">
        <f>Jan!I124+Feb!I124+Mar!I124+Apr!I124+May!I124+Jun!I124+July!I124+Aug!I124+Sep!I124+Oct!I124+Nov!I124</f>
        <v>23.19</v>
      </c>
      <c r="K124" s="174"/>
      <c r="L124" s="115"/>
      <c r="M124" s="115"/>
      <c r="N124" s="115"/>
    </row>
    <row r="125" spans="1:15" s="131" customFormat="1" ht="13.5">
      <c r="I125" s="152"/>
      <c r="J125" s="187"/>
      <c r="K125" s="174"/>
      <c r="L125" s="115"/>
      <c r="M125" s="115"/>
      <c r="N125" s="115"/>
    </row>
    <row r="126" spans="1:15" s="131" customFormat="1" ht="13.5">
      <c r="A126" s="149" t="s">
        <v>404</v>
      </c>
      <c r="B126" s="149">
        <f>SUM(G127:G128)</f>
        <v>22</v>
      </c>
      <c r="C126" s="149">
        <f>SUM(H127:H128)</f>
        <v>35</v>
      </c>
      <c r="D126" s="149">
        <f>C126-B126</f>
        <v>13</v>
      </c>
      <c r="I126" s="152"/>
      <c r="J126" s="187"/>
      <c r="K126" s="174"/>
      <c r="L126" s="115"/>
      <c r="M126" s="115"/>
      <c r="N126" s="115"/>
    </row>
    <row r="127" spans="1:15" s="131" customFormat="1" ht="13.5">
      <c r="B127" s="198" t="s">
        <v>128</v>
      </c>
      <c r="C127" s="198"/>
      <c r="D127" s="198"/>
      <c r="E127" s="198"/>
      <c r="F127" s="198"/>
      <c r="G127" s="131">
        <f>SUM(L127:N127)</f>
        <v>22</v>
      </c>
      <c r="H127" s="131">
        <v>20</v>
      </c>
      <c r="I127" s="152">
        <f>H127-G127</f>
        <v>-2</v>
      </c>
      <c r="J127" s="187">
        <f>Jan!I127+Feb!I127+Mar!I127+Apr!I127+May!I127+Jun!I127+July!I127+Aug!I127+Sep!I127+Oct!I127+Nov!I127</f>
        <v>-1164.2200000000003</v>
      </c>
      <c r="K127" s="174"/>
      <c r="L127" s="115"/>
      <c r="M127" s="115">
        <f>10+12</f>
        <v>22</v>
      </c>
      <c r="N127" s="115"/>
      <c r="O127" s="131" t="s">
        <v>948</v>
      </c>
    </row>
    <row r="128" spans="1:15" s="131" customFormat="1" ht="13.5">
      <c r="B128" s="198" t="s">
        <v>129</v>
      </c>
      <c r="C128" s="198"/>
      <c r="D128" s="198" t="s">
        <v>405</v>
      </c>
      <c r="E128" s="198"/>
      <c r="F128" s="198"/>
      <c r="G128" s="131">
        <f>SUM(L128:N128)</f>
        <v>0</v>
      </c>
      <c r="H128" s="131">
        <v>15</v>
      </c>
      <c r="I128" s="152">
        <f>H128-G128</f>
        <v>15</v>
      </c>
      <c r="J128" s="187">
        <f>Jan!I128+Feb!I128+Mar!I128+Apr!I128+May!I128+Jun!I128+July!I128+Aug!I128+Sep!I128+Oct!I128+Nov!I128</f>
        <v>-162.24</v>
      </c>
      <c r="K128" s="174"/>
      <c r="L128" s="115"/>
      <c r="M128" s="115"/>
      <c r="N128" s="115"/>
    </row>
    <row r="129" spans="1:14" s="131" customFormat="1" ht="13.5">
      <c r="I129" s="152"/>
      <c r="J129" s="187"/>
      <c r="K129" s="174"/>
      <c r="L129" s="115"/>
      <c r="M129" s="115"/>
      <c r="N129" s="115"/>
    </row>
    <row r="130" spans="1:14" s="131" customFormat="1" ht="14.25" thickBot="1">
      <c r="I130" s="152"/>
      <c r="J130" s="187"/>
      <c r="K130" s="174"/>
      <c r="L130" s="115"/>
      <c r="M130" s="115"/>
      <c r="N130" s="115"/>
    </row>
    <row r="131" spans="1:14" s="131" customFormat="1" ht="14.25" thickBot="1">
      <c r="A131" s="149" t="s">
        <v>436</v>
      </c>
      <c r="B131" s="131">
        <f>SUM(G133:G140)</f>
        <v>0</v>
      </c>
      <c r="C131" s="131">
        <f>SUM(H133:H140)</f>
        <v>450</v>
      </c>
      <c r="D131" s="131">
        <f>C131-B131</f>
        <v>450</v>
      </c>
      <c r="E131" s="185"/>
      <c r="I131" s="152"/>
      <c r="J131" s="187">
        <f>Jan!I131+Feb!I131+Mar!I131+Apr!I131+May!I131+Jun!I131+July!I131+Aug!I131+Sep!I131+Oct!I131+Nov!I131</f>
        <v>0</v>
      </c>
      <c r="K131" s="174"/>
      <c r="L131" s="115"/>
      <c r="M131" s="115"/>
      <c r="N131" s="115"/>
    </row>
    <row r="132" spans="1:14" s="131" customFormat="1" ht="13.5">
      <c r="A132" s="149" t="s">
        <v>437</v>
      </c>
      <c r="I132" s="152"/>
      <c r="J132" s="187"/>
      <c r="K132" s="174"/>
      <c r="L132" s="115"/>
      <c r="M132" s="115"/>
      <c r="N132" s="115"/>
    </row>
    <row r="133" spans="1:14" s="131" customFormat="1" ht="13.5">
      <c r="A133" s="149" t="s">
        <v>418</v>
      </c>
      <c r="B133" s="131" t="s">
        <v>445</v>
      </c>
      <c r="G133" s="131">
        <f t="shared" ref="G133:G140" si="5">SUM(L133:N133)</f>
        <v>0</v>
      </c>
      <c r="H133" s="131">
        <v>100</v>
      </c>
      <c r="I133" s="152">
        <f t="shared" ref="I133:I140" si="6">H133-G133</f>
        <v>100</v>
      </c>
      <c r="J133" s="187">
        <f>Jan!I133+Feb!I133+Mar!I133+Apr!I133+May!I133+Jun!I133+July!I133+Aug!I133+Sep!I133+Oct!I133+Nov!I133</f>
        <v>954.09</v>
      </c>
      <c r="K133" s="174"/>
      <c r="L133" s="115"/>
      <c r="M133" s="115"/>
      <c r="N133" s="115"/>
    </row>
    <row r="134" spans="1:14" s="131" customFormat="1" ht="13.5">
      <c r="A134" s="149" t="s">
        <v>516</v>
      </c>
      <c r="I134" s="152"/>
      <c r="J134" s="187"/>
      <c r="K134" s="174"/>
      <c r="L134" s="115"/>
      <c r="M134" s="115"/>
      <c r="N134" s="115"/>
    </row>
    <row r="135" spans="1:14" s="131" customFormat="1" ht="13.5">
      <c r="B135" s="131" t="s">
        <v>401</v>
      </c>
      <c r="G135" s="131">
        <f t="shared" si="5"/>
        <v>0</v>
      </c>
      <c r="H135" s="131">
        <v>100</v>
      </c>
      <c r="I135" s="152">
        <f t="shared" si="6"/>
        <v>100</v>
      </c>
      <c r="J135" s="187">
        <f>Jan!I135+Feb!I135+Mar!I135+Apr!I135+May!I135+Jun!I135+July!I135+Aug!I135+Sep!I135+Oct!I135+Nov!I135</f>
        <v>411.16999999999996</v>
      </c>
      <c r="K135" s="174"/>
      <c r="L135" s="115"/>
      <c r="M135" s="115"/>
      <c r="N135" s="115"/>
    </row>
    <row r="136" spans="1:14" s="131" customFormat="1" ht="13.5">
      <c r="B136" s="131" t="s">
        <v>402</v>
      </c>
      <c r="G136" s="131">
        <f t="shared" si="5"/>
        <v>0</v>
      </c>
      <c r="H136" s="131">
        <v>100</v>
      </c>
      <c r="I136" s="152">
        <f t="shared" si="6"/>
        <v>100</v>
      </c>
      <c r="J136" s="187">
        <f>Jan!I136+Feb!I136+Mar!I136+Apr!I136+May!I136+Jun!I136+July!I136+Aug!I136+Sep!I136+Oct!I136+Nov!I136</f>
        <v>851.18</v>
      </c>
      <c r="K136" s="174"/>
      <c r="L136" s="115"/>
      <c r="M136" s="115"/>
      <c r="N136" s="115"/>
    </row>
    <row r="137" spans="1:14" s="131" customFormat="1" ht="13.5">
      <c r="B137" s="131" t="s">
        <v>126</v>
      </c>
      <c r="G137" s="131">
        <f t="shared" si="5"/>
        <v>0</v>
      </c>
      <c r="H137" s="131">
        <v>30</v>
      </c>
      <c r="I137" s="152">
        <f t="shared" si="6"/>
        <v>30</v>
      </c>
      <c r="J137" s="187">
        <f>Jan!I137+Feb!I137+Mar!I137+Apr!I137+May!I137+Jun!I137+July!I137+Aug!I137+Sep!I137+Oct!I137+Nov!I137</f>
        <v>70.089999999999975</v>
      </c>
      <c r="K137" s="174"/>
      <c r="L137" s="115"/>
      <c r="M137" s="115"/>
      <c r="N137" s="115"/>
    </row>
    <row r="138" spans="1:14" s="131" customFormat="1" ht="13.5">
      <c r="B138" s="131" t="s">
        <v>127</v>
      </c>
      <c r="G138" s="131">
        <f t="shared" si="5"/>
        <v>0</v>
      </c>
      <c r="H138" s="131">
        <v>50</v>
      </c>
      <c r="I138" s="152">
        <f t="shared" si="6"/>
        <v>50</v>
      </c>
      <c r="J138" s="187">
        <f>Jan!I138+Feb!I138+Mar!I138+Apr!I138+May!I138+Jun!I138+July!I138+Aug!I138+Sep!I138+Oct!I138+Nov!I138</f>
        <v>-43.5</v>
      </c>
      <c r="K138" s="174"/>
      <c r="L138" s="115"/>
      <c r="M138" s="115"/>
      <c r="N138" s="115"/>
    </row>
    <row r="139" spans="1:14" s="131" customFormat="1" ht="13.5">
      <c r="I139" s="152"/>
      <c r="J139" s="187"/>
      <c r="K139" s="179"/>
      <c r="L139" s="115"/>
      <c r="M139" s="115"/>
      <c r="N139" s="115"/>
    </row>
    <row r="140" spans="1:14" s="131" customFormat="1" ht="13.5">
      <c r="A140" s="149" t="s">
        <v>431</v>
      </c>
      <c r="G140" s="131">
        <f t="shared" si="5"/>
        <v>0</v>
      </c>
      <c r="H140" s="131">
        <v>70</v>
      </c>
      <c r="I140" s="152">
        <f t="shared" si="6"/>
        <v>70</v>
      </c>
      <c r="J140" s="187">
        <f>Jan!I140+Feb!I140+Mar!I140+Apr!I140+May!I140+Jun!I140+July!I140+Aug!I140+Sep!I140+Oct!I140+Nov!I140</f>
        <v>-660</v>
      </c>
      <c r="K140" s="179"/>
      <c r="L140" s="115"/>
      <c r="M140" s="115"/>
      <c r="N140" s="115"/>
    </row>
    <row r="141" spans="1:14">
      <c r="J141" s="190"/>
    </row>
    <row r="142" spans="1:14">
      <c r="J142" s="190"/>
    </row>
    <row r="143" spans="1:14">
      <c r="J143" s="190"/>
    </row>
    <row r="144" spans="1:14">
      <c r="J144" s="190"/>
    </row>
    <row r="145" spans="10:10">
      <c r="J145" s="190"/>
    </row>
    <row r="146" spans="10:10">
      <c r="J146" s="190"/>
    </row>
    <row r="147" spans="10:10">
      <c r="J147" s="190"/>
    </row>
    <row r="148" spans="10:10">
      <c r="J148" s="190"/>
    </row>
    <row r="149" spans="10:10">
      <c r="J149" s="190"/>
    </row>
    <row r="150" spans="10:10">
      <c r="J150" s="190"/>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0"/>
  <sheetViews>
    <sheetView topLeftCell="B89" zoomScale="84" zoomScaleNormal="84" workbookViewId="0">
      <selection activeCell="L105" sqref="L105"/>
    </sheetView>
  </sheetViews>
  <sheetFormatPr defaultColWidth="9" defaultRowHeight="15.75"/>
  <cols>
    <col min="1" max="1" width="24.42578125" style="165" customWidth="1"/>
    <col min="2" max="2" width="18" style="156" customWidth="1"/>
    <col min="3" max="3" width="17.140625" style="156" customWidth="1"/>
    <col min="4" max="5" width="16.5703125" style="156" customWidth="1"/>
    <col min="6" max="6" width="15.28515625" style="156" customWidth="1"/>
    <col min="7" max="7" width="13.5703125" style="156" customWidth="1"/>
    <col min="8" max="8" width="13.85546875" style="156" customWidth="1"/>
    <col min="9" max="10" width="14" style="156" customWidth="1"/>
    <col min="11" max="11" width="2.28515625" style="172" customWidth="1"/>
    <col min="12" max="12" width="11.5703125" style="156" customWidth="1"/>
    <col min="13" max="13" width="11.85546875" style="156" customWidth="1"/>
    <col min="14" max="15" width="11.5703125" style="156" customWidth="1"/>
    <col min="16" max="16" width="1.7109375" style="156" customWidth="1"/>
    <col min="17" max="17" width="11.7109375" style="156" customWidth="1"/>
    <col min="18" max="18" width="11.5703125" style="156" customWidth="1"/>
    <col min="19" max="16384" width="9" style="156"/>
  </cols>
  <sheetData>
    <row r="1" spans="1:16">
      <c r="A1" s="162" t="s">
        <v>277</v>
      </c>
      <c r="B1" s="163">
        <v>2013</v>
      </c>
      <c r="C1" s="163"/>
      <c r="L1" s="156" t="s">
        <v>519</v>
      </c>
    </row>
    <row r="2" spans="1:16">
      <c r="A2" s="162" t="s">
        <v>264</v>
      </c>
      <c r="B2" s="164" t="s">
        <v>18</v>
      </c>
      <c r="C2" s="164"/>
      <c r="L2" s="156" t="s">
        <v>996</v>
      </c>
    </row>
    <row r="3" spans="1:16">
      <c r="L3" s="156" t="s">
        <v>1003</v>
      </c>
      <c r="O3" s="166"/>
    </row>
    <row r="4" spans="1:16">
      <c r="A4" s="162" t="s">
        <v>4</v>
      </c>
      <c r="B4" s="167">
        <f>SUM(G5:G9)</f>
        <v>17170.510000000002</v>
      </c>
      <c r="C4" s="167"/>
      <c r="G4" s="156" t="s">
        <v>71</v>
      </c>
      <c r="L4" s="168" t="s">
        <v>1004</v>
      </c>
      <c r="O4" s="166"/>
    </row>
    <row r="5" spans="1:16">
      <c r="B5" s="156" t="s">
        <v>27</v>
      </c>
      <c r="C5" s="156">
        <v>3579.32</v>
      </c>
      <c r="D5" s="156">
        <v>3579.43</v>
      </c>
      <c r="F5" s="156">
        <v>0</v>
      </c>
      <c r="G5" s="168">
        <f>SUM(C5:F5)</f>
        <v>7158.75</v>
      </c>
      <c r="H5" s="168"/>
      <c r="I5" s="168"/>
      <c r="J5" s="168"/>
      <c r="K5" s="173"/>
      <c r="L5" s="168"/>
      <c r="O5" s="166"/>
    </row>
    <row r="6" spans="1:16">
      <c r="B6" s="156" t="s">
        <v>29</v>
      </c>
      <c r="D6" s="166"/>
      <c r="G6" s="168">
        <f>SUM(C6:F6)</f>
        <v>0</v>
      </c>
      <c r="H6" s="168"/>
      <c r="I6" s="168"/>
      <c r="J6" s="168"/>
      <c r="K6" s="173"/>
      <c r="L6" s="168"/>
      <c r="O6" s="166"/>
    </row>
    <row r="7" spans="1:16">
      <c r="B7" s="156" t="s">
        <v>327</v>
      </c>
      <c r="C7" s="156">
        <v>1877.68</v>
      </c>
      <c r="D7" s="156">
        <v>1877.68</v>
      </c>
      <c r="E7" s="156">
        <f>1877.68*3</f>
        <v>5633.04</v>
      </c>
      <c r="G7" s="168">
        <f>SUM(C7:F7)</f>
        <v>9388.4</v>
      </c>
      <c r="H7" s="168"/>
      <c r="I7" s="168"/>
      <c r="J7" s="168"/>
      <c r="K7" s="173"/>
      <c r="L7" s="168"/>
      <c r="O7" s="166"/>
    </row>
    <row r="8" spans="1:16">
      <c r="B8" s="156" t="s">
        <v>30</v>
      </c>
      <c r="C8" s="156">
        <v>311.67</v>
      </c>
      <c r="D8" s="156">
        <v>311.69</v>
      </c>
      <c r="G8" s="168">
        <f>SUM(C8:F8)</f>
        <v>623.36</v>
      </c>
      <c r="H8" s="168"/>
      <c r="I8" s="168"/>
      <c r="J8" s="168"/>
      <c r="K8" s="173"/>
      <c r="L8" s="168" t="s">
        <v>520</v>
      </c>
      <c r="P8" s="166"/>
    </row>
    <row r="10" spans="1:16" s="131" customFormat="1" ht="13.5">
      <c r="A10" s="149"/>
      <c r="B10" s="153"/>
      <c r="G10" s="140"/>
      <c r="I10" s="152" t="s">
        <v>80</v>
      </c>
      <c r="J10" s="187" t="s">
        <v>439</v>
      </c>
      <c r="K10" s="174"/>
    </row>
    <row r="11" spans="1:16" s="131" customFormat="1" ht="13.5">
      <c r="A11" s="149"/>
      <c r="B11" s="153"/>
      <c r="G11" s="140" t="s">
        <v>331</v>
      </c>
      <c r="H11" s="131" t="s">
        <v>84</v>
      </c>
      <c r="I11" s="154" t="s">
        <v>83</v>
      </c>
      <c r="J11" s="188" t="s">
        <v>83</v>
      </c>
      <c r="K11" s="175"/>
    </row>
    <row r="12" spans="1:16" s="131" customFormat="1" ht="13.5">
      <c r="A12" s="149" t="s">
        <v>422</v>
      </c>
      <c r="B12" s="153"/>
      <c r="D12" s="131" t="s">
        <v>426</v>
      </c>
      <c r="E12" s="131">
        <f>G12/B4</f>
        <v>0.19674663128817951</v>
      </c>
      <c r="G12" s="132">
        <f>Tithe!D17</f>
        <v>3378.24</v>
      </c>
      <c r="H12" s="131">
        <v>800</v>
      </c>
      <c r="I12" s="155">
        <f>H12-G12</f>
        <v>-2578.2399999999998</v>
      </c>
      <c r="J12" s="189">
        <f>Jan!I12+Feb!I12+Mar!I12+Apr!I12+May!I12+Jun!I12+July!I12+Aug!I12+Sep!I12+Oct!I12+Nov!I12+Dec!I12</f>
        <v>-3928.24</v>
      </c>
      <c r="K12" s="176"/>
    </row>
    <row r="13" spans="1:16" s="131" customFormat="1" ht="13.5">
      <c r="A13" s="149"/>
      <c r="B13" s="153"/>
      <c r="G13" s="140"/>
      <c r="I13" s="155"/>
      <c r="J13" s="189"/>
      <c r="K13" s="176"/>
    </row>
    <row r="14" spans="1:16" s="131" customFormat="1" ht="13.5">
      <c r="A14" s="149" t="s">
        <v>427</v>
      </c>
      <c r="B14" s="153"/>
      <c r="G14" s="140"/>
      <c r="I14" s="155"/>
      <c r="J14" s="189"/>
      <c r="K14" s="176"/>
    </row>
    <row r="15" spans="1:16" s="131" customFormat="1" ht="13.5">
      <c r="B15" s="149" t="s">
        <v>329</v>
      </c>
      <c r="G15" s="132">
        <v>750</v>
      </c>
      <c r="H15" s="131">
        <v>760</v>
      </c>
      <c r="I15" s="155">
        <f t="shared" ref="I15:I26" si="0">H15-G15</f>
        <v>10</v>
      </c>
      <c r="J15" s="189">
        <f>Jan!I15+Feb!I15+Mar!I15+Apr!I15+May!I15+Jun!I15+July!I15+Aug!I15+Sep!I15+Oct!I15+Nov!I15+Dec!I15</f>
        <v>40</v>
      </c>
      <c r="K15" s="176"/>
    </row>
    <row r="16" spans="1:16" s="131" customFormat="1" ht="13.5">
      <c r="B16" s="149" t="s">
        <v>395</v>
      </c>
      <c r="G16" s="132">
        <v>200</v>
      </c>
      <c r="H16" s="131">
        <v>200</v>
      </c>
      <c r="I16" s="155">
        <f t="shared" si="0"/>
        <v>0</v>
      </c>
      <c r="J16" s="189">
        <f>Jan!I16+Feb!I16+Mar!I16+Apr!I16+May!I16+Jun!I16+July!I16+Aug!I16+Sep!I16+Oct!I16+Nov!I16+Dec!I16</f>
        <v>0</v>
      </c>
      <c r="K16" s="176"/>
    </row>
    <row r="17" spans="1:12" s="131" customFormat="1" ht="13.5">
      <c r="B17" s="149" t="s">
        <v>460</v>
      </c>
      <c r="G17" s="132">
        <v>300</v>
      </c>
      <c r="H17" s="131">
        <v>300</v>
      </c>
      <c r="I17" s="155">
        <f t="shared" si="0"/>
        <v>0</v>
      </c>
      <c r="J17" s="189">
        <f>Jan!I17+Feb!I17+Mar!I17+Apr!I17+May!I17+Jun!I17+July!I17+Aug!I17+Sep!I17+Oct!I17+Nov!I17+Dec!I17</f>
        <v>0</v>
      </c>
      <c r="K17" s="176"/>
    </row>
    <row r="18" spans="1:12" s="131" customFormat="1" ht="13.5">
      <c r="B18" s="149" t="s">
        <v>396</v>
      </c>
      <c r="G18" s="132">
        <v>200</v>
      </c>
      <c r="H18" s="131">
        <v>200</v>
      </c>
      <c r="I18" s="155">
        <f t="shared" si="0"/>
        <v>0</v>
      </c>
      <c r="J18" s="189">
        <f>Jan!I18+Feb!I18+Mar!I18+Apr!I18+May!I18+Jun!I18+July!I18+Aug!I18+Sep!I18+Oct!I18+Nov!I18+Dec!I18</f>
        <v>0</v>
      </c>
      <c r="K18" s="176"/>
    </row>
    <row r="19" spans="1:12" s="131" customFormat="1" ht="13.5">
      <c r="B19" s="149" t="s">
        <v>461</v>
      </c>
      <c r="G19" s="132">
        <v>300</v>
      </c>
      <c r="H19" s="131">
        <v>300</v>
      </c>
      <c r="I19" s="155">
        <f t="shared" si="0"/>
        <v>0</v>
      </c>
      <c r="J19" s="189">
        <f>Jan!I19+Feb!I19+Mar!I19+Apr!I19+May!I19+Jun!I19+July!I19+Aug!I19+Sep!I19+Oct!I19+Nov!I19+Dec!I19</f>
        <v>0</v>
      </c>
      <c r="K19" s="176"/>
    </row>
    <row r="20" spans="1:12" s="131" customFormat="1" ht="13.5">
      <c r="B20" s="149" t="s">
        <v>397</v>
      </c>
      <c r="G20" s="132">
        <v>50</v>
      </c>
      <c r="H20" s="131">
        <v>50</v>
      </c>
      <c r="I20" s="155">
        <f t="shared" si="0"/>
        <v>0</v>
      </c>
      <c r="J20" s="189">
        <f>Jan!I20+Feb!I20+Mar!I20+Apr!I20+May!I20+Jun!I20+July!I20+Aug!I20+Sep!I20+Oct!I20+Nov!I20+Dec!I20</f>
        <v>0</v>
      </c>
      <c r="K20" s="176"/>
    </row>
    <row r="21" spans="1:12" s="131" customFormat="1" ht="13.5">
      <c r="A21" s="149"/>
      <c r="B21" s="153"/>
      <c r="G21" s="140"/>
      <c r="I21" s="155"/>
      <c r="J21" s="189"/>
      <c r="K21" s="176"/>
    </row>
    <row r="22" spans="1:12" s="131" customFormat="1" ht="13.5">
      <c r="A22" s="149" t="s">
        <v>428</v>
      </c>
      <c r="B22" s="149" t="s">
        <v>594</v>
      </c>
      <c r="G22" s="140">
        <v>500</v>
      </c>
      <c r="H22" s="131">
        <v>500</v>
      </c>
      <c r="I22" s="155">
        <f t="shared" si="0"/>
        <v>0</v>
      </c>
      <c r="J22" s="189">
        <f>Jan!I22+Feb!I22+Mar!I22+Apr!I22+May!I22+Jun!I22+July!I22+Aug!I22+Sep!I22+Oct!I22+Nov!I22+Dec!I22</f>
        <v>0</v>
      </c>
      <c r="K22" s="176"/>
    </row>
    <row r="23" spans="1:12" s="131" customFormat="1" ht="13.5">
      <c r="A23" s="149"/>
      <c r="B23" s="153" t="s">
        <v>997</v>
      </c>
      <c r="G23" s="140"/>
      <c r="I23" s="155"/>
      <c r="J23" s="189"/>
      <c r="K23" s="176"/>
    </row>
    <row r="24" spans="1:12" s="131" customFormat="1" ht="13.5">
      <c r="A24" s="149" t="s">
        <v>429</v>
      </c>
      <c r="B24" s="153"/>
      <c r="G24" s="140"/>
      <c r="I24" s="155"/>
      <c r="J24" s="189"/>
      <c r="K24" s="176"/>
    </row>
    <row r="25" spans="1:12" s="131" customFormat="1" ht="13.5">
      <c r="B25" s="149" t="s">
        <v>363</v>
      </c>
      <c r="G25" s="140"/>
      <c r="H25" s="131">
        <v>1500</v>
      </c>
      <c r="I25" s="155">
        <f t="shared" si="0"/>
        <v>1500</v>
      </c>
      <c r="J25" s="189">
        <f>Jan!I25+Feb!I25+Mar!I25+Apr!I25+May!I25+Jun!I25+July!I25+Aug!I25+Sep!I25+Oct!I25+Nov!I25+Dec!I25</f>
        <v>15500</v>
      </c>
      <c r="K25" s="176"/>
    </row>
    <row r="26" spans="1:12" s="131" customFormat="1" ht="13.5">
      <c r="B26" s="149" t="s">
        <v>399</v>
      </c>
      <c r="H26" s="131">
        <v>500</v>
      </c>
      <c r="I26" s="155">
        <f t="shared" si="0"/>
        <v>500</v>
      </c>
      <c r="J26" s="192">
        <f>Jan!I26+Feb!I26+Mar!I26+Apr!I26+May!I26+Jun!I26+July!I26+Aug!I26+Sep!I26+Oct!I26+Nov!I26+Dec!I26</f>
        <v>6000</v>
      </c>
      <c r="K26" s="176"/>
    </row>
    <row r="27" spans="1:12" s="131" customFormat="1" ht="13.5">
      <c r="A27" s="149"/>
      <c r="G27" s="157"/>
      <c r="H27" s="157"/>
      <c r="I27" s="159"/>
      <c r="J27" s="171"/>
      <c r="K27" s="171"/>
    </row>
    <row r="28" spans="1:12" s="131" customFormat="1" ht="14.25" thickBot="1">
      <c r="A28" s="149"/>
      <c r="B28" s="149"/>
      <c r="G28" s="158">
        <f>SUM(G12:G26)</f>
        <v>5678.24</v>
      </c>
      <c r="H28" s="158">
        <f>SUM(H12:H26)</f>
        <v>5110</v>
      </c>
      <c r="I28" s="158">
        <f>SUM(I12:I26)</f>
        <v>-568.23999999999978</v>
      </c>
      <c r="J28" s="158">
        <f>SUM(J12:J26)</f>
        <v>17611.760000000002</v>
      </c>
      <c r="K28" s="177"/>
    </row>
    <row r="29" spans="1:12" s="131" customFormat="1" ht="14.25" thickTop="1">
      <c r="A29" s="149"/>
      <c r="B29" s="149"/>
      <c r="G29" s="142"/>
      <c r="H29" s="142"/>
      <c r="I29" s="142"/>
      <c r="J29" s="142"/>
      <c r="K29" s="177"/>
    </row>
    <row r="30" spans="1:12" s="131" customFormat="1" ht="14.25" thickBot="1">
      <c r="A30" s="149"/>
      <c r="B30" s="149"/>
      <c r="G30" s="142"/>
      <c r="H30" s="142"/>
      <c r="I30" s="142"/>
      <c r="J30" s="142"/>
      <c r="K30" s="177"/>
    </row>
    <row r="31" spans="1:12" s="131" customFormat="1" ht="12.75" customHeight="1" thickBot="1">
      <c r="A31" s="149" t="s">
        <v>442</v>
      </c>
      <c r="B31" s="149"/>
      <c r="G31" s="185"/>
      <c r="H31" s="142"/>
      <c r="I31" s="142"/>
      <c r="J31" s="142"/>
      <c r="K31" s="177"/>
      <c r="L31" s="142"/>
    </row>
    <row r="32" spans="1:12" s="131" customFormat="1" ht="14.25" thickBot="1">
      <c r="A32" s="149"/>
      <c r="B32" s="149"/>
      <c r="G32" s="142"/>
      <c r="H32" s="142"/>
      <c r="I32" s="142"/>
      <c r="J32" s="142"/>
      <c r="K32" s="177"/>
      <c r="L32" s="142"/>
    </row>
    <row r="33" spans="1:15" s="131" customFormat="1" ht="14.25" thickBot="1">
      <c r="A33" s="149" t="s">
        <v>425</v>
      </c>
      <c r="B33" s="149"/>
      <c r="G33" s="169">
        <f>B4-G28</f>
        <v>11492.270000000002</v>
      </c>
      <c r="H33" s="142"/>
      <c r="I33" s="142"/>
      <c r="J33" s="142"/>
      <c r="K33" s="177"/>
      <c r="L33" s="142"/>
    </row>
    <row r="34" spans="1:15" s="131" customFormat="1" ht="13.5">
      <c r="A34" s="149"/>
      <c r="B34" s="149"/>
      <c r="G34" s="170"/>
      <c r="H34" s="142"/>
      <c r="I34" s="142"/>
      <c r="J34" s="142"/>
      <c r="K34" s="177"/>
      <c r="L34" s="142"/>
    </row>
    <row r="35" spans="1:15" s="131" customFormat="1" ht="13.5">
      <c r="A35" s="149" t="s">
        <v>432</v>
      </c>
      <c r="B35" s="149"/>
      <c r="G35" s="170">
        <f>E46</f>
        <v>4164.0300000000007</v>
      </c>
      <c r="H35" s="142"/>
      <c r="I35" s="142"/>
      <c r="J35" s="142"/>
      <c r="K35" s="177"/>
      <c r="L35" s="142"/>
    </row>
    <row r="36" spans="1:15" s="131" customFormat="1" ht="13.5">
      <c r="A36" s="149"/>
      <c r="B36" s="149"/>
      <c r="G36" s="170"/>
      <c r="H36" s="142"/>
      <c r="I36" s="142"/>
      <c r="J36" s="142"/>
      <c r="K36" s="177"/>
      <c r="L36" s="142"/>
    </row>
    <row r="37" spans="1:15" s="131" customFormat="1" ht="13.5">
      <c r="A37" s="149" t="s">
        <v>433</v>
      </c>
      <c r="B37" s="149"/>
      <c r="G37" s="170">
        <f>B131</f>
        <v>35.980000000000004</v>
      </c>
      <c r="H37" s="142" t="s">
        <v>435</v>
      </c>
      <c r="I37" s="142"/>
      <c r="J37" s="142"/>
      <c r="K37" s="177"/>
      <c r="L37" s="142"/>
    </row>
    <row r="38" spans="1:15" s="131" customFormat="1" ht="14.25" thickBot="1">
      <c r="A38" s="149"/>
      <c r="B38" s="149"/>
      <c r="G38" s="170"/>
      <c r="H38" s="142"/>
      <c r="I38" s="142"/>
      <c r="J38" s="142"/>
      <c r="K38" s="177"/>
      <c r="L38" s="142"/>
    </row>
    <row r="39" spans="1:15" s="131" customFormat="1" ht="14.25" thickBot="1">
      <c r="A39" s="149" t="s">
        <v>430</v>
      </c>
      <c r="B39" s="149"/>
      <c r="G39" s="186">
        <f>G33-G35-G37+G31</f>
        <v>7292.260000000002</v>
      </c>
      <c r="H39" s="142"/>
      <c r="I39" s="142"/>
      <c r="J39" s="142"/>
      <c r="K39" s="177"/>
      <c r="L39" s="142"/>
    </row>
    <row r="40" spans="1:15" s="131" customFormat="1" ht="13.5">
      <c r="A40" s="149"/>
      <c r="B40" s="149"/>
      <c r="G40" s="196"/>
      <c r="H40" s="142"/>
      <c r="I40" s="142"/>
      <c r="J40" s="142"/>
      <c r="K40" s="177"/>
      <c r="L40" s="142"/>
    </row>
    <row r="41" spans="1:15" s="131" customFormat="1" ht="13.5">
      <c r="A41" s="197" t="s">
        <v>478</v>
      </c>
      <c r="B41" s="149"/>
      <c r="G41" s="196"/>
      <c r="H41" s="142"/>
      <c r="I41" s="142"/>
      <c r="J41" s="142"/>
      <c r="K41" s="177"/>
      <c r="L41" s="142"/>
    </row>
    <row r="42" spans="1:15" s="131" customFormat="1" ht="14.25">
      <c r="B42" s="197" t="s">
        <v>464</v>
      </c>
      <c r="C42" s="150">
        <f>H57+H58+H63+H64+H72+H73+H74+H81+H82+H83+H88+H91+H92+H93+H94+H95+H100+H104+H105+H106+H107+H108+H109+H110+H113+H117+H120+H121+H124</f>
        <v>1650</v>
      </c>
      <c r="D42" s="197" t="s">
        <v>465</v>
      </c>
      <c r="E42" s="150">
        <f>G57+G58+G63+G64+G72+G73+G74+G81+G82+G83+G88+G91+G92+G93+G94+G95+G100+G104+G105+G106+G107+G108+G109+G110+G113+G117+G120+G121+G124</f>
        <v>2104.9999999999995</v>
      </c>
      <c r="G42" s="196"/>
      <c r="H42" s="142"/>
      <c r="I42" s="142"/>
      <c r="J42" s="142"/>
      <c r="K42" s="177"/>
      <c r="L42" s="291"/>
      <c r="M42" s="267">
        <f>M46+M44-M43</f>
        <v>3508.6800000000003</v>
      </c>
      <c r="N42" s="267">
        <f>N46+N44-N43</f>
        <v>605.41000000000008</v>
      </c>
    </row>
    <row r="43" spans="1:15" s="131" customFormat="1" ht="14.25">
      <c r="A43" s="149"/>
      <c r="B43" s="149"/>
      <c r="I43" s="152"/>
      <c r="J43" s="187" t="s">
        <v>439</v>
      </c>
      <c r="K43" s="174"/>
      <c r="L43" s="267" t="s">
        <v>534</v>
      </c>
      <c r="M43" s="267"/>
      <c r="N43" s="267">
        <v>60</v>
      </c>
    </row>
    <row r="44" spans="1:15" s="131" customFormat="1" ht="14.25">
      <c r="A44" s="149"/>
      <c r="B44" s="149"/>
      <c r="G44" s="140"/>
      <c r="I44" s="152" t="s">
        <v>80</v>
      </c>
      <c r="J44" s="187" t="s">
        <v>440</v>
      </c>
      <c r="K44" s="174"/>
      <c r="L44" s="267" t="s">
        <v>961</v>
      </c>
      <c r="M44" s="267">
        <f>100+1000+28.24+50</f>
        <v>1178.24</v>
      </c>
      <c r="N44" s="267"/>
      <c r="O44" s="131" t="s">
        <v>962</v>
      </c>
    </row>
    <row r="45" spans="1:15" s="131" customFormat="1" ht="14.25" thickBot="1">
      <c r="B45" s="149"/>
      <c r="G45" s="140" t="s">
        <v>331</v>
      </c>
      <c r="H45" s="131" t="s">
        <v>84</v>
      </c>
      <c r="I45" s="154" t="s">
        <v>83</v>
      </c>
      <c r="J45" s="188" t="s">
        <v>441</v>
      </c>
      <c r="K45" s="175"/>
      <c r="L45" s="180" t="s">
        <v>332</v>
      </c>
      <c r="M45" s="181" t="s">
        <v>333</v>
      </c>
      <c r="N45" s="181" t="s">
        <v>334</v>
      </c>
    </row>
    <row r="46" spans="1:15" s="131" customFormat="1" ht="14.25" thickBot="1">
      <c r="A46" s="149" t="s">
        <v>434</v>
      </c>
      <c r="D46"/>
      <c r="E46" s="262">
        <f>B48+B56+B62+B66+B71+B80+B85+B90+B97+B103+B112+B116+B119+B123+B126</f>
        <v>4164.0300000000007</v>
      </c>
      <c r="G46" s="191">
        <f>SUM(G48:G128)</f>
        <v>4164.03</v>
      </c>
      <c r="H46" s="191">
        <f>SUM(H48:H128)</f>
        <v>4162.6900000000005</v>
      </c>
      <c r="I46" s="191">
        <f>H46-G46</f>
        <v>-1.339999999999236</v>
      </c>
      <c r="J46" s="191">
        <f>SUM(J48:J128)</f>
        <v>-10194.550000000005</v>
      </c>
      <c r="K46" s="178"/>
      <c r="L46" s="182">
        <f>SUM(L49:L139)</f>
        <v>1204.1600000000003</v>
      </c>
      <c r="M46" s="182">
        <f>SUM(M49:M139)</f>
        <v>2330.44</v>
      </c>
      <c r="N46" s="244">
        <f>SUM(N49:N139)</f>
        <v>665.41000000000008</v>
      </c>
      <c r="O46" s="131" t="s">
        <v>1009</v>
      </c>
    </row>
    <row r="47" spans="1:15" s="131" customFormat="1" ht="13.5">
      <c r="A47" s="131" t="s">
        <v>421</v>
      </c>
      <c r="I47" s="152"/>
      <c r="J47" s="187"/>
      <c r="K47" s="174"/>
      <c r="L47" s="115"/>
      <c r="M47" s="116"/>
      <c r="N47" s="116"/>
    </row>
    <row r="48" spans="1:15" s="131" customFormat="1" ht="13.5">
      <c r="A48" s="149" t="s">
        <v>547</v>
      </c>
      <c r="B48" s="149">
        <f>SUM(G49:G54)</f>
        <v>489.64000000000033</v>
      </c>
      <c r="C48" s="149">
        <f>SUM(H49:H54)</f>
        <v>1749.1900000000005</v>
      </c>
      <c r="D48" s="149">
        <f>SUM(I49:I54)</f>
        <v>1259.55</v>
      </c>
      <c r="I48" s="152"/>
      <c r="J48" s="187"/>
      <c r="K48" s="174"/>
      <c r="L48" s="115"/>
      <c r="M48" s="116"/>
      <c r="N48" s="116"/>
    </row>
    <row r="49" spans="1:14" s="131" customFormat="1" ht="13.5">
      <c r="B49" s="131" t="s">
        <v>550</v>
      </c>
      <c r="G49" s="131">
        <f t="shared" ref="G49:G54" si="1">SUM(L49:N49)</f>
        <v>0</v>
      </c>
      <c r="H49" s="131">
        <v>0</v>
      </c>
      <c r="I49" s="152">
        <f t="shared" ref="I49:I54" si="2">H49-G49</f>
        <v>0</v>
      </c>
      <c r="J49" s="187">
        <f>Jan!I49+Feb!I49+Mar!I49+Apr!I49+May!I49+Jun!I49+July!I49+Aug!I49+Sep!I49+Oct!I49+Nov!I49+Dec!I49</f>
        <v>-2426.06</v>
      </c>
      <c r="K49" s="174"/>
      <c r="L49" s="115"/>
      <c r="M49" s="116"/>
      <c r="N49" s="116"/>
    </row>
    <row r="50" spans="1:14" s="131" customFormat="1" ht="13.5">
      <c r="B50" s="131" t="s">
        <v>622</v>
      </c>
      <c r="G50" s="131">
        <f t="shared" si="1"/>
        <v>0</v>
      </c>
      <c r="H50" s="131">
        <v>1250</v>
      </c>
      <c r="I50" s="152">
        <f t="shared" si="2"/>
        <v>1250</v>
      </c>
      <c r="J50" s="187">
        <f>Jan!I50+Feb!I50+Mar!I50+Apr!I50+May!I50+Jun!I50+July!I50+Aug!I50+Sep!I50+Oct!I50+Nov!I50+Dec!I50</f>
        <v>-161.57000000000176</v>
      </c>
      <c r="K50" s="174"/>
      <c r="L50" s="115"/>
      <c r="M50" s="116"/>
      <c r="N50" s="116"/>
    </row>
    <row r="51" spans="1:14" s="131" customFormat="1" ht="13.5">
      <c r="B51" s="131" t="s">
        <v>624</v>
      </c>
      <c r="G51" s="131">
        <f t="shared" si="1"/>
        <v>540.45000000000005</v>
      </c>
      <c r="H51" s="131">
        <v>550</v>
      </c>
      <c r="I51" s="152">
        <f t="shared" si="2"/>
        <v>9.5499999999999545</v>
      </c>
      <c r="J51" s="187">
        <f>Jan!I51+Feb!I51+Mar!I51+Apr!I51+May!I51+Jun!I51+July!I51+Aug!I51+Sep!I51+Oct!I51+Nov!I51+Dec!I51</f>
        <v>258.2299999999999</v>
      </c>
      <c r="K51" s="174"/>
      <c r="L51" s="115">
        <v>540.45000000000005</v>
      </c>
      <c r="M51" s="116"/>
      <c r="N51" s="116"/>
    </row>
    <row r="52" spans="1:14" s="131" customFormat="1" ht="13.5">
      <c r="B52" s="131" t="s">
        <v>551</v>
      </c>
      <c r="G52" s="131">
        <f t="shared" si="1"/>
        <v>1636.68</v>
      </c>
      <c r="H52" s="131">
        <v>1636.68</v>
      </c>
      <c r="I52" s="152">
        <f t="shared" si="2"/>
        <v>0</v>
      </c>
      <c r="J52" s="187">
        <f>Jan!I52+Feb!I52+Mar!I52+Apr!I52+May!I52+Jun!I52+July!I52+Aug!I52+Sep!I52+Oct!I52+Nov!I52+Dec!I52</f>
        <v>1585.8700000000001</v>
      </c>
      <c r="K52" s="174"/>
      <c r="L52" s="115">
        <v>1636.68</v>
      </c>
      <c r="M52" s="116"/>
      <c r="N52" s="116"/>
    </row>
    <row r="53" spans="1:14" s="131" customFormat="1" ht="13.5">
      <c r="B53" s="131" t="s">
        <v>720</v>
      </c>
      <c r="G53" s="131">
        <f t="shared" si="1"/>
        <v>312.51</v>
      </c>
      <c r="H53" s="131">
        <v>312.51</v>
      </c>
      <c r="I53" s="152">
        <f t="shared" si="2"/>
        <v>0</v>
      </c>
      <c r="J53" s="187">
        <f>Jan!I53+Feb!I53+Mar!I53+Apr!I53+May!I53+Jun!I53+July!I53+Aug!I53+Sep!I53+Oct!I53+Nov!I53+Dec!I53</f>
        <v>312.51</v>
      </c>
      <c r="K53" s="174"/>
      <c r="L53" s="115">
        <v>312.51</v>
      </c>
      <c r="M53" s="116"/>
      <c r="N53" s="116"/>
    </row>
    <row r="54" spans="1:14" s="131" customFormat="1" ht="13.5">
      <c r="B54" s="131" t="s">
        <v>625</v>
      </c>
      <c r="G54" s="131">
        <f t="shared" si="1"/>
        <v>-2000</v>
      </c>
      <c r="H54" s="131">
        <v>-2000</v>
      </c>
      <c r="I54" s="152">
        <f t="shared" si="2"/>
        <v>0</v>
      </c>
      <c r="J54" s="187">
        <f>Jan!I54+Feb!I54+Mar!I54+Apr!I54+May!I54+Jun!I54+July!I54+Aug!I54+Sep!I54+Oct!I54+Nov!I54+Dec!I54</f>
        <v>-1000</v>
      </c>
      <c r="K54" s="174"/>
      <c r="L54" s="115">
        <v>-2000</v>
      </c>
      <c r="M54" s="116"/>
      <c r="N54" s="116"/>
    </row>
    <row r="55" spans="1:14" s="131" customFormat="1" ht="13.5">
      <c r="I55" s="152"/>
      <c r="J55" s="187"/>
      <c r="K55" s="174"/>
      <c r="L55" s="115"/>
      <c r="M55" s="116"/>
      <c r="N55" s="116"/>
    </row>
    <row r="56" spans="1:14" s="131" customFormat="1" ht="13.5">
      <c r="A56" s="149" t="s">
        <v>85</v>
      </c>
      <c r="B56" s="149">
        <f>SUM(G57:G60)</f>
        <v>355.52</v>
      </c>
      <c r="C56" s="149">
        <f>SUM(H57:H60)</f>
        <v>355</v>
      </c>
      <c r="D56" s="149">
        <f>C56-B56</f>
        <v>-0.51999999999998181</v>
      </c>
      <c r="I56" s="152"/>
      <c r="J56" s="187"/>
      <c r="K56" s="174"/>
      <c r="L56" s="115"/>
      <c r="M56" s="116"/>
      <c r="N56" s="116"/>
    </row>
    <row r="57" spans="1:14" s="131" customFormat="1" ht="13.5">
      <c r="B57" s="131" t="s">
        <v>41</v>
      </c>
      <c r="C57" s="131" t="s">
        <v>42</v>
      </c>
      <c r="G57" s="131">
        <f>SUM(L57:N57)</f>
        <v>115.17</v>
      </c>
      <c r="H57" s="131">
        <v>110</v>
      </c>
      <c r="I57" s="152">
        <f>H57-G57</f>
        <v>-5.1700000000000017</v>
      </c>
      <c r="J57" s="187">
        <f>Jan!I57+Feb!I57+Mar!I57+Apr!I57+May!I57+Jun!I57+July!I57+Aug!I57+Sep!I57+Oct!I57+Nov!I57+Dec!I57</f>
        <v>-131.14999999999998</v>
      </c>
      <c r="K57" s="174"/>
      <c r="L57" s="115">
        <v>115.17</v>
      </c>
      <c r="M57" s="116"/>
      <c r="N57" s="116"/>
    </row>
    <row r="58" spans="1:14" s="131" customFormat="1" ht="13.5">
      <c r="B58" s="131" t="s">
        <v>43</v>
      </c>
      <c r="C58" s="131" t="s">
        <v>44</v>
      </c>
      <c r="G58" s="131">
        <f t="shared" ref="G58:G121" si="3">SUM(L58:N58)</f>
        <v>240.35</v>
      </c>
      <c r="H58" s="131">
        <v>45</v>
      </c>
      <c r="I58" s="152">
        <f t="shared" ref="I58:I121" si="4">H58-G58</f>
        <v>-195.35</v>
      </c>
      <c r="J58" s="187">
        <f>Jan!I58+Feb!I58+Mar!I58+Apr!I58+May!I58+Jun!I58+July!I58+Aug!I58+Sep!I58+Oct!I58+Nov!I58+Dec!I58</f>
        <v>12</v>
      </c>
      <c r="K58" s="174"/>
      <c r="L58" s="115">
        <v>240.35</v>
      </c>
      <c r="M58" s="116"/>
      <c r="N58" s="116"/>
    </row>
    <row r="59" spans="1:14" s="131" customFormat="1" ht="13.5">
      <c r="B59" s="198" t="s">
        <v>86</v>
      </c>
      <c r="C59" s="198" t="s">
        <v>87</v>
      </c>
      <c r="D59" s="198" t="s">
        <v>423</v>
      </c>
      <c r="E59" s="198"/>
      <c r="F59" s="198"/>
      <c r="G59" s="131">
        <f t="shared" si="3"/>
        <v>0</v>
      </c>
      <c r="H59" s="131">
        <v>90</v>
      </c>
      <c r="I59" s="152">
        <f t="shared" si="4"/>
        <v>90</v>
      </c>
      <c r="J59" s="187">
        <f>Jan!I59+Feb!I59+Mar!I59+Apr!I59+May!I59+Jun!I59+July!I59+Aug!I59+Sep!I59+Oct!I59+Nov!I59+Dec!I59</f>
        <v>-145</v>
      </c>
      <c r="K59" s="174"/>
      <c r="L59" s="115"/>
      <c r="M59" s="116"/>
      <c r="N59" s="116"/>
    </row>
    <row r="60" spans="1:14" s="131" customFormat="1" ht="13.5">
      <c r="B60" s="198" t="s">
        <v>88</v>
      </c>
      <c r="C60" s="198" t="s">
        <v>89</v>
      </c>
      <c r="D60" s="198" t="s">
        <v>424</v>
      </c>
      <c r="E60" s="198"/>
      <c r="F60" s="198"/>
      <c r="G60" s="131">
        <f t="shared" si="3"/>
        <v>0</v>
      </c>
      <c r="H60" s="131">
        <v>110</v>
      </c>
      <c r="I60" s="152">
        <f t="shared" si="4"/>
        <v>110</v>
      </c>
      <c r="J60" s="187">
        <f>Jan!I60+Feb!I60+Mar!I60+Apr!I60+May!I60+Jun!I60+July!I60+Aug!I60+Sep!I60+Oct!I60+Nov!I60+Dec!I60</f>
        <v>-69.719999999999914</v>
      </c>
      <c r="K60" s="174"/>
      <c r="L60" s="115"/>
      <c r="M60" s="116"/>
      <c r="N60" s="116"/>
    </row>
    <row r="61" spans="1:14" s="131" customFormat="1" ht="13.5">
      <c r="I61" s="152"/>
      <c r="J61" s="187"/>
      <c r="K61" s="174"/>
      <c r="L61" s="115"/>
      <c r="M61" s="116"/>
      <c r="N61" s="116"/>
    </row>
    <row r="62" spans="1:14" s="131" customFormat="1" ht="13.5">
      <c r="A62" s="149" t="s">
        <v>91</v>
      </c>
      <c r="B62" s="149">
        <f>SUM(G63:G64)</f>
        <v>141.01</v>
      </c>
      <c r="C62" s="149">
        <f>SUM(H63:H64)</f>
        <v>138</v>
      </c>
      <c r="D62" s="149">
        <f>C62-B62</f>
        <v>-3.0099999999999909</v>
      </c>
      <c r="I62" s="152"/>
      <c r="J62" s="187"/>
      <c r="K62" s="174"/>
      <c r="L62" s="115"/>
      <c r="M62" s="116"/>
      <c r="N62" s="116"/>
    </row>
    <row r="63" spans="1:14" s="131" customFormat="1" ht="13.5">
      <c r="B63" s="131" t="s">
        <v>50</v>
      </c>
      <c r="C63" s="131" t="s">
        <v>51</v>
      </c>
      <c r="G63" s="131">
        <f t="shared" si="3"/>
        <v>67.180000000000007</v>
      </c>
      <c r="H63" s="131">
        <v>63</v>
      </c>
      <c r="I63" s="152">
        <f t="shared" si="4"/>
        <v>-4.1800000000000068</v>
      </c>
      <c r="J63" s="187">
        <f>Jan!I63+Feb!I63+Mar!I63+Apr!I63+May!I63+Jun!I63+July!I63+Aug!I63+Sep!I63+Oct!I63+Nov!I63+Dec!I63</f>
        <v>-35.690000000000026</v>
      </c>
      <c r="K63" s="174"/>
      <c r="L63" s="115"/>
      <c r="M63" s="116">
        <v>67.180000000000007</v>
      </c>
      <c r="N63" s="116"/>
    </row>
    <row r="64" spans="1:14" s="131" customFormat="1" ht="13.5">
      <c r="B64" s="131" t="s">
        <v>92</v>
      </c>
      <c r="C64" s="131" t="s">
        <v>93</v>
      </c>
      <c r="D64" s="156"/>
      <c r="G64" s="131">
        <f t="shared" si="3"/>
        <v>73.83</v>
      </c>
      <c r="H64" s="131">
        <v>75</v>
      </c>
      <c r="I64" s="152">
        <f t="shared" si="4"/>
        <v>1.1700000000000017</v>
      </c>
      <c r="J64" s="187">
        <f>Jan!I64+Feb!I64+Mar!I64+Apr!I64+May!I64+Jun!I64+July!I64+Aug!I64+Sep!I64+Oct!I64+Nov!I64+Dec!I64</f>
        <v>18.760000000000019</v>
      </c>
      <c r="K64" s="174"/>
      <c r="L64" s="115"/>
      <c r="M64" s="116">
        <v>73.83</v>
      </c>
      <c r="N64" s="116"/>
    </row>
    <row r="65" spans="1:15" s="131" customFormat="1" ht="13.5">
      <c r="I65" s="152"/>
      <c r="J65" s="187"/>
      <c r="K65" s="174"/>
      <c r="L65" s="115"/>
      <c r="M65" s="116"/>
      <c r="N65" s="116"/>
    </row>
    <row r="66" spans="1:15" s="131" customFormat="1" ht="13.5">
      <c r="A66" s="193" t="s">
        <v>94</v>
      </c>
      <c r="B66" s="149">
        <f>SUM(G67:G69)</f>
        <v>820</v>
      </c>
      <c r="C66" s="149">
        <f>SUM(H67:H69)</f>
        <v>177</v>
      </c>
      <c r="D66" s="149">
        <f>C66-B66</f>
        <v>-643</v>
      </c>
      <c r="I66" s="152"/>
      <c r="J66" s="187"/>
      <c r="K66" s="174"/>
      <c r="L66" s="115"/>
      <c r="M66" s="116"/>
      <c r="N66" s="116"/>
    </row>
    <row r="67" spans="1:15" s="131" customFormat="1" ht="13.5">
      <c r="B67" s="198" t="s">
        <v>95</v>
      </c>
      <c r="C67" s="198"/>
      <c r="D67" s="198" t="s">
        <v>96</v>
      </c>
      <c r="E67" s="198"/>
      <c r="F67" s="198"/>
      <c r="G67" s="131">
        <f t="shared" si="3"/>
        <v>0</v>
      </c>
      <c r="H67" s="131">
        <v>56.5</v>
      </c>
      <c r="I67" s="152">
        <f t="shared" si="4"/>
        <v>56.5</v>
      </c>
      <c r="J67" s="187">
        <f>Jan!I67+Feb!I67+Mar!I67+Apr!I67+May!I67+Jun!I67+July!I67+Aug!I67+Sep!I67+Oct!I67+Nov!I67+Dec!I67</f>
        <v>-38</v>
      </c>
      <c r="K67" s="174"/>
      <c r="L67" s="115"/>
      <c r="M67" s="116"/>
      <c r="N67" s="116"/>
    </row>
    <row r="68" spans="1:15" s="131" customFormat="1" ht="13.5">
      <c r="B68" s="198" t="s">
        <v>97</v>
      </c>
      <c r="C68" s="198"/>
      <c r="D68" s="198" t="s">
        <v>96</v>
      </c>
      <c r="E68" s="198"/>
      <c r="F68" s="198"/>
      <c r="G68" s="131">
        <f t="shared" si="3"/>
        <v>820</v>
      </c>
      <c r="H68" s="131">
        <v>84.5</v>
      </c>
      <c r="I68" s="152">
        <f t="shared" si="4"/>
        <v>-735.5</v>
      </c>
      <c r="J68" s="187">
        <f>Jan!I68+Feb!I68+Mar!I68+Apr!I68+May!I68+Jun!I68+July!I68+Aug!I68+Sep!I68+Oct!I68+Nov!I68+Dec!I68</f>
        <v>-761</v>
      </c>
      <c r="K68" s="174"/>
      <c r="L68" s="115"/>
      <c r="M68" s="116">
        <v>820</v>
      </c>
      <c r="N68" s="116"/>
      <c r="O68" s="131" t="s">
        <v>995</v>
      </c>
    </row>
    <row r="69" spans="1:15" s="131" customFormat="1" ht="13.5">
      <c r="B69" s="198" t="s">
        <v>98</v>
      </c>
      <c r="C69" s="198"/>
      <c r="D69" s="198" t="s">
        <v>477</v>
      </c>
      <c r="E69" s="198"/>
      <c r="F69" s="198"/>
      <c r="G69" s="131">
        <f t="shared" si="3"/>
        <v>0</v>
      </c>
      <c r="H69" s="131">
        <v>36</v>
      </c>
      <c r="I69" s="152">
        <f t="shared" si="4"/>
        <v>36</v>
      </c>
      <c r="J69" s="187">
        <f>Jan!I69+Feb!I69+Mar!I69+Apr!I69+May!I69+Jun!I69+July!I69+Aug!I69+Sep!I69+Oct!I69+Nov!I69+Dec!I69</f>
        <v>-0.81999999999999318</v>
      </c>
      <c r="K69" s="174"/>
      <c r="L69" s="115"/>
      <c r="M69" s="116"/>
      <c r="N69" s="116"/>
    </row>
    <row r="70" spans="1:15" s="131" customFormat="1" ht="13.5">
      <c r="I70" s="152"/>
      <c r="J70" s="187"/>
      <c r="K70" s="174"/>
      <c r="L70" s="115"/>
      <c r="M70" s="116"/>
      <c r="N70" s="116"/>
    </row>
    <row r="71" spans="1:15" s="131" customFormat="1" ht="13.5">
      <c r="A71" s="149" t="s">
        <v>99</v>
      </c>
      <c r="B71" s="149">
        <f>SUM(G72:G78)</f>
        <v>85.2</v>
      </c>
      <c r="C71" s="149">
        <f>SUM(H72:H78)</f>
        <v>166.5</v>
      </c>
      <c r="D71" s="149">
        <f>C71-B71</f>
        <v>81.3</v>
      </c>
      <c r="I71" s="152"/>
      <c r="J71" s="187"/>
      <c r="K71" s="174"/>
      <c r="L71" s="115"/>
      <c r="M71" s="116"/>
      <c r="N71" s="116"/>
    </row>
    <row r="72" spans="1:15" s="131" customFormat="1" ht="13.5">
      <c r="B72" s="131" t="s">
        <v>100</v>
      </c>
      <c r="G72" s="131">
        <f t="shared" si="3"/>
        <v>0</v>
      </c>
      <c r="H72" s="131">
        <v>15</v>
      </c>
      <c r="I72" s="152">
        <f t="shared" si="4"/>
        <v>15</v>
      </c>
      <c r="J72" s="187">
        <f>Jan!I72+Feb!I72+Mar!I72+Apr!I72+May!I72+Jun!I72+July!I72+Aug!I72+Sep!I72+Oct!I72+Nov!I72+Dec!I72</f>
        <v>-52.05</v>
      </c>
      <c r="K72" s="174"/>
      <c r="L72" s="115"/>
      <c r="M72" s="116"/>
      <c r="N72" s="116"/>
    </row>
    <row r="73" spans="1:15" s="131" customFormat="1" ht="13.5">
      <c r="B73" s="131" t="s">
        <v>384</v>
      </c>
      <c r="G73" s="131">
        <f t="shared" si="3"/>
        <v>0</v>
      </c>
      <c r="H73" s="131">
        <v>5</v>
      </c>
      <c r="I73" s="152">
        <f t="shared" si="4"/>
        <v>5</v>
      </c>
      <c r="J73" s="187">
        <f>Jan!I73+Feb!I73+Mar!I73+Apr!I73+May!I73+Jun!I73+July!I73+Aug!I73+Sep!I73+Oct!I73+Nov!I73+Dec!I73</f>
        <v>18.899999999999999</v>
      </c>
      <c r="K73" s="174"/>
      <c r="L73" s="115"/>
      <c r="M73" s="116"/>
      <c r="N73" s="116"/>
    </row>
    <row r="74" spans="1:15" s="131" customFormat="1" ht="13.5">
      <c r="B74" s="131" t="s">
        <v>385</v>
      </c>
      <c r="G74" s="131">
        <f t="shared" si="3"/>
        <v>17.989999999999998</v>
      </c>
      <c r="H74" s="131">
        <v>65</v>
      </c>
      <c r="I74" s="152">
        <f t="shared" si="4"/>
        <v>47.010000000000005</v>
      </c>
      <c r="J74" s="187">
        <f>Jan!I74+Feb!I74+Mar!I74+Apr!I74+May!I74+Jun!I74+July!I74+Aug!I74+Sep!I74+Oct!I74+Nov!I74+Dec!I74</f>
        <v>5.9400000000000404</v>
      </c>
      <c r="K74" s="174"/>
      <c r="L74" s="115"/>
      <c r="M74" s="116">
        <v>17.989999999999998</v>
      </c>
      <c r="N74" s="116"/>
      <c r="O74" s="131" t="s">
        <v>960</v>
      </c>
    </row>
    <row r="75" spans="1:15" s="131" customFormat="1" ht="13.5">
      <c r="B75" s="131" t="s">
        <v>386</v>
      </c>
      <c r="G75" s="131">
        <f t="shared" si="3"/>
        <v>62.99</v>
      </c>
      <c r="H75" s="131">
        <v>15</v>
      </c>
      <c r="I75" s="152">
        <f t="shared" si="4"/>
        <v>-47.99</v>
      </c>
      <c r="J75" s="187">
        <f>Jan!I75+Feb!I75+Mar!I75+Apr!I75+May!I75+Jun!I75+July!I75+Aug!I75+Sep!I75+Oct!I75+Nov!I75+Dec!I75</f>
        <v>22.889999999999993</v>
      </c>
      <c r="K75" s="174"/>
      <c r="L75" s="115"/>
      <c r="M75" s="116">
        <f>62.99</f>
        <v>62.99</v>
      </c>
      <c r="N75" s="116"/>
      <c r="O75" s="131" t="s">
        <v>959</v>
      </c>
    </row>
    <row r="76" spans="1:15" s="131" customFormat="1" ht="13.5">
      <c r="B76" s="198" t="s">
        <v>390</v>
      </c>
      <c r="C76" s="198"/>
      <c r="D76" s="198"/>
      <c r="E76" s="198"/>
      <c r="F76" s="198"/>
      <c r="G76" s="131">
        <f t="shared" si="3"/>
        <v>4.22</v>
      </c>
      <c r="H76" s="131">
        <v>35</v>
      </c>
      <c r="I76" s="152">
        <f t="shared" si="4"/>
        <v>30.78</v>
      </c>
      <c r="J76" s="187">
        <f>Jan!I76+Feb!I76+Mar!I76+Apr!I76+May!I76+Jun!I76+July!I76+Aug!I76+Sep!I76+Oct!I76+Nov!I76+Dec!I76</f>
        <v>8.1799999999999784</v>
      </c>
      <c r="K76" s="174"/>
      <c r="L76" s="115"/>
      <c r="M76" s="116">
        <v>4.22</v>
      </c>
      <c r="N76" s="116"/>
    </row>
    <row r="77" spans="1:15" s="131" customFormat="1" ht="13.5">
      <c r="B77" s="198" t="s">
        <v>387</v>
      </c>
      <c r="C77" s="198"/>
      <c r="D77" s="198"/>
      <c r="E77" s="198"/>
      <c r="F77" s="198"/>
      <c r="G77" s="131">
        <f t="shared" si="3"/>
        <v>0</v>
      </c>
      <c r="H77" s="131">
        <v>20</v>
      </c>
      <c r="I77" s="152">
        <f t="shared" si="4"/>
        <v>20</v>
      </c>
      <c r="J77" s="187">
        <f>Jan!I77+Feb!I77+Mar!I77+Apr!I77+May!I77+Jun!I77+July!I77+Aug!I77+Sep!I77+Oct!I77+Nov!I77+Dec!I77</f>
        <v>240</v>
      </c>
      <c r="K77" s="174"/>
      <c r="L77" s="115"/>
      <c r="M77" s="116"/>
      <c r="N77" s="116"/>
    </row>
    <row r="78" spans="1:15" s="131" customFormat="1" ht="13.5">
      <c r="B78" s="198" t="s">
        <v>388</v>
      </c>
      <c r="C78" s="198"/>
      <c r="D78" s="198"/>
      <c r="E78" s="198"/>
      <c r="F78" s="198"/>
      <c r="G78" s="131">
        <f t="shared" si="3"/>
        <v>0</v>
      </c>
      <c r="H78" s="131">
        <v>11.5</v>
      </c>
      <c r="I78" s="152">
        <f t="shared" si="4"/>
        <v>11.5</v>
      </c>
      <c r="J78" s="187">
        <f>Jan!I78+Feb!I78+Mar!I78+Apr!I78+May!I78+Jun!I78+July!I78+Aug!I78+Sep!I78+Oct!I78+Nov!I78+Dec!I78</f>
        <v>12.010000000000005</v>
      </c>
      <c r="K78" s="174"/>
      <c r="L78" s="115"/>
      <c r="M78" s="116"/>
      <c r="N78" s="116"/>
    </row>
    <row r="79" spans="1:15" s="131" customFormat="1" ht="13.5">
      <c r="I79" s="152"/>
      <c r="J79" s="187"/>
      <c r="K79" s="174"/>
      <c r="L79" s="115"/>
      <c r="M79" s="116"/>
      <c r="N79" s="116"/>
    </row>
    <row r="80" spans="1:15" s="131" customFormat="1" ht="13.5">
      <c r="A80" s="149" t="s">
        <v>335</v>
      </c>
      <c r="B80" s="149">
        <f>SUM(G81:G83)</f>
        <v>0</v>
      </c>
      <c r="C80" s="149">
        <f>SUM(H81:H83)</f>
        <v>30</v>
      </c>
      <c r="D80" s="149">
        <f>C80-B80</f>
        <v>30</v>
      </c>
      <c r="I80" s="152"/>
      <c r="J80" s="187"/>
      <c r="K80" s="174"/>
      <c r="L80" s="115"/>
      <c r="M80" s="116"/>
      <c r="N80" s="116"/>
    </row>
    <row r="81" spans="1:15" s="131" customFormat="1" ht="13.5">
      <c r="B81" s="198" t="s">
        <v>101</v>
      </c>
      <c r="C81" s="198"/>
      <c r="D81" s="198"/>
      <c r="E81" s="198"/>
      <c r="F81" s="198"/>
      <c r="G81" s="131">
        <f t="shared" si="3"/>
        <v>0</v>
      </c>
      <c r="H81" s="131">
        <v>10</v>
      </c>
      <c r="I81" s="152">
        <f t="shared" si="4"/>
        <v>10</v>
      </c>
      <c r="J81" s="187">
        <f>Jan!I81+Feb!I81+Mar!I81+Apr!I81+May!I81+Jun!I81+July!I81+Aug!I81+Sep!I81+Oct!I81+Nov!I81+Dec!I81</f>
        <v>-333</v>
      </c>
      <c r="K81" s="174"/>
      <c r="L81" s="115"/>
      <c r="M81" s="116"/>
      <c r="N81" s="116"/>
    </row>
    <row r="82" spans="1:15" s="131" customFormat="1" ht="13.5">
      <c r="B82" s="198" t="s">
        <v>102</v>
      </c>
      <c r="C82" s="198"/>
      <c r="D82" s="198"/>
      <c r="E82" s="198"/>
      <c r="F82" s="198"/>
      <c r="G82" s="131">
        <f t="shared" si="3"/>
        <v>0</v>
      </c>
      <c r="H82" s="131">
        <v>10</v>
      </c>
      <c r="I82" s="152">
        <f t="shared" si="4"/>
        <v>10</v>
      </c>
      <c r="J82" s="187">
        <f>Jan!I82+Feb!I82+Mar!I82+Apr!I82+May!I82+Jun!I82+July!I82+Aug!I82+Sep!I82+Oct!I82+Nov!I82+Dec!I82</f>
        <v>-68.460000000000008</v>
      </c>
      <c r="K82" s="174"/>
      <c r="L82" s="115"/>
      <c r="M82" s="116"/>
      <c r="N82" s="116"/>
    </row>
    <row r="83" spans="1:15" s="131" customFormat="1" ht="13.5">
      <c r="B83" s="198" t="s">
        <v>383</v>
      </c>
      <c r="C83" s="198"/>
      <c r="D83" s="198"/>
      <c r="E83" s="198"/>
      <c r="F83" s="198"/>
      <c r="G83" s="131">
        <f t="shared" si="3"/>
        <v>0</v>
      </c>
      <c r="H83" s="131">
        <v>10</v>
      </c>
      <c r="I83" s="152">
        <f t="shared" si="4"/>
        <v>10</v>
      </c>
      <c r="J83" s="187">
        <f>Jan!I83+Feb!I83+Mar!I83+Apr!I83+May!I83+Jun!I83+July!I83+Aug!I83+Sep!I83+Oct!I83+Nov!I83+Dec!I83</f>
        <v>24.35</v>
      </c>
      <c r="K83" s="174"/>
      <c r="L83" s="115"/>
      <c r="M83" s="116"/>
      <c r="N83" s="116"/>
    </row>
    <row r="84" spans="1:15" s="131" customFormat="1" ht="13.5">
      <c r="I84" s="152"/>
      <c r="J84" s="187"/>
      <c r="K84" s="174"/>
      <c r="L84" s="115"/>
      <c r="M84" s="116"/>
      <c r="N84" s="116"/>
    </row>
    <row r="85" spans="1:15" s="131" customFormat="1" ht="13.5">
      <c r="A85" s="149" t="s">
        <v>110</v>
      </c>
      <c r="B85" s="149">
        <f>SUM(G86:G88)</f>
        <v>77.36</v>
      </c>
      <c r="C85" s="149">
        <f>SUM(H86:H88)</f>
        <v>115</v>
      </c>
      <c r="D85" s="149">
        <f>C85-B85</f>
        <v>37.64</v>
      </c>
      <c r="I85" s="152"/>
      <c r="J85" s="187"/>
      <c r="K85" s="174"/>
      <c r="L85" s="115"/>
      <c r="M85" s="116"/>
      <c r="N85" s="116"/>
    </row>
    <row r="86" spans="1:15" s="131" customFormat="1" ht="13.5">
      <c r="B86" s="198" t="s">
        <v>389</v>
      </c>
      <c r="C86" s="198"/>
      <c r="D86" s="198"/>
      <c r="E86" s="198"/>
      <c r="F86" s="198"/>
      <c r="G86" s="131">
        <f t="shared" si="3"/>
        <v>0</v>
      </c>
      <c r="H86" s="131">
        <v>30</v>
      </c>
      <c r="I86" s="152">
        <f t="shared" si="4"/>
        <v>30</v>
      </c>
      <c r="J86" s="187">
        <f>Jan!I86+Feb!I86+Mar!I86+Apr!I86+May!I86+Jun!I86+July!I86+Aug!I86+Sep!I86+Oct!I86+Nov!I86+Dec!I86</f>
        <v>-686.38000000000011</v>
      </c>
      <c r="K86" s="174"/>
      <c r="L86" s="115"/>
      <c r="M86" s="116"/>
      <c r="N86" s="116"/>
    </row>
    <row r="87" spans="1:15" s="131" customFormat="1" ht="13.5">
      <c r="B87" s="198" t="s">
        <v>111</v>
      </c>
      <c r="C87" s="198"/>
      <c r="D87" s="198"/>
      <c r="E87" s="198"/>
      <c r="F87" s="198"/>
      <c r="G87" s="131">
        <f t="shared" si="3"/>
        <v>0</v>
      </c>
      <c r="H87" s="131">
        <v>20</v>
      </c>
      <c r="I87" s="152">
        <f t="shared" si="4"/>
        <v>20</v>
      </c>
      <c r="J87" s="187">
        <f>Jan!I87+Feb!I87+Mar!I87+Apr!I87+May!I87+Jun!I87+July!I87+Aug!I87+Sep!I87+Oct!I87+Nov!I87+Dec!I87</f>
        <v>-43.399999999999977</v>
      </c>
      <c r="K87" s="174"/>
      <c r="L87" s="115"/>
      <c r="M87" s="116"/>
      <c r="N87" s="116"/>
    </row>
    <row r="88" spans="1:15" s="131" customFormat="1" ht="13.5">
      <c r="B88" s="131" t="s">
        <v>391</v>
      </c>
      <c r="G88" s="131">
        <f t="shared" si="3"/>
        <v>77.36</v>
      </c>
      <c r="H88" s="131">
        <v>65</v>
      </c>
      <c r="I88" s="152">
        <f t="shared" si="4"/>
        <v>-12.36</v>
      </c>
      <c r="J88" s="187">
        <f>Jan!I88+Feb!I88+Mar!I88+Apr!I88+May!I88+Jun!I88+July!I88+Aug!I88+Sep!I88+Oct!I88+Nov!I88+Dec!I88</f>
        <v>-592.92999999999995</v>
      </c>
      <c r="K88" s="174"/>
      <c r="L88" s="115"/>
      <c r="M88" s="116">
        <f>48.84+28.52</f>
        <v>77.36</v>
      </c>
      <c r="N88" s="116"/>
    </row>
    <row r="89" spans="1:15" s="131" customFormat="1" ht="13.5">
      <c r="I89" s="152"/>
      <c r="J89" s="187"/>
      <c r="K89" s="174"/>
      <c r="L89" s="115"/>
      <c r="M89" s="116"/>
      <c r="N89" s="116"/>
    </row>
    <row r="90" spans="1:15" s="131" customFormat="1" ht="13.5">
      <c r="A90" s="149" t="s">
        <v>112</v>
      </c>
      <c r="B90" s="149">
        <f>SUM(G91:G95)</f>
        <v>434.5</v>
      </c>
      <c r="C90" s="149">
        <f>SUM(H91:H95)</f>
        <v>220</v>
      </c>
      <c r="D90" s="149">
        <f>C90-B90</f>
        <v>-214.5</v>
      </c>
      <c r="I90" s="152"/>
      <c r="J90" s="187"/>
      <c r="K90" s="174"/>
      <c r="L90" s="115"/>
      <c r="M90" s="116"/>
      <c r="N90" s="116"/>
    </row>
    <row r="91" spans="1:15" s="131" customFormat="1" ht="13.5">
      <c r="B91" s="131" t="s">
        <v>113</v>
      </c>
      <c r="G91" s="131">
        <f t="shared" si="3"/>
        <v>90.87</v>
      </c>
      <c r="H91" s="131">
        <v>40</v>
      </c>
      <c r="I91" s="152">
        <f t="shared" si="4"/>
        <v>-50.870000000000005</v>
      </c>
      <c r="J91" s="187">
        <f>Jan!I91+Feb!I91+Mar!I91+Apr!I91+May!I91+Jun!I91+July!I91+Aug!I91+Sep!I91+Oct!I91+Nov!I91+Dec!I91</f>
        <v>-206.02</v>
      </c>
      <c r="K91" s="174"/>
      <c r="L91" s="115"/>
      <c r="M91" s="116">
        <f>31.83+59.04</f>
        <v>90.87</v>
      </c>
      <c r="N91" s="116"/>
    </row>
    <row r="92" spans="1:15" s="131" customFormat="1" ht="13.5">
      <c r="B92" s="131" t="s">
        <v>114</v>
      </c>
      <c r="D92" s="131" t="s">
        <v>115</v>
      </c>
      <c r="G92" s="131">
        <f t="shared" si="3"/>
        <v>218.15</v>
      </c>
      <c r="H92" s="131">
        <v>120</v>
      </c>
      <c r="I92" s="152">
        <f t="shared" si="4"/>
        <v>-98.15</v>
      </c>
      <c r="J92" s="187">
        <f>Jan!I92+Feb!I92+Mar!I92+Apr!I92+May!I92+Jun!I92+July!I92+Aug!I92+Sep!I92+Oct!I92+Nov!I92+Dec!I92</f>
        <v>-34.650000000000006</v>
      </c>
      <c r="K92" s="174"/>
      <c r="L92" s="115"/>
      <c r="M92" s="116">
        <f>85+85</f>
        <v>170</v>
      </c>
      <c r="N92" s="116">
        <v>48.15</v>
      </c>
      <c r="O92" s="131" t="s">
        <v>1006</v>
      </c>
    </row>
    <row r="93" spans="1:15" s="131" customFormat="1" ht="13.5">
      <c r="B93" s="131" t="s">
        <v>116</v>
      </c>
      <c r="G93" s="131">
        <f t="shared" si="3"/>
        <v>12.67</v>
      </c>
      <c r="H93" s="131">
        <v>20</v>
      </c>
      <c r="I93" s="152">
        <f t="shared" si="4"/>
        <v>7.33</v>
      </c>
      <c r="J93" s="187">
        <f>Jan!I93+Feb!I93+Mar!I93+Apr!I93+May!I93+Jun!I93+July!I93+Aug!I93+Sep!I93+Oct!I93+Nov!I93+Dec!I93</f>
        <v>-2.5800000000000036</v>
      </c>
      <c r="K93" s="174"/>
      <c r="L93" s="115"/>
      <c r="M93" s="116">
        <f>6.32+6.35</f>
        <v>12.67</v>
      </c>
      <c r="N93" s="116"/>
    </row>
    <row r="94" spans="1:15" s="131" customFormat="1" ht="13.5">
      <c r="A94" s="149"/>
      <c r="B94" s="131" t="s">
        <v>117</v>
      </c>
      <c r="G94" s="131">
        <f t="shared" si="3"/>
        <v>75.98</v>
      </c>
      <c r="H94" s="131">
        <v>20</v>
      </c>
      <c r="I94" s="152">
        <f t="shared" si="4"/>
        <v>-55.980000000000004</v>
      </c>
      <c r="J94" s="187">
        <f>Jan!I94+Feb!I94+Mar!I94+Apr!I94+May!I94+Jun!I94+July!I94+Aug!I94+Sep!I94+Oct!I94+Nov!I94+Dec!I94</f>
        <v>-97.259999999999991</v>
      </c>
      <c r="K94" s="174"/>
      <c r="L94" s="115"/>
      <c r="M94" s="116">
        <f>75.98</f>
        <v>75.98</v>
      </c>
      <c r="N94" s="116"/>
      <c r="O94" s="131" t="s">
        <v>1007</v>
      </c>
    </row>
    <row r="95" spans="1:15" s="131" customFormat="1" ht="13.5">
      <c r="A95" s="149"/>
      <c r="B95" s="131" t="s">
        <v>118</v>
      </c>
      <c r="G95" s="131">
        <f t="shared" si="3"/>
        <v>36.83</v>
      </c>
      <c r="H95" s="131">
        <v>20</v>
      </c>
      <c r="I95" s="152">
        <f t="shared" si="4"/>
        <v>-16.829999999999998</v>
      </c>
      <c r="J95" s="187">
        <f>Jan!I95+Feb!I95+Mar!I95+Apr!I95+May!I95+Jun!I95+July!I95+Aug!I95+Sep!I95+Oct!I95+Nov!I95+Dec!I95</f>
        <v>-178.22000000000003</v>
      </c>
      <c r="K95" s="174"/>
      <c r="L95" s="115"/>
      <c r="M95" s="116">
        <f>2.06+9.2+8.15+4.23+13.19</f>
        <v>36.83</v>
      </c>
      <c r="N95" s="116"/>
    </row>
    <row r="96" spans="1:15" s="131" customFormat="1" ht="13.5">
      <c r="A96" s="149"/>
      <c r="B96" s="149"/>
      <c r="I96" s="152"/>
      <c r="J96" s="187"/>
      <c r="K96" s="174"/>
      <c r="L96" s="115"/>
      <c r="M96" s="116"/>
      <c r="N96" s="116"/>
    </row>
    <row r="97" spans="1:15" s="131" customFormat="1" ht="13.5">
      <c r="A97" s="149" t="s">
        <v>119</v>
      </c>
      <c r="B97" s="149">
        <f>SUM(G98:G101)</f>
        <v>160</v>
      </c>
      <c r="C97" s="149">
        <f>SUM(H98:H101)</f>
        <v>435</v>
      </c>
      <c r="D97" s="149">
        <f>C97-B97</f>
        <v>275</v>
      </c>
      <c r="I97" s="152"/>
      <c r="J97" s="187"/>
      <c r="K97" s="174"/>
      <c r="L97" s="115"/>
      <c r="M97" s="116"/>
      <c r="N97" s="116"/>
    </row>
    <row r="98" spans="1:15" s="131" customFormat="1" ht="13.5">
      <c r="B98" s="198" t="s">
        <v>120</v>
      </c>
      <c r="C98" s="198"/>
      <c r="D98" s="198" t="s">
        <v>121</v>
      </c>
      <c r="E98" s="198"/>
      <c r="F98" s="198"/>
      <c r="G98" s="131">
        <f t="shared" si="3"/>
        <v>0</v>
      </c>
      <c r="H98" s="131">
        <v>150</v>
      </c>
      <c r="I98" s="152">
        <f t="shared" si="4"/>
        <v>150</v>
      </c>
      <c r="J98" s="187">
        <f>Jan!I98+Feb!I98+Mar!I98+Apr!I98+May!I98+Jun!I98+July!I98+Aug!I98+Sep!I98+Oct!I98+Nov!I98+Dec!I98</f>
        <v>175.4500000000001</v>
      </c>
      <c r="K98" s="174"/>
      <c r="L98" s="115"/>
      <c r="M98" s="116"/>
      <c r="N98" s="116"/>
    </row>
    <row r="99" spans="1:15" s="131" customFormat="1" ht="13.5">
      <c r="B99" s="198" t="s">
        <v>122</v>
      </c>
      <c r="C99" s="198"/>
      <c r="D99" s="198" t="s">
        <v>123</v>
      </c>
      <c r="E99" s="198"/>
      <c r="F99" s="198"/>
      <c r="G99" s="131">
        <f t="shared" si="3"/>
        <v>0</v>
      </c>
      <c r="H99" s="131">
        <v>20</v>
      </c>
      <c r="I99" s="152">
        <f t="shared" si="4"/>
        <v>20</v>
      </c>
      <c r="J99" s="187">
        <f>Jan!I99+Feb!I99+Mar!I99+Apr!I99+May!I99+Jun!I99+July!I99+Aug!I99+Sep!I99+Oct!I99+Nov!I99+Dec!I99</f>
        <v>2.2199999999999989</v>
      </c>
      <c r="K99" s="174"/>
      <c r="L99" s="115"/>
      <c r="M99" s="116"/>
      <c r="N99" s="116"/>
    </row>
    <row r="100" spans="1:15" s="131" customFormat="1" ht="13.5">
      <c r="A100" s="149"/>
      <c r="B100" s="131" t="s">
        <v>124</v>
      </c>
      <c r="G100" s="131">
        <f t="shared" si="3"/>
        <v>160</v>
      </c>
      <c r="H100" s="131">
        <v>215</v>
      </c>
      <c r="I100" s="152">
        <f t="shared" si="4"/>
        <v>55</v>
      </c>
      <c r="J100" s="187">
        <f>Jan!I100+Feb!I100+Mar!I100+Apr!I100+May!I100+Jun!I100+July!I100+Aug!I100+Sep!I100+Oct!I100+Nov!I100+Dec!I100</f>
        <v>70.269999999999982</v>
      </c>
      <c r="K100" s="174"/>
      <c r="L100" s="115">
        <f>160</f>
        <v>160</v>
      </c>
      <c r="M100" s="116"/>
      <c r="N100" s="116"/>
    </row>
    <row r="101" spans="1:15" s="131" customFormat="1" ht="13.5">
      <c r="A101" s="149"/>
      <c r="B101" s="198" t="s">
        <v>125</v>
      </c>
      <c r="C101" s="198"/>
      <c r="D101" s="198"/>
      <c r="E101" s="198"/>
      <c r="F101" s="198"/>
      <c r="G101" s="131">
        <f t="shared" si="3"/>
        <v>0</v>
      </c>
      <c r="H101" s="131">
        <v>50</v>
      </c>
      <c r="I101" s="152">
        <f t="shared" si="4"/>
        <v>50</v>
      </c>
      <c r="J101" s="187">
        <f>Jan!I101+Feb!I101+Mar!I101+Apr!I101+May!I101+Jun!I101+July!I101+Aug!I101+Sep!I101+Oct!I101+Nov!I101+Dec!I101</f>
        <v>-25.980000000000018</v>
      </c>
      <c r="K101" s="174"/>
      <c r="L101" s="115"/>
      <c r="M101" s="116"/>
      <c r="N101" s="116"/>
    </row>
    <row r="102" spans="1:15" s="131" customFormat="1" ht="13.5">
      <c r="A102" s="149"/>
      <c r="I102" s="152"/>
      <c r="J102" s="187"/>
      <c r="K102" s="174"/>
      <c r="L102" s="115"/>
      <c r="M102" s="116"/>
      <c r="N102" s="116"/>
    </row>
    <row r="103" spans="1:15" s="131" customFormat="1" ht="13.5">
      <c r="A103" s="149" t="s">
        <v>103</v>
      </c>
      <c r="B103" s="149">
        <f>SUM(G104:G110)</f>
        <v>791.37</v>
      </c>
      <c r="C103" s="149">
        <f>SUM(H104:H110)</f>
        <v>637</v>
      </c>
      <c r="D103" s="149">
        <f>C103-B103</f>
        <v>-154.37</v>
      </c>
      <c r="I103" s="152"/>
      <c r="J103" s="187"/>
      <c r="K103" s="174"/>
      <c r="L103" s="115"/>
      <c r="M103" s="116"/>
      <c r="N103" s="116"/>
    </row>
    <row r="104" spans="1:15" s="131" customFormat="1" ht="13.5">
      <c r="B104" s="131" t="s">
        <v>456</v>
      </c>
      <c r="G104" s="131">
        <f t="shared" si="3"/>
        <v>199</v>
      </c>
      <c r="H104" s="131">
        <v>50</v>
      </c>
      <c r="I104" s="152">
        <f t="shared" si="4"/>
        <v>-149</v>
      </c>
      <c r="J104" s="187">
        <f>Jan!I104+Feb!I104+Mar!I104+Apr!I104+May!I104+Jun!I104+July!I104+Aug!I104+Sep!I104+Oct!I104+Nov!I104+Dec!I104</f>
        <v>-359</v>
      </c>
      <c r="K104" s="174"/>
      <c r="L104" s="115">
        <f>100+200-101</f>
        <v>199</v>
      </c>
      <c r="M104" s="116"/>
      <c r="N104" s="116"/>
      <c r="O104" s="131" t="s">
        <v>999</v>
      </c>
    </row>
    <row r="105" spans="1:15" s="131" customFormat="1" ht="13.5">
      <c r="B105" s="131" t="s">
        <v>105</v>
      </c>
      <c r="D105" s="131" t="s">
        <v>457</v>
      </c>
      <c r="E105" s="131" t="s">
        <v>495</v>
      </c>
      <c r="G105" s="131">
        <f t="shared" si="3"/>
        <v>458.28</v>
      </c>
      <c r="H105" s="131">
        <v>500</v>
      </c>
      <c r="I105" s="152">
        <f t="shared" si="4"/>
        <v>41.720000000000027</v>
      </c>
      <c r="J105" s="187">
        <f>Jan!I105+Feb!I105+Mar!I105+Apr!I105+May!I105+Jun!I105+July!I105+Aug!I105+Sep!I105+Oct!I105+Nov!I105+Dec!I105</f>
        <v>17.569999999999823</v>
      </c>
      <c r="K105" s="174"/>
      <c r="L105" s="115"/>
      <c r="M105" s="116">
        <f>63.65</f>
        <v>63.65</v>
      </c>
      <c r="N105" s="116">
        <f>11.5+34.68+42.09+6.52+(83.65-9.98-20.04-29.94-12.42)+101.26+77.24+110.07</f>
        <v>394.63</v>
      </c>
    </row>
    <row r="106" spans="1:15" s="131" customFormat="1" ht="13.5">
      <c r="B106" s="131" t="s">
        <v>392</v>
      </c>
      <c r="G106" s="131">
        <f t="shared" si="3"/>
        <v>0</v>
      </c>
      <c r="H106" s="131">
        <v>27</v>
      </c>
      <c r="I106" s="152">
        <f t="shared" si="4"/>
        <v>27</v>
      </c>
      <c r="J106" s="187">
        <f>Jan!I106+Feb!I106+Mar!I106+Apr!I106+May!I106+Jun!I106+July!I106+Aug!I106+Sep!I106+Oct!I106+Nov!I106+Dec!I106</f>
        <v>184.07</v>
      </c>
      <c r="K106" s="174"/>
      <c r="L106" s="115"/>
      <c r="M106" s="116"/>
      <c r="N106" s="116"/>
    </row>
    <row r="107" spans="1:15" s="131" customFormat="1" ht="13.5">
      <c r="B107" s="131" t="s">
        <v>106</v>
      </c>
      <c r="G107" s="131">
        <f t="shared" si="3"/>
        <v>43.019999999999996</v>
      </c>
      <c r="H107" s="131">
        <v>15</v>
      </c>
      <c r="I107" s="152">
        <f t="shared" si="4"/>
        <v>-28.019999999999996</v>
      </c>
      <c r="J107" s="187">
        <f>Jan!I107+Feb!I107+Mar!I107+Apr!I107+May!I107+Jun!I107+July!I107+Aug!I107+Sep!I107+Oct!I107+Nov!I107+Dec!I107</f>
        <v>57.790000000000006</v>
      </c>
      <c r="K107" s="174"/>
      <c r="L107" s="115"/>
      <c r="M107" s="116">
        <f>29.07+13.95</f>
        <v>43.019999999999996</v>
      </c>
      <c r="N107" s="116"/>
      <c r="O107" s="131" t="s">
        <v>953</v>
      </c>
    </row>
    <row r="108" spans="1:15" s="131" customFormat="1" ht="13.5">
      <c r="B108" s="131" t="s">
        <v>107</v>
      </c>
      <c r="G108" s="131">
        <f t="shared" si="3"/>
        <v>0</v>
      </c>
      <c r="H108" s="131">
        <v>20</v>
      </c>
      <c r="I108" s="152">
        <f t="shared" si="4"/>
        <v>20</v>
      </c>
      <c r="J108" s="187">
        <f>Jan!I108+Feb!I108+Mar!I108+Apr!I108+May!I108+Jun!I108+July!I108+Aug!I108+Sep!I108+Oct!I108+Nov!I108+Dec!I108</f>
        <v>-264</v>
      </c>
      <c r="K108" s="174"/>
      <c r="L108" s="115"/>
      <c r="M108" s="116"/>
      <c r="N108" s="116"/>
    </row>
    <row r="109" spans="1:15" s="131" customFormat="1" ht="13.5">
      <c r="B109" s="131" t="s">
        <v>108</v>
      </c>
      <c r="G109" s="131">
        <f t="shared" si="3"/>
        <v>81.09</v>
      </c>
      <c r="H109" s="131">
        <v>20</v>
      </c>
      <c r="I109" s="152">
        <f t="shared" si="4"/>
        <v>-61.09</v>
      </c>
      <c r="J109" s="187">
        <f>Jan!I109+Feb!I109+Mar!I109+Apr!I109+May!I109+Jun!I109+July!I109+Aug!I109+Sep!I109+Oct!I109+Nov!I109+Dec!I109</f>
        <v>-762.44000000000017</v>
      </c>
      <c r="K109" s="174"/>
      <c r="L109" s="115"/>
      <c r="M109" s="116">
        <f>22.9+78.72-14.96-17.99</f>
        <v>68.67</v>
      </c>
      <c r="N109" s="116">
        <f>12.42</f>
        <v>12.42</v>
      </c>
    </row>
    <row r="110" spans="1:15" s="131" customFormat="1" ht="13.5">
      <c r="B110" s="131" t="s">
        <v>109</v>
      </c>
      <c r="G110" s="131">
        <f t="shared" si="3"/>
        <v>9.98</v>
      </c>
      <c r="H110" s="131">
        <v>5</v>
      </c>
      <c r="I110" s="152">
        <f t="shared" si="4"/>
        <v>-4.9800000000000004</v>
      </c>
      <c r="J110" s="187">
        <f>Jan!I110+Feb!I110+Mar!I110+Apr!I110+May!I110+Jun!I110+July!I110+Aug!I110+Sep!I110+Oct!I110+Nov!I110+Dec!I110</f>
        <v>-42.610000000000014</v>
      </c>
      <c r="K110" s="174"/>
      <c r="L110" s="115"/>
      <c r="M110" s="116"/>
      <c r="N110" s="116">
        <f>9.98</f>
        <v>9.98</v>
      </c>
    </row>
    <row r="111" spans="1:15" s="131" customFormat="1" ht="13.5">
      <c r="I111" s="152"/>
      <c r="J111" s="187"/>
      <c r="K111" s="174"/>
      <c r="L111" s="115"/>
      <c r="M111" s="116"/>
      <c r="N111" s="116"/>
    </row>
    <row r="112" spans="1:15" s="131" customFormat="1" ht="13.5">
      <c r="A112" s="149" t="s">
        <v>407</v>
      </c>
      <c r="B112" s="149">
        <f>G113+G114</f>
        <v>0</v>
      </c>
      <c r="C112" s="149">
        <f>H113</f>
        <v>20</v>
      </c>
      <c r="D112" s="149">
        <f>C112-B112</f>
        <v>20</v>
      </c>
      <c r="I112" s="152"/>
      <c r="J112" s="187"/>
      <c r="K112" s="174"/>
      <c r="L112" s="115"/>
      <c r="M112" s="116"/>
      <c r="N112" s="116"/>
    </row>
    <row r="113" spans="1:15" s="131" customFormat="1" ht="13.5">
      <c r="B113" s="131" t="s">
        <v>408</v>
      </c>
      <c r="G113" s="131">
        <f t="shared" si="3"/>
        <v>0</v>
      </c>
      <c r="H113" s="131">
        <v>20</v>
      </c>
      <c r="I113" s="152">
        <f t="shared" si="4"/>
        <v>20</v>
      </c>
      <c r="J113" s="187">
        <f>Jan!I113+Feb!I113+Mar!I113+Apr!I113+May!I113+Jun!I113+July!I113+Aug!I113+Sep!I113+Oct!I113+Nov!I113+Dec!I113</f>
        <v>64.03</v>
      </c>
      <c r="K113" s="174"/>
      <c r="L113" s="115"/>
      <c r="M113" s="116"/>
      <c r="N113" s="116"/>
    </row>
    <row r="114" spans="1:15" s="131" customFormat="1" ht="13.5">
      <c r="I114" s="152"/>
      <c r="J114" s="187"/>
      <c r="K114" s="174"/>
      <c r="L114" s="115"/>
      <c r="M114" s="116"/>
      <c r="N114" s="116"/>
    </row>
    <row r="115" spans="1:15" s="131" customFormat="1" ht="13.5">
      <c r="I115" s="152"/>
      <c r="J115" s="187"/>
      <c r="K115" s="174"/>
      <c r="L115" s="115"/>
      <c r="M115" s="116"/>
      <c r="N115" s="116"/>
    </row>
    <row r="116" spans="1:15" s="131" customFormat="1" ht="13.5">
      <c r="A116" s="149" t="s">
        <v>130</v>
      </c>
      <c r="B116" s="149">
        <f>G117</f>
        <v>20.04</v>
      </c>
      <c r="C116" s="149">
        <f>H117</f>
        <v>10</v>
      </c>
      <c r="D116" s="149">
        <f>I117</f>
        <v>-10.039999999999999</v>
      </c>
      <c r="I116" s="152"/>
      <c r="J116" s="187"/>
      <c r="K116" s="174"/>
      <c r="L116" s="115"/>
      <c r="M116" s="116"/>
      <c r="N116" s="116"/>
    </row>
    <row r="117" spans="1:15" s="131" customFormat="1" ht="13.5">
      <c r="B117" s="131" t="s">
        <v>455</v>
      </c>
      <c r="G117" s="131">
        <f t="shared" si="3"/>
        <v>20.04</v>
      </c>
      <c r="H117" s="131">
        <v>10</v>
      </c>
      <c r="I117" s="152">
        <f t="shared" si="4"/>
        <v>-10.039999999999999</v>
      </c>
      <c r="J117" s="187">
        <f>Jan!I117+Feb!I117+Mar!I117+Apr!I117+May!I117+Jun!I117+July!I117+Aug!I117+Sep!I117+Oct!I117+Nov!I117+Dec!I117</f>
        <v>-1362.06</v>
      </c>
      <c r="K117" s="174"/>
      <c r="L117" s="115"/>
      <c r="M117" s="116"/>
      <c r="N117" s="116">
        <f>20.04</f>
        <v>20.04</v>
      </c>
    </row>
    <row r="118" spans="1:15" s="131" customFormat="1" ht="13.5">
      <c r="I118" s="152"/>
      <c r="J118" s="187"/>
      <c r="K118" s="174"/>
      <c r="L118" s="115"/>
      <c r="M118" s="116"/>
      <c r="N118" s="116"/>
    </row>
    <row r="119" spans="1:15" s="131" customFormat="1" ht="13.5">
      <c r="A119" s="149" t="s">
        <v>406</v>
      </c>
      <c r="B119" s="149">
        <f>SUM(G120:G121)</f>
        <v>107.21000000000001</v>
      </c>
      <c r="C119" s="149">
        <f>SUM(H120:H121)</f>
        <v>65</v>
      </c>
      <c r="D119" s="149">
        <f>C119-B119</f>
        <v>-42.210000000000008</v>
      </c>
      <c r="I119" s="152"/>
      <c r="J119" s="187"/>
      <c r="K119" s="174"/>
      <c r="L119" s="115"/>
      <c r="M119" s="116"/>
      <c r="N119" s="116"/>
    </row>
    <row r="120" spans="1:15" s="131" customFormat="1" ht="13.5">
      <c r="B120" s="131" t="s">
        <v>400</v>
      </c>
      <c r="G120" s="131">
        <f t="shared" si="3"/>
        <v>107.21000000000001</v>
      </c>
      <c r="H120" s="131">
        <v>60</v>
      </c>
      <c r="I120" s="152">
        <f t="shared" si="4"/>
        <v>-47.210000000000008</v>
      </c>
      <c r="J120" s="187">
        <f>Jan!I120+Feb!I120+Mar!I120+Apr!I120+May!I120+Jun!I120+July!I120+Aug!I120+Sep!I120+Oct!I120+Nov!I120+Dec!I120</f>
        <v>-1301.81</v>
      </c>
      <c r="K120" s="174"/>
      <c r="L120" s="115"/>
      <c r="M120" s="115">
        <f>33+8.37+40.68+4.57+20.59</f>
        <v>107.21000000000001</v>
      </c>
      <c r="N120" s="115"/>
    </row>
    <row r="121" spans="1:15" s="131" customFormat="1" ht="13.5">
      <c r="B121" s="131" t="s">
        <v>403</v>
      </c>
      <c r="G121" s="131">
        <f t="shared" si="3"/>
        <v>0</v>
      </c>
      <c r="H121" s="131">
        <v>5</v>
      </c>
      <c r="I121" s="152">
        <f t="shared" si="4"/>
        <v>5</v>
      </c>
      <c r="J121" s="187">
        <f>Jan!I121+Feb!I121+Mar!I121+Apr!I121+May!I121+Jun!I121+July!I121+Aug!I121+Sep!I121+Oct!I121+Nov!I121+Dec!I121</f>
        <v>-163.28</v>
      </c>
      <c r="K121" s="174"/>
      <c r="L121" s="115"/>
      <c r="M121" s="115"/>
      <c r="N121" s="115"/>
    </row>
    <row r="122" spans="1:15" s="131" customFormat="1" ht="13.5">
      <c r="I122" s="152"/>
      <c r="J122" s="187"/>
      <c r="K122" s="174"/>
      <c r="L122" s="115"/>
      <c r="M122" s="115"/>
      <c r="N122" s="115"/>
    </row>
    <row r="123" spans="1:15" s="131" customFormat="1" ht="13.5">
      <c r="A123" s="149" t="s">
        <v>132</v>
      </c>
      <c r="B123" s="149">
        <f>G124</f>
        <v>0</v>
      </c>
      <c r="C123" s="149">
        <f>H124</f>
        <v>10</v>
      </c>
      <c r="D123" s="149">
        <f>C123-B123</f>
        <v>10</v>
      </c>
      <c r="I123" s="152"/>
      <c r="J123" s="187"/>
      <c r="K123" s="174"/>
      <c r="L123" s="115"/>
      <c r="M123" s="115"/>
      <c r="N123" s="115"/>
    </row>
    <row r="124" spans="1:15" s="131" customFormat="1" ht="13.5">
      <c r="B124" s="131" t="s">
        <v>133</v>
      </c>
      <c r="G124" s="131">
        <f>SUM(L124:N124)</f>
        <v>0</v>
      </c>
      <c r="H124" s="131">
        <v>10</v>
      </c>
      <c r="I124" s="152">
        <f>H124-G124</f>
        <v>10</v>
      </c>
      <c r="J124" s="187">
        <f>Jan!I124+Feb!I124+Mar!I124+Apr!I124+May!I124+Jun!I124+July!I124+Aug!I124+Sep!I124+Oct!I124+Nov!I124+Dec!I124</f>
        <v>33.19</v>
      </c>
      <c r="K124" s="174"/>
      <c r="L124" s="115"/>
      <c r="M124" s="115"/>
      <c r="N124" s="115"/>
    </row>
    <row r="125" spans="1:15" s="131" customFormat="1" ht="13.5">
      <c r="I125" s="152"/>
      <c r="J125" s="187"/>
      <c r="K125" s="174"/>
      <c r="L125" s="115"/>
      <c r="M125" s="115"/>
      <c r="N125" s="115"/>
    </row>
    <row r="126" spans="1:15" s="131" customFormat="1" ht="13.5">
      <c r="A126" s="149" t="s">
        <v>404</v>
      </c>
      <c r="B126" s="149">
        <f>SUM(G127:G128)</f>
        <v>682.18000000000006</v>
      </c>
      <c r="C126" s="149">
        <f>SUM(H127:H128)</f>
        <v>35</v>
      </c>
      <c r="D126" s="149">
        <f>C126-B126</f>
        <v>-647.18000000000006</v>
      </c>
      <c r="I126" s="152"/>
      <c r="J126" s="187"/>
      <c r="K126" s="174"/>
      <c r="L126" s="115"/>
      <c r="M126" s="115"/>
      <c r="N126" s="115"/>
    </row>
    <row r="127" spans="1:15" s="131" customFormat="1" ht="13.5">
      <c r="B127" s="198" t="s">
        <v>128</v>
      </c>
      <c r="C127" s="198"/>
      <c r="D127" s="198"/>
      <c r="E127" s="198"/>
      <c r="F127" s="198"/>
      <c r="G127" s="131">
        <f>SUM(L127:N127)</f>
        <v>327.24</v>
      </c>
      <c r="H127" s="131">
        <v>20</v>
      </c>
      <c r="I127" s="152">
        <f>H127-G127</f>
        <v>-307.24</v>
      </c>
      <c r="J127" s="187">
        <f>Jan!I127+Feb!I127+Mar!I127+Apr!I127+May!I127+Jun!I127+July!I127+Aug!I127+Sep!I127+Oct!I127+Nov!I127+Dec!I127</f>
        <v>-1471.4600000000003</v>
      </c>
      <c r="K127" s="174"/>
      <c r="L127" s="115"/>
      <c r="M127" s="115">
        <f>17.99+99.99+(4.87+4+16.35+11.74+22.05)</f>
        <v>176.99</v>
      </c>
      <c r="N127" s="115">
        <v>150.25</v>
      </c>
      <c r="O127" s="131" t="s">
        <v>1008</v>
      </c>
    </row>
    <row r="128" spans="1:15" s="131" customFormat="1" ht="13.5">
      <c r="B128" s="198" t="s">
        <v>129</v>
      </c>
      <c r="C128" s="198"/>
      <c r="D128" s="198" t="s">
        <v>405</v>
      </c>
      <c r="E128" s="198"/>
      <c r="F128" s="198"/>
      <c r="G128" s="131">
        <f>SUM(L128:N128)</f>
        <v>354.94</v>
      </c>
      <c r="H128" s="131">
        <v>15</v>
      </c>
      <c r="I128" s="152">
        <f>H128-G128</f>
        <v>-339.94</v>
      </c>
      <c r="J128" s="187">
        <f>Jan!I128+Feb!I128+Mar!I128+Apr!I128+May!I128+Jun!I128+July!I128+Aug!I128+Sep!I128+Oct!I128+Nov!I128+Dec!I128</f>
        <v>-502.18</v>
      </c>
      <c r="K128" s="174"/>
      <c r="L128" s="115"/>
      <c r="M128" s="115">
        <f>90+175+60</f>
        <v>325</v>
      </c>
      <c r="N128" s="115">
        <v>29.94</v>
      </c>
      <c r="O128" s="131" t="s">
        <v>1001</v>
      </c>
    </row>
    <row r="129" spans="1:15" s="131" customFormat="1" ht="13.5">
      <c r="I129" s="152"/>
      <c r="J129" s="187"/>
      <c r="K129" s="174"/>
      <c r="L129" s="115"/>
      <c r="M129" s="115"/>
      <c r="N129" s="115"/>
    </row>
    <row r="130" spans="1:15" s="131" customFormat="1" ht="14.25" thickBot="1">
      <c r="I130" s="152"/>
      <c r="J130" s="187"/>
      <c r="K130" s="174"/>
      <c r="L130" s="115"/>
      <c r="M130" s="115"/>
      <c r="N130" s="115"/>
    </row>
    <row r="131" spans="1:15" s="131" customFormat="1" ht="14.25" thickBot="1">
      <c r="A131" s="149" t="s">
        <v>436</v>
      </c>
      <c r="B131" s="131">
        <f>SUM(G133:G140)</f>
        <v>35.980000000000004</v>
      </c>
      <c r="C131" s="131">
        <f>SUM(H133:H140)</f>
        <v>450</v>
      </c>
      <c r="D131" s="131">
        <f>C131-B131</f>
        <v>414.02</v>
      </c>
      <c r="E131" s="185"/>
      <c r="I131" s="152"/>
      <c r="J131" s="187">
        <f>Jan!I131+Feb!I131+Mar!I131+Apr!I131+May!I131+Jun!I131+July!I131+Aug!I131+Sep!I131+Oct!I131+Nov!I131+Dec!I131</f>
        <v>0</v>
      </c>
      <c r="K131" s="174"/>
      <c r="L131" s="115"/>
      <c r="M131" s="115"/>
      <c r="N131" s="115"/>
    </row>
    <row r="132" spans="1:15" s="131" customFormat="1" ht="13.5">
      <c r="A132" s="149" t="s">
        <v>437</v>
      </c>
      <c r="I132" s="152"/>
      <c r="J132" s="187"/>
      <c r="K132" s="174"/>
      <c r="L132" s="115"/>
      <c r="M132" s="115"/>
      <c r="N132" s="115"/>
    </row>
    <row r="133" spans="1:15" s="131" customFormat="1" ht="13.5">
      <c r="A133" s="149" t="s">
        <v>418</v>
      </c>
      <c r="B133" s="131" t="s">
        <v>445</v>
      </c>
      <c r="G133" s="131">
        <f t="shared" ref="G133:G140" si="5">SUM(L133:N133)</f>
        <v>0</v>
      </c>
      <c r="H133" s="131">
        <v>100</v>
      </c>
      <c r="I133" s="152">
        <f t="shared" ref="I133:I140" si="6">H133-G133</f>
        <v>100</v>
      </c>
      <c r="J133" s="187">
        <f>Jan!I133+Feb!I133+Mar!I133+Apr!I133+May!I133+Jun!I133+July!I133+Aug!I133+Sep!I133+Oct!I133+Nov!I133+Dec!I133</f>
        <v>1054.0900000000001</v>
      </c>
      <c r="K133" s="174"/>
      <c r="L133" s="115"/>
      <c r="M133" s="115"/>
      <c r="N133" s="115"/>
    </row>
    <row r="134" spans="1:15" s="131" customFormat="1" ht="13.5">
      <c r="A134" s="149" t="s">
        <v>516</v>
      </c>
      <c r="I134" s="152"/>
      <c r="J134" s="187"/>
      <c r="K134" s="174"/>
      <c r="L134" s="115"/>
      <c r="M134" s="115"/>
      <c r="N134" s="115"/>
    </row>
    <row r="135" spans="1:15" s="131" customFormat="1" ht="13.5">
      <c r="B135" s="131" t="s">
        <v>401</v>
      </c>
      <c r="G135" s="131">
        <f t="shared" si="5"/>
        <v>15.98</v>
      </c>
      <c r="H135" s="131">
        <v>100</v>
      </c>
      <c r="I135" s="152">
        <f t="shared" si="6"/>
        <v>84.02</v>
      </c>
      <c r="J135" s="187">
        <f>Jan!I135+Feb!I135+Mar!I135+Apr!I135+May!I135+Jun!I135+July!I135+Aug!I135+Sep!I135+Oct!I135+Nov!I135+Dec!I135</f>
        <v>495.18999999999994</v>
      </c>
      <c r="K135" s="174"/>
      <c r="L135" s="115"/>
      <c r="M135" s="115">
        <f>2.17+13.81</f>
        <v>15.98</v>
      </c>
      <c r="N135" s="115"/>
    </row>
    <row r="136" spans="1:15" s="131" customFormat="1" ht="13.5">
      <c r="B136" s="131" t="s">
        <v>402</v>
      </c>
      <c r="G136" s="131">
        <f t="shared" si="5"/>
        <v>0</v>
      </c>
      <c r="H136" s="131">
        <v>100</v>
      </c>
      <c r="I136" s="152">
        <f t="shared" si="6"/>
        <v>100</v>
      </c>
      <c r="J136" s="187">
        <f>Jan!I136+Feb!I136+Mar!I136+Apr!I136+May!I136+Jun!I136+July!I136+Aug!I136+Sep!I136+Oct!I136+Nov!I136+Dec!I136</f>
        <v>951.18</v>
      </c>
      <c r="K136" s="174"/>
      <c r="L136" s="115"/>
      <c r="M136" s="115"/>
      <c r="N136" s="115"/>
    </row>
    <row r="137" spans="1:15" s="131" customFormat="1" ht="13.5">
      <c r="B137" s="131" t="s">
        <v>126</v>
      </c>
      <c r="G137" s="131">
        <f t="shared" si="5"/>
        <v>20</v>
      </c>
      <c r="H137" s="131">
        <v>30</v>
      </c>
      <c r="I137" s="152">
        <f t="shared" si="6"/>
        <v>10</v>
      </c>
      <c r="J137" s="187">
        <f>Jan!I137+Feb!I137+Mar!I137+Apr!I137+May!I137+Jun!I137+July!I137+Aug!I137+Sep!I137+Oct!I137+Nov!I137+Dec!I137</f>
        <v>80.089999999999975</v>
      </c>
      <c r="K137" s="174"/>
      <c r="L137" s="115"/>
      <c r="M137" s="115">
        <f>20</f>
        <v>20</v>
      </c>
      <c r="N137" s="115"/>
      <c r="O137" s="131" t="s">
        <v>1002</v>
      </c>
    </row>
    <row r="138" spans="1:15" s="131" customFormat="1" ht="13.5">
      <c r="B138" s="131" t="s">
        <v>127</v>
      </c>
      <c r="G138" s="131">
        <f t="shared" si="5"/>
        <v>0</v>
      </c>
      <c r="H138" s="131">
        <v>50</v>
      </c>
      <c r="I138" s="152">
        <f t="shared" si="6"/>
        <v>50</v>
      </c>
      <c r="J138" s="187">
        <f>Jan!I138+Feb!I138+Mar!I138+Apr!I138+May!I138+Jun!I138+July!I138+Aug!I138+Sep!I138+Oct!I138+Nov!I138+Dec!I138</f>
        <v>6.5</v>
      </c>
      <c r="K138" s="174"/>
      <c r="L138" s="115"/>
      <c r="M138" s="115"/>
      <c r="N138" s="115"/>
    </row>
    <row r="139" spans="1:15" s="131" customFormat="1" ht="13.5">
      <c r="I139" s="152"/>
      <c r="J139" s="187"/>
      <c r="K139" s="179"/>
      <c r="L139" s="115"/>
      <c r="M139" s="115"/>
      <c r="N139" s="115"/>
    </row>
    <row r="140" spans="1:15" s="131" customFormat="1" ht="13.5">
      <c r="A140" s="149" t="s">
        <v>431</v>
      </c>
      <c r="G140" s="131">
        <f t="shared" si="5"/>
        <v>0</v>
      </c>
      <c r="H140" s="131">
        <v>70</v>
      </c>
      <c r="I140" s="152">
        <f t="shared" si="6"/>
        <v>70</v>
      </c>
      <c r="J140" s="187">
        <f>Jan!I140+Feb!I140+Mar!I140+Apr!I140+May!I140+Jun!I140+July!I140+Aug!I140+Sep!I140+Oct!I140+Nov!I140+Dec!I140</f>
        <v>-590</v>
      </c>
      <c r="K140" s="179"/>
      <c r="L140" s="115"/>
      <c r="M140" s="115"/>
      <c r="N140" s="115"/>
    </row>
    <row r="141" spans="1:15">
      <c r="J141" s="190"/>
    </row>
    <row r="142" spans="1:15">
      <c r="J142" s="190"/>
    </row>
    <row r="143" spans="1:15">
      <c r="J143" s="190"/>
    </row>
    <row r="144" spans="1:15">
      <c r="J144" s="190"/>
    </row>
    <row r="145" spans="10:10">
      <c r="J145" s="190"/>
    </row>
    <row r="146" spans="10:10">
      <c r="J146" s="190"/>
    </row>
    <row r="147" spans="10:10">
      <c r="J147" s="190"/>
    </row>
    <row r="148" spans="10:10">
      <c r="J148" s="190"/>
    </row>
    <row r="149" spans="10:10">
      <c r="J149" s="190"/>
    </row>
    <row r="150" spans="10:10">
      <c r="J150" s="190"/>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7"/>
  <sheetViews>
    <sheetView topLeftCell="A4" zoomScale="84" zoomScaleNormal="84" workbookViewId="0">
      <pane ySplit="675" topLeftCell="A39" activePane="bottomLeft"/>
      <selection activeCell="F5" sqref="F1:F1048576"/>
      <selection pane="bottomLeft" activeCell="P40" sqref="P40"/>
    </sheetView>
  </sheetViews>
  <sheetFormatPr defaultColWidth="11.5703125" defaultRowHeight="15.75"/>
  <cols>
    <col min="1" max="1" width="32.140625" style="218" customWidth="1"/>
    <col min="2" max="2" width="14.85546875" style="113" customWidth="1"/>
    <col min="3" max="3" width="12.42578125" style="113" customWidth="1"/>
    <col min="4" max="5" width="12.28515625" style="113" customWidth="1"/>
    <col min="6" max="6" width="2.5703125" style="113" customWidth="1"/>
    <col min="7" max="8" width="12.28515625" style="113" customWidth="1"/>
    <col min="9" max="9" width="12.42578125" style="113" customWidth="1"/>
    <col min="10" max="11" width="12.28515625" style="113" customWidth="1"/>
    <col min="12" max="12" width="12.42578125" style="113" customWidth="1"/>
    <col min="13" max="13" width="12.28515625" style="113" customWidth="1"/>
    <col min="14" max="14" width="12.42578125" style="113" customWidth="1"/>
    <col min="15" max="15" width="12.28515625" style="113" customWidth="1"/>
    <col min="16" max="16" width="12.42578125" style="113" customWidth="1"/>
    <col min="17" max="16384" width="11.5703125" style="113"/>
  </cols>
  <sheetData>
    <row r="1" spans="1:16">
      <c r="A1" s="114" t="s">
        <v>438</v>
      </c>
      <c r="B1" s="114" t="s">
        <v>336</v>
      </c>
    </row>
    <row r="3" spans="1:16">
      <c r="A3" s="218" t="s">
        <v>337</v>
      </c>
    </row>
    <row r="4" spans="1:16">
      <c r="A4" s="218" t="s">
        <v>338</v>
      </c>
      <c r="B4" s="113" t="s">
        <v>339</v>
      </c>
    </row>
    <row r="5" spans="1:16">
      <c r="B5" s="113" t="s">
        <v>340</v>
      </c>
      <c r="C5" s="113" t="s">
        <v>210</v>
      </c>
      <c r="D5" s="113" t="s">
        <v>217</v>
      </c>
      <c r="E5" s="113" t="s">
        <v>224</v>
      </c>
      <c r="G5" s="113" t="s">
        <v>226</v>
      </c>
      <c r="H5" s="113" t="s">
        <v>11</v>
      </c>
      <c r="I5" s="113" t="s">
        <v>228</v>
      </c>
      <c r="J5" s="113" t="s">
        <v>229</v>
      </c>
      <c r="K5" s="113" t="s">
        <v>231</v>
      </c>
      <c r="L5" s="113" t="s">
        <v>233</v>
      </c>
      <c r="M5" s="113" t="s">
        <v>235</v>
      </c>
      <c r="N5" s="113" t="s">
        <v>237</v>
      </c>
      <c r="O5" s="113" t="s">
        <v>238</v>
      </c>
      <c r="P5" s="113" t="s">
        <v>144</v>
      </c>
    </row>
    <row r="6" spans="1:16">
      <c r="A6" s="219" t="s">
        <v>450</v>
      </c>
    </row>
    <row r="7" spans="1:16">
      <c r="A7" s="220" t="s">
        <v>328</v>
      </c>
      <c r="B7" s="113">
        <v>150</v>
      </c>
      <c r="C7" s="117">
        <f>Jan!$G$15</f>
        <v>750</v>
      </c>
      <c r="D7" s="117">
        <f>Feb!$G$15</f>
        <v>750</v>
      </c>
      <c r="E7" s="117">
        <f>Mar!$G$15</f>
        <v>750</v>
      </c>
      <c r="F7" s="117"/>
      <c r="G7" s="117">
        <f>Apr!$G$15</f>
        <v>750</v>
      </c>
      <c r="H7" s="117">
        <f>May!$G$15</f>
        <v>750</v>
      </c>
      <c r="I7" s="117">
        <f>Jun!$G$15</f>
        <v>750</v>
      </c>
      <c r="J7" s="117">
        <f>July!$G$15</f>
        <v>750</v>
      </c>
      <c r="K7" s="117">
        <f>Aug!$G$15</f>
        <v>750</v>
      </c>
      <c r="L7" s="117">
        <f>Sep!$G$15</f>
        <v>750</v>
      </c>
      <c r="M7" s="117">
        <f>Oct!$G$15</f>
        <v>750</v>
      </c>
      <c r="N7" s="117">
        <f>Nov!$G$15</f>
        <v>750</v>
      </c>
      <c r="O7" s="117">
        <f>Dec!$G$15</f>
        <v>750</v>
      </c>
      <c r="P7" s="113">
        <f>SUM(B7:O7)</f>
        <v>9150</v>
      </c>
    </row>
    <row r="8" spans="1:16">
      <c r="A8" s="220" t="s">
        <v>341</v>
      </c>
      <c r="C8" s="117"/>
      <c r="D8" s="117"/>
      <c r="E8" s="117"/>
      <c r="F8" s="117"/>
      <c r="G8" s="117"/>
      <c r="H8" s="117"/>
      <c r="I8" s="117">
        <v>4427</v>
      </c>
      <c r="J8" s="117"/>
      <c r="K8" s="117"/>
      <c r="L8" s="117"/>
      <c r="M8" s="117"/>
      <c r="N8" s="117"/>
      <c r="O8" s="117">
        <v>4690</v>
      </c>
      <c r="P8" s="117">
        <f>SUM(B8:O8)</f>
        <v>9117</v>
      </c>
    </row>
    <row r="9" spans="1:16">
      <c r="A9" s="220" t="s">
        <v>342</v>
      </c>
      <c r="B9" s="118">
        <f t="shared" ref="B9:P9" si="0">B7-B8</f>
        <v>150</v>
      </c>
      <c r="C9" s="119">
        <f t="shared" si="0"/>
        <v>750</v>
      </c>
      <c r="D9" s="119">
        <f t="shared" si="0"/>
        <v>750</v>
      </c>
      <c r="E9" s="119">
        <f t="shared" si="0"/>
        <v>750</v>
      </c>
      <c r="F9" s="119"/>
      <c r="G9" s="119">
        <f t="shared" si="0"/>
        <v>750</v>
      </c>
      <c r="H9" s="119">
        <f t="shared" si="0"/>
        <v>750</v>
      </c>
      <c r="I9" s="119">
        <f t="shared" si="0"/>
        <v>-3677</v>
      </c>
      <c r="J9" s="119">
        <f t="shared" si="0"/>
        <v>750</v>
      </c>
      <c r="K9" s="119">
        <f t="shared" si="0"/>
        <v>750</v>
      </c>
      <c r="L9" s="119">
        <f t="shared" si="0"/>
        <v>750</v>
      </c>
      <c r="M9" s="119">
        <f t="shared" si="0"/>
        <v>750</v>
      </c>
      <c r="N9" s="119">
        <f t="shared" si="0"/>
        <v>750</v>
      </c>
      <c r="O9" s="119">
        <f t="shared" si="0"/>
        <v>-3940</v>
      </c>
      <c r="P9" s="119">
        <f t="shared" si="0"/>
        <v>33</v>
      </c>
    </row>
    <row r="10" spans="1:16">
      <c r="A10" s="220"/>
      <c r="C10" s="117"/>
      <c r="D10" s="117"/>
      <c r="E10" s="117"/>
      <c r="F10" s="117"/>
      <c r="G10" s="117"/>
      <c r="H10" s="117"/>
      <c r="I10" s="117"/>
      <c r="J10" s="117"/>
      <c r="K10" s="117"/>
      <c r="L10" s="117"/>
      <c r="M10" s="117"/>
      <c r="N10" s="117"/>
      <c r="O10" s="117"/>
    </row>
    <row r="11" spans="1:16">
      <c r="A11" s="221" t="s">
        <v>330</v>
      </c>
      <c r="C11" s="117"/>
      <c r="D11" s="117"/>
      <c r="E11" s="117"/>
      <c r="F11" s="117"/>
      <c r="G11" s="117"/>
      <c r="H11" s="117"/>
      <c r="I11" s="117"/>
      <c r="J11" s="117"/>
      <c r="K11" s="117"/>
      <c r="L11" s="117"/>
      <c r="M11" s="117"/>
      <c r="N11" s="117"/>
      <c r="O11" s="117"/>
    </row>
    <row r="12" spans="1:16">
      <c r="A12" s="220" t="s">
        <v>52</v>
      </c>
      <c r="B12" s="113">
        <v>2400</v>
      </c>
      <c r="C12" s="117">
        <f>Jan!$G$16</f>
        <v>200</v>
      </c>
      <c r="D12" s="117">
        <f>Feb!$G$16</f>
        <v>200</v>
      </c>
      <c r="E12" s="117">
        <f>Mar!$G$16</f>
        <v>200</v>
      </c>
      <c r="F12" s="117"/>
      <c r="G12" s="117">
        <f>Apr!$G$16</f>
        <v>200</v>
      </c>
      <c r="H12" s="117">
        <f>May!$G$16</f>
        <v>200</v>
      </c>
      <c r="I12" s="117">
        <f>Jun!$G$16</f>
        <v>200</v>
      </c>
      <c r="J12" s="117">
        <f>July!$G$16</f>
        <v>200</v>
      </c>
      <c r="K12" s="117">
        <f>Aug!$G$16</f>
        <v>200</v>
      </c>
      <c r="L12" s="117">
        <f>Sep!$G$16</f>
        <v>200</v>
      </c>
      <c r="M12" s="117">
        <f>Oct!$G$16</f>
        <v>200</v>
      </c>
      <c r="N12" s="117">
        <f>Nov!$G$16</f>
        <v>200</v>
      </c>
      <c r="O12" s="117">
        <f>Dec!$G$16</f>
        <v>200</v>
      </c>
      <c r="P12" s="117">
        <f>SUM(B12:O12)</f>
        <v>4800</v>
      </c>
    </row>
    <row r="13" spans="1:16">
      <c r="A13" s="220" t="s">
        <v>483</v>
      </c>
      <c r="B13" s="113">
        <v>-4000</v>
      </c>
      <c r="C13" s="117"/>
      <c r="D13" s="117"/>
      <c r="E13" s="117"/>
      <c r="F13" s="117"/>
      <c r="G13" s="117"/>
      <c r="H13" s="117"/>
      <c r="I13" s="117"/>
      <c r="J13" s="117"/>
      <c r="K13" s="117"/>
      <c r="L13" s="117"/>
      <c r="M13" s="117"/>
      <c r="N13" s="117"/>
      <c r="O13" s="117"/>
      <c r="P13" s="117">
        <f>SUM(B13:O13)</f>
        <v>-4000</v>
      </c>
    </row>
    <row r="14" spans="1:16">
      <c r="A14" s="220" t="s">
        <v>466</v>
      </c>
      <c r="B14" s="113">
        <v>0</v>
      </c>
      <c r="C14" s="117">
        <f>Jan!$G$17</f>
        <v>300</v>
      </c>
      <c r="D14" s="117">
        <f>Feb!$G$17</f>
        <v>300</v>
      </c>
      <c r="E14" s="117">
        <f>Mar!$G$17</f>
        <v>300</v>
      </c>
      <c r="F14" s="117"/>
      <c r="G14" s="117">
        <f>Apr!$G$17</f>
        <v>300</v>
      </c>
      <c r="H14" s="117">
        <f>May!$G$17</f>
        <v>300</v>
      </c>
      <c r="I14" s="117">
        <f>Jun!$G$17</f>
        <v>300</v>
      </c>
      <c r="J14" s="117">
        <f>July!$G$17</f>
        <v>300</v>
      </c>
      <c r="K14" s="117">
        <f>Aug!$G$17</f>
        <v>300</v>
      </c>
      <c r="L14" s="117">
        <f>Sep!$G$17</f>
        <v>300</v>
      </c>
      <c r="M14" s="117">
        <f>Oct!$G$17</f>
        <v>300</v>
      </c>
      <c r="N14" s="117">
        <f>Nov!$G$17</f>
        <v>300</v>
      </c>
      <c r="O14" s="117">
        <f>Dec!$G$17</f>
        <v>300</v>
      </c>
      <c r="P14" s="117">
        <f>SUM(B14:O14)</f>
        <v>3600</v>
      </c>
    </row>
    <row r="15" spans="1:16">
      <c r="A15" s="220" t="s">
        <v>467</v>
      </c>
      <c r="B15" s="113">
        <v>-2570</v>
      </c>
      <c r="C15" s="117">
        <v>0</v>
      </c>
      <c r="D15" s="117"/>
      <c r="E15" s="117"/>
      <c r="F15" s="117"/>
      <c r="G15" s="117"/>
      <c r="H15" s="117"/>
      <c r="I15" s="117"/>
      <c r="J15" s="117"/>
      <c r="K15" s="117"/>
      <c r="L15" s="117"/>
      <c r="M15" s="117"/>
      <c r="N15" s="117"/>
      <c r="O15" s="117"/>
      <c r="P15" s="117">
        <f>SUM(B15:O15)</f>
        <v>-2570</v>
      </c>
    </row>
    <row r="16" spans="1:16">
      <c r="A16" s="220" t="s">
        <v>342</v>
      </c>
      <c r="B16" s="118">
        <f>SUM(B12:B15)</f>
        <v>-4170</v>
      </c>
      <c r="C16" s="118">
        <f t="shared" ref="C16:P16" si="1">SUM(C12:C15)</f>
        <v>500</v>
      </c>
      <c r="D16" s="118">
        <f t="shared" si="1"/>
        <v>500</v>
      </c>
      <c r="E16" s="118">
        <f t="shared" si="1"/>
        <v>500</v>
      </c>
      <c r="F16" s="118"/>
      <c r="G16" s="118">
        <f t="shared" si="1"/>
        <v>500</v>
      </c>
      <c r="H16" s="118">
        <f t="shared" si="1"/>
        <v>500</v>
      </c>
      <c r="I16" s="118">
        <f t="shared" si="1"/>
        <v>500</v>
      </c>
      <c r="J16" s="118">
        <f t="shared" si="1"/>
        <v>500</v>
      </c>
      <c r="K16" s="118">
        <f t="shared" si="1"/>
        <v>500</v>
      </c>
      <c r="L16" s="118">
        <f t="shared" si="1"/>
        <v>500</v>
      </c>
      <c r="M16" s="118">
        <f t="shared" si="1"/>
        <v>500</v>
      </c>
      <c r="N16" s="118">
        <f t="shared" si="1"/>
        <v>500</v>
      </c>
      <c r="O16" s="118">
        <f t="shared" si="1"/>
        <v>500</v>
      </c>
      <c r="P16" s="118">
        <f t="shared" si="1"/>
        <v>1830</v>
      </c>
    </row>
    <row r="17" spans="1:17">
      <c r="C17" s="117"/>
      <c r="D17" s="117"/>
      <c r="E17" s="117"/>
      <c r="F17" s="117"/>
      <c r="G17" s="117"/>
      <c r="H17" s="117"/>
      <c r="I17" s="117"/>
      <c r="J17" s="117"/>
      <c r="K17" s="117"/>
      <c r="L17" s="117"/>
      <c r="M17" s="117"/>
      <c r="N17" s="117"/>
      <c r="O17" s="117"/>
      <c r="P17" s="117"/>
    </row>
    <row r="18" spans="1:17">
      <c r="A18" s="221" t="s">
        <v>343</v>
      </c>
      <c r="B18" s="113" t="s">
        <v>539</v>
      </c>
      <c r="C18" s="117"/>
      <c r="D18" s="117"/>
      <c r="E18" s="117"/>
      <c r="F18" s="117"/>
      <c r="G18" s="117"/>
      <c r="H18" s="117"/>
      <c r="I18" s="117"/>
      <c r="J18" s="117"/>
      <c r="K18" s="117"/>
      <c r="L18" s="117"/>
      <c r="M18" s="117"/>
      <c r="N18" s="117"/>
      <c r="O18" s="117"/>
      <c r="P18" s="117"/>
    </row>
    <row r="19" spans="1:17">
      <c r="A19" s="220" t="s">
        <v>484</v>
      </c>
      <c r="B19" s="113">
        <v>0</v>
      </c>
      <c r="C19" s="117">
        <f>Jan!$G$18</f>
        <v>200</v>
      </c>
      <c r="D19" s="117">
        <f>Feb!$G$18</f>
        <v>200</v>
      </c>
      <c r="E19" s="117">
        <f>Mar!$G$18</f>
        <v>200</v>
      </c>
      <c r="F19" s="117"/>
      <c r="G19" s="117">
        <f>Apr!$G$18</f>
        <v>200</v>
      </c>
      <c r="H19" s="117">
        <f>May!$G$18</f>
        <v>200</v>
      </c>
      <c r="I19" s="117">
        <f>Jun!$G$18</f>
        <v>200</v>
      </c>
      <c r="J19" s="117">
        <f>July!$G$18</f>
        <v>200</v>
      </c>
      <c r="K19" s="117">
        <f>Aug!$G$18</f>
        <v>200</v>
      </c>
      <c r="L19" s="117">
        <f>Sep!$G$18</f>
        <v>200</v>
      </c>
      <c r="M19" s="117">
        <f>Oct!$G$18</f>
        <v>200</v>
      </c>
      <c r="N19" s="117">
        <f>Nov!$G$18</f>
        <v>200</v>
      </c>
      <c r="O19" s="117">
        <f>Dec!$G$18</f>
        <v>200</v>
      </c>
      <c r="P19" s="117">
        <f>SUM(B19:O19)</f>
        <v>2400</v>
      </c>
    </row>
    <row r="20" spans="1:17">
      <c r="A20" s="220" t="s">
        <v>485</v>
      </c>
      <c r="B20" s="113">
        <v>0</v>
      </c>
      <c r="C20" s="117">
        <v>-200</v>
      </c>
      <c r="D20" s="117">
        <v>-200</v>
      </c>
      <c r="E20" s="117">
        <v>-200</v>
      </c>
      <c r="F20" s="117"/>
      <c r="G20" s="117">
        <v>-200</v>
      </c>
      <c r="H20" s="117">
        <v>-200</v>
      </c>
      <c r="I20" s="117">
        <v>-200</v>
      </c>
      <c r="J20" s="117">
        <v>-200</v>
      </c>
      <c r="K20" s="117">
        <v>-200</v>
      </c>
      <c r="L20" s="117"/>
      <c r="M20" s="117"/>
      <c r="N20" s="117"/>
      <c r="O20" s="117"/>
      <c r="P20" s="117">
        <f>SUM(B20:O20)</f>
        <v>-1600</v>
      </c>
      <c r="Q20" s="113" t="s">
        <v>546</v>
      </c>
    </row>
    <row r="21" spans="1:17">
      <c r="A21" s="220" t="s">
        <v>486</v>
      </c>
      <c r="B21" s="113">
        <v>0</v>
      </c>
      <c r="C21" s="117">
        <f>Jan!$G$19</f>
        <v>300</v>
      </c>
      <c r="D21" s="117">
        <f>Feb!$G$19</f>
        <v>300</v>
      </c>
      <c r="E21" s="117">
        <f>Mar!$G$19</f>
        <v>300</v>
      </c>
      <c r="F21" s="117"/>
      <c r="G21" s="117">
        <f>Apr!$G$19</f>
        <v>300</v>
      </c>
      <c r="H21" s="117">
        <f>May!$G$19</f>
        <v>300</v>
      </c>
      <c r="I21" s="117">
        <f>Jun!$G$19</f>
        <v>300</v>
      </c>
      <c r="J21" s="117">
        <f>July!$G$19</f>
        <v>300</v>
      </c>
      <c r="K21" s="117">
        <f>Aug!$G$19</f>
        <v>300</v>
      </c>
      <c r="L21" s="117">
        <f>Sep!$G$19</f>
        <v>300</v>
      </c>
      <c r="M21" s="117">
        <f>Oct!$G$19</f>
        <v>300</v>
      </c>
      <c r="N21" s="117">
        <f>Nov!$G$19</f>
        <v>300</v>
      </c>
      <c r="O21" s="117">
        <f>Dec!$G$19</f>
        <v>300</v>
      </c>
      <c r="P21" s="117">
        <f>SUM(B21:O21)</f>
        <v>3600</v>
      </c>
    </row>
    <row r="22" spans="1:17">
      <c r="A22" s="220" t="s">
        <v>468</v>
      </c>
      <c r="B22" s="113">
        <v>0</v>
      </c>
      <c r="C22" s="117">
        <v>-300</v>
      </c>
      <c r="D22" s="117">
        <v>-300</v>
      </c>
      <c r="E22" s="117">
        <v>-300</v>
      </c>
      <c r="F22" s="117"/>
      <c r="G22" s="117">
        <v>-300</v>
      </c>
      <c r="H22" s="117">
        <v>-300</v>
      </c>
      <c r="I22" s="117">
        <v>-300</v>
      </c>
      <c r="J22" s="117">
        <v>-300</v>
      </c>
      <c r="K22" s="117">
        <v>-300</v>
      </c>
      <c r="L22" s="117"/>
      <c r="M22" s="117"/>
      <c r="N22" s="117"/>
      <c r="O22" s="117"/>
      <c r="P22" s="117">
        <f>SUM(B22:O22)</f>
        <v>-2400</v>
      </c>
      <c r="Q22" s="113" t="s">
        <v>546</v>
      </c>
    </row>
    <row r="23" spans="1:17">
      <c r="A23" s="220" t="s">
        <v>342</v>
      </c>
      <c r="B23" s="118">
        <f>B19-B20</f>
        <v>0</v>
      </c>
      <c r="C23" s="119">
        <f>SUM(C19:C22)</f>
        <v>0</v>
      </c>
      <c r="D23" s="119">
        <f t="shared" ref="D23:O23" si="2">SUM(D19:D22)</f>
        <v>0</v>
      </c>
      <c r="E23" s="119">
        <f t="shared" si="2"/>
        <v>0</v>
      </c>
      <c r="F23" s="119"/>
      <c r="G23" s="119">
        <f t="shared" si="2"/>
        <v>0</v>
      </c>
      <c r="H23" s="119">
        <f t="shared" si="2"/>
        <v>0</v>
      </c>
      <c r="I23" s="119">
        <f t="shared" si="2"/>
        <v>0</v>
      </c>
      <c r="J23" s="119">
        <f t="shared" si="2"/>
        <v>0</v>
      </c>
      <c r="K23" s="119">
        <f t="shared" si="2"/>
        <v>0</v>
      </c>
      <c r="L23" s="119">
        <f t="shared" si="2"/>
        <v>500</v>
      </c>
      <c r="M23" s="119">
        <f t="shared" si="2"/>
        <v>500</v>
      </c>
      <c r="N23" s="119">
        <f t="shared" si="2"/>
        <v>500</v>
      </c>
      <c r="O23" s="119">
        <f t="shared" si="2"/>
        <v>500</v>
      </c>
      <c r="P23" s="119">
        <f>SUM(B23:O23)</f>
        <v>2000</v>
      </c>
    </row>
    <row r="24" spans="1:17">
      <c r="C24" s="117"/>
      <c r="D24" s="117"/>
      <c r="E24" s="117"/>
      <c r="F24" s="117"/>
      <c r="G24" s="117"/>
      <c r="H24" s="117"/>
      <c r="I24" s="117"/>
      <c r="J24" s="117"/>
      <c r="K24" s="117"/>
      <c r="L24" s="117"/>
      <c r="M24" s="117"/>
      <c r="N24" s="117"/>
      <c r="O24" s="117"/>
      <c r="P24" s="117"/>
    </row>
    <row r="25" spans="1:17">
      <c r="A25" s="221" t="s">
        <v>344</v>
      </c>
    </row>
    <row r="26" spans="1:17">
      <c r="A26" s="220" t="s">
        <v>328</v>
      </c>
      <c r="C26" s="117">
        <f>Jan!$G$20</f>
        <v>50</v>
      </c>
      <c r="D26" s="117">
        <f>Feb!$G$20</f>
        <v>50</v>
      </c>
      <c r="E26" s="117">
        <f>Mar!$G$20</f>
        <v>50</v>
      </c>
      <c r="F26" s="117"/>
      <c r="G26" s="117">
        <f>Apr!$G$20</f>
        <v>50</v>
      </c>
      <c r="H26" s="117">
        <f>May!$G$20</f>
        <v>50</v>
      </c>
      <c r="I26" s="117">
        <f>Jun!$G$20</f>
        <v>50</v>
      </c>
      <c r="J26" s="117">
        <f>July!$G$20</f>
        <v>50</v>
      </c>
      <c r="K26" s="117">
        <f>Aug!$G$20</f>
        <v>50</v>
      </c>
      <c r="L26" s="117">
        <f>Sep!$G$20</f>
        <v>50</v>
      </c>
      <c r="M26" s="117">
        <f>Oct!$G$20</f>
        <v>50</v>
      </c>
      <c r="N26" s="117">
        <f>Nov!$G$20</f>
        <v>50</v>
      </c>
      <c r="O26" s="117">
        <f>Dec!$G$20</f>
        <v>50</v>
      </c>
      <c r="P26" s="117">
        <f>SUM(B26:O26)</f>
        <v>600</v>
      </c>
    </row>
    <row r="27" spans="1:17">
      <c r="A27" s="220" t="s">
        <v>509</v>
      </c>
      <c r="C27" s="117"/>
      <c r="D27" s="117"/>
      <c r="E27" s="117"/>
      <c r="F27" s="117"/>
      <c r="G27" s="117"/>
      <c r="H27" s="117"/>
      <c r="I27" s="117"/>
      <c r="J27" s="117"/>
      <c r="K27" s="117"/>
      <c r="L27" s="117"/>
      <c r="M27" s="117"/>
      <c r="N27" s="117"/>
      <c r="O27" s="117">
        <v>600</v>
      </c>
      <c r="P27" s="117">
        <f>SUM(B27:O27)</f>
        <v>600</v>
      </c>
    </row>
    <row r="28" spans="1:17">
      <c r="A28" s="220" t="s">
        <v>342</v>
      </c>
      <c r="B28" s="118">
        <f t="shared" ref="B28:P28" si="3">B26-B27</f>
        <v>0</v>
      </c>
      <c r="C28" s="119">
        <f t="shared" si="3"/>
        <v>50</v>
      </c>
      <c r="D28" s="119">
        <f t="shared" si="3"/>
        <v>50</v>
      </c>
      <c r="E28" s="119">
        <f t="shared" si="3"/>
        <v>50</v>
      </c>
      <c r="F28" s="119"/>
      <c r="G28" s="119">
        <f t="shared" si="3"/>
        <v>50</v>
      </c>
      <c r="H28" s="119">
        <f t="shared" si="3"/>
        <v>50</v>
      </c>
      <c r="I28" s="119">
        <f t="shared" si="3"/>
        <v>50</v>
      </c>
      <c r="J28" s="119">
        <f t="shared" si="3"/>
        <v>50</v>
      </c>
      <c r="K28" s="119">
        <f t="shared" si="3"/>
        <v>50</v>
      </c>
      <c r="L28" s="119">
        <f t="shared" si="3"/>
        <v>50</v>
      </c>
      <c r="M28" s="119">
        <f t="shared" si="3"/>
        <v>50</v>
      </c>
      <c r="N28" s="119">
        <f t="shared" si="3"/>
        <v>50</v>
      </c>
      <c r="O28" s="119">
        <f t="shared" si="3"/>
        <v>-550</v>
      </c>
      <c r="P28" s="119">
        <f t="shared" si="3"/>
        <v>0</v>
      </c>
    </row>
    <row r="29" spans="1:17">
      <c r="A29" s="220"/>
      <c r="B29" s="120"/>
      <c r="C29" s="120"/>
      <c r="D29" s="120"/>
      <c r="E29" s="120"/>
      <c r="F29" s="120"/>
      <c r="G29" s="120"/>
      <c r="H29" s="120"/>
      <c r="I29" s="120"/>
      <c r="J29" s="120"/>
      <c r="K29" s="120"/>
      <c r="L29" s="120"/>
      <c r="M29" s="120"/>
      <c r="N29" s="120"/>
      <c r="O29" s="120"/>
      <c r="P29" s="120"/>
    </row>
    <row r="30" spans="1:17">
      <c r="C30" s="117"/>
      <c r="D30" s="117"/>
      <c r="E30" s="117"/>
      <c r="F30" s="117"/>
      <c r="G30" s="117"/>
      <c r="H30" s="117"/>
      <c r="I30" s="117"/>
      <c r="J30" s="117"/>
      <c r="K30" s="117"/>
      <c r="L30" s="117"/>
      <c r="M30" s="117"/>
      <c r="N30" s="117"/>
      <c r="O30" s="117"/>
      <c r="P30" s="117"/>
    </row>
    <row r="31" spans="1:17">
      <c r="A31" s="221" t="s">
        <v>449</v>
      </c>
      <c r="B31" s="118"/>
      <c r="C31" s="119">
        <f>Jan!$G$31</f>
        <v>0</v>
      </c>
      <c r="D31" s="119">
        <f>Feb!$G$31</f>
        <v>0</v>
      </c>
      <c r="E31" s="119">
        <f>Mar!$G$31</f>
        <v>0</v>
      </c>
      <c r="F31" s="119"/>
      <c r="G31" s="119">
        <f>Apr!$G$31</f>
        <v>0</v>
      </c>
      <c r="H31" s="119">
        <f>May!$G$31</f>
        <v>5000</v>
      </c>
      <c r="I31" s="119">
        <f>Jun!$G$31</f>
        <v>1008</v>
      </c>
      <c r="J31" s="119">
        <f>July!$G$31</f>
        <v>0</v>
      </c>
      <c r="K31" s="119">
        <f>Aug!$G$31</f>
        <v>0</v>
      </c>
      <c r="L31" s="119">
        <f>Sep!$G$31</f>
        <v>0</v>
      </c>
      <c r="M31" s="119">
        <f>Oct!$G$31</f>
        <v>0</v>
      </c>
      <c r="N31" s="119">
        <f>Nov!$G$31</f>
        <v>0</v>
      </c>
      <c r="O31" s="119">
        <f>Dec!$G$31</f>
        <v>0</v>
      </c>
      <c r="P31" s="119">
        <f>SUM(B31:O31)</f>
        <v>6008</v>
      </c>
    </row>
    <row r="32" spans="1:17">
      <c r="A32" s="225"/>
      <c r="B32" s="120"/>
      <c r="C32" s="122"/>
      <c r="D32" s="122"/>
      <c r="E32" s="122"/>
      <c r="F32" s="122"/>
      <c r="G32" s="122"/>
      <c r="H32" s="122"/>
      <c r="I32" s="122"/>
      <c r="J32" s="122"/>
      <c r="K32" s="122"/>
      <c r="L32" s="122"/>
      <c r="M32" s="122"/>
      <c r="N32" s="122"/>
      <c r="O32" s="122"/>
      <c r="P32" s="122"/>
    </row>
    <row r="33" spans="1:16">
      <c r="A33" s="224" t="s">
        <v>923</v>
      </c>
      <c r="B33" s="120"/>
      <c r="C33" s="122"/>
      <c r="D33" s="122"/>
      <c r="E33" s="122"/>
      <c r="F33" s="122"/>
      <c r="G33" s="122"/>
      <c r="H33" s="122"/>
      <c r="I33" s="122"/>
      <c r="J33" s="122"/>
      <c r="K33" s="122"/>
      <c r="L33" s="122"/>
      <c r="M33" s="122"/>
      <c r="N33" s="122"/>
      <c r="O33" s="122"/>
      <c r="P33" s="122"/>
    </row>
    <row r="34" spans="1:16">
      <c r="A34" s="225" t="s">
        <v>446</v>
      </c>
      <c r="B34" s="120"/>
      <c r="C34" s="122">
        <f>Jan!$G$133</f>
        <v>0</v>
      </c>
      <c r="D34" s="122">
        <f>Jan!$G$133</f>
        <v>0</v>
      </c>
      <c r="E34" s="122">
        <f>Jan!$G$133</f>
        <v>0</v>
      </c>
      <c r="F34" s="122"/>
      <c r="G34" s="122">
        <f>Jan!$G$133</f>
        <v>0</v>
      </c>
      <c r="H34" s="122">
        <f>Jan!$G$133</f>
        <v>0</v>
      </c>
      <c r="I34" s="122">
        <f>Jan!$G$133</f>
        <v>0</v>
      </c>
      <c r="J34" s="122">
        <f>Jan!$G$133</f>
        <v>0</v>
      </c>
      <c r="K34" s="122">
        <f>Jan!$G$133</f>
        <v>0</v>
      </c>
      <c r="L34" s="122">
        <f>Jan!$G$133</f>
        <v>0</v>
      </c>
      <c r="M34" s="122">
        <f>Jan!$G$133</f>
        <v>0</v>
      </c>
      <c r="N34" s="122">
        <f>Jan!$G$133</f>
        <v>0</v>
      </c>
      <c r="O34" s="122">
        <f>Jan!$G$133</f>
        <v>0</v>
      </c>
      <c r="P34" s="123">
        <f>SUM(B34:O34)</f>
        <v>0</v>
      </c>
    </row>
    <row r="35" spans="1:16">
      <c r="A35" s="228" t="s">
        <v>447</v>
      </c>
      <c r="C35" s="117">
        <f>SUM(Jan!$G$135:'Jan'!$G$138)</f>
        <v>0</v>
      </c>
      <c r="D35" s="117">
        <f>SUM(Jan!$G$135:'Jan'!$G$138)</f>
        <v>0</v>
      </c>
      <c r="E35" s="117">
        <f>SUM(Jan!$G$135:'Jan'!$G$138)</f>
        <v>0</v>
      </c>
      <c r="F35" s="117"/>
      <c r="G35" s="117">
        <f>SUM(Jan!$G$135:'Jan'!$G$138)</f>
        <v>0</v>
      </c>
      <c r="H35" s="117">
        <f>SUM(Jan!$G$135:'Jan'!$G$138)</f>
        <v>0</v>
      </c>
      <c r="I35" s="117">
        <f>SUM(Jan!$G$135:'Jan'!$G$138)</f>
        <v>0</v>
      </c>
      <c r="J35" s="117">
        <f>SUM(July!$G$135:'July'!$G$138)</f>
        <v>500</v>
      </c>
      <c r="K35" s="117">
        <f>SUM(Aug!$G$135:'Aug'!$G$138)</f>
        <v>461.36000000000007</v>
      </c>
      <c r="L35" s="117">
        <f>SUM(Sep!$G$135:'Sep'!$G$138)</f>
        <v>533.49</v>
      </c>
      <c r="M35" s="117">
        <f>SUM(Oct!$G$135:'Oct'!$G$138)</f>
        <v>296.21000000000004</v>
      </c>
      <c r="N35" s="117">
        <f>SUM(Nov!$G$135:'Nov'!$G$138)</f>
        <v>0</v>
      </c>
      <c r="O35" s="117">
        <f>SUM(Dec!$G$135:'Dec'!$G$138)</f>
        <v>35.980000000000004</v>
      </c>
      <c r="P35" s="123">
        <f>SUM(B35:O35)</f>
        <v>1827.0400000000002</v>
      </c>
    </row>
    <row r="36" spans="1:16">
      <c r="A36" s="228" t="s">
        <v>448</v>
      </c>
      <c r="C36" s="113">
        <f>Jan!$G$140</f>
        <v>0</v>
      </c>
      <c r="D36" s="113">
        <f>Feb!$G$140</f>
        <v>0</v>
      </c>
      <c r="E36" s="113">
        <f>Mar!$G$140</f>
        <v>0</v>
      </c>
      <c r="G36" s="113">
        <f>Apr!$G$140</f>
        <v>0</v>
      </c>
      <c r="H36" s="113">
        <f>May!$G$140</f>
        <v>0</v>
      </c>
      <c r="I36" s="113">
        <f>Jun!$G$140</f>
        <v>0</v>
      </c>
      <c r="J36" s="113">
        <f>July!$G$140</f>
        <v>0</v>
      </c>
      <c r="K36" s="113">
        <f>Aug!$G$140</f>
        <v>1430</v>
      </c>
      <c r="L36" s="113">
        <f>Sep!$G$140</f>
        <v>0</v>
      </c>
      <c r="M36" s="113">
        <f>Oct!$G$140</f>
        <v>0</v>
      </c>
      <c r="N36" s="113">
        <f>Nov!$G$140</f>
        <v>0</v>
      </c>
      <c r="O36" s="113">
        <f>Dec!$G$140</f>
        <v>0</v>
      </c>
      <c r="P36" s="123">
        <f>SUM(B36:O36)</f>
        <v>1430</v>
      </c>
    </row>
    <row r="37" spans="1:16">
      <c r="A37" s="225"/>
      <c r="B37" s="120"/>
      <c r="C37" s="122"/>
      <c r="D37" s="122"/>
      <c r="E37" s="122"/>
      <c r="F37" s="122"/>
      <c r="G37" s="122"/>
      <c r="H37" s="122"/>
      <c r="I37" s="122"/>
      <c r="J37" s="122"/>
      <c r="K37" s="122"/>
      <c r="L37" s="122"/>
      <c r="M37" s="122"/>
      <c r="N37" s="122"/>
      <c r="O37" s="122"/>
      <c r="P37" s="122"/>
    </row>
    <row r="38" spans="1:16">
      <c r="A38" s="225"/>
      <c r="B38" s="120"/>
      <c r="C38" s="122"/>
      <c r="D38" s="122"/>
      <c r="E38" s="122"/>
      <c r="F38" s="122"/>
      <c r="G38" s="122"/>
      <c r="H38" s="122"/>
      <c r="I38" s="122"/>
      <c r="J38" s="122"/>
      <c r="K38" s="122"/>
      <c r="L38" s="122"/>
      <c r="M38" s="122"/>
      <c r="N38" s="122"/>
      <c r="O38" s="122"/>
      <c r="P38" s="122"/>
    </row>
    <row r="39" spans="1:16">
      <c r="A39" s="222"/>
      <c r="B39" s="120"/>
      <c r="C39" s="122"/>
      <c r="D39" s="122"/>
      <c r="E39" s="122"/>
      <c r="F39" s="122"/>
      <c r="G39" s="122"/>
      <c r="H39" s="122"/>
      <c r="I39" s="122"/>
      <c r="J39" s="122"/>
      <c r="K39" s="122"/>
      <c r="L39" s="122"/>
      <c r="M39" s="122"/>
      <c r="N39" s="122"/>
      <c r="O39" s="122"/>
      <c r="P39" s="122"/>
    </row>
    <row r="40" spans="1:16">
      <c r="A40" s="223" t="s">
        <v>488</v>
      </c>
      <c r="B40" s="200"/>
      <c r="C40" s="201">
        <f>Jan!G39</f>
        <v>-1513.4900000000007</v>
      </c>
      <c r="D40" s="201">
        <f>Feb!G39</f>
        <v>904.20999999999913</v>
      </c>
      <c r="E40" s="201">
        <f>Mar!G39</f>
        <v>10490.92</v>
      </c>
      <c r="F40" s="201"/>
      <c r="G40" s="201">
        <f>Apr!G39</f>
        <v>-2287.7299999999996</v>
      </c>
      <c r="H40" s="201">
        <f>May!G39</f>
        <v>5285.8099999999995</v>
      </c>
      <c r="I40" s="201">
        <f>Jun!G39</f>
        <v>4350.5199999999995</v>
      </c>
      <c r="J40" s="201">
        <f>July!G39</f>
        <v>297.23999999999978</v>
      </c>
      <c r="K40" s="201">
        <f>Aug!$G$39</f>
        <v>-1885.3400000000011</v>
      </c>
      <c r="L40" s="201">
        <f>Sep!$G$39</f>
        <v>2251.0400000000018</v>
      </c>
      <c r="M40" s="201">
        <f>Oct!$G$39</f>
        <v>88.209999999999923</v>
      </c>
      <c r="N40" s="201">
        <f>Nov!$G$39</f>
        <v>7405.2000000000016</v>
      </c>
      <c r="O40" s="201">
        <f>Dec!$G$39</f>
        <v>7292.260000000002</v>
      </c>
      <c r="P40" s="200">
        <f>SUM(B40:O40)</f>
        <v>32678.85</v>
      </c>
    </row>
    <row r="41" spans="1:16">
      <c r="A41" s="222"/>
      <c r="B41" s="120"/>
      <c r="C41" s="122"/>
      <c r="D41" s="122"/>
      <c r="E41" s="122"/>
      <c r="F41" s="122"/>
      <c r="G41" s="122"/>
      <c r="H41" s="122"/>
      <c r="I41" s="122"/>
      <c r="J41" s="122"/>
      <c r="K41" s="122"/>
      <c r="L41" s="122"/>
      <c r="M41" s="122"/>
      <c r="N41" s="122"/>
      <c r="O41" s="122"/>
      <c r="P41" s="123"/>
    </row>
    <row r="42" spans="1:16">
      <c r="A42" s="224" t="s">
        <v>374</v>
      </c>
      <c r="B42" s="120"/>
      <c r="C42" s="122"/>
      <c r="D42" s="122"/>
      <c r="E42" s="122"/>
      <c r="F42" s="122"/>
      <c r="G42" s="122"/>
      <c r="H42" s="122"/>
      <c r="I42" s="122"/>
      <c r="J42" s="122"/>
      <c r="K42" s="122"/>
      <c r="L42" s="122"/>
      <c r="M42" s="122"/>
      <c r="N42" s="122"/>
      <c r="O42" s="122"/>
      <c r="P42" s="123"/>
    </row>
    <row r="43" spans="1:16">
      <c r="A43" s="225" t="s">
        <v>487</v>
      </c>
      <c r="B43" s="120">
        <v>0</v>
      </c>
      <c r="C43" s="122">
        <f>Jan!$G$26</f>
        <v>0</v>
      </c>
      <c r="D43" s="122">
        <f>Feb!$G$26</f>
        <v>0</v>
      </c>
      <c r="E43" s="122">
        <f>Mar!$G$26</f>
        <v>0</v>
      </c>
      <c r="F43" s="122"/>
      <c r="G43" s="122">
        <f>Apr!$G$26</f>
        <v>0</v>
      </c>
      <c r="H43" s="122">
        <f>May!$G$26</f>
        <v>0</v>
      </c>
      <c r="I43" s="122">
        <f>Jun!$G$26</f>
        <v>0</v>
      </c>
      <c r="J43" s="122">
        <f>July!$G$26</f>
        <v>0</v>
      </c>
      <c r="K43" s="122">
        <f>Aug!$G$26</f>
        <v>0</v>
      </c>
      <c r="L43" s="122">
        <f>Sep!$G$26</f>
        <v>0</v>
      </c>
      <c r="M43" s="122">
        <f>Oct!$G$26</f>
        <v>0</v>
      </c>
      <c r="N43" s="122">
        <f>Nov!$G$26</f>
        <v>0</v>
      </c>
      <c r="O43" s="122">
        <f>Dec!$G$26</f>
        <v>0</v>
      </c>
      <c r="P43" s="123">
        <f>SUM(B43:O43)</f>
        <v>0</v>
      </c>
    </row>
    <row r="44" spans="1:16">
      <c r="A44" s="226" t="s">
        <v>443</v>
      </c>
      <c r="B44" s="123">
        <v>10850.49</v>
      </c>
      <c r="C44" s="123">
        <f>Jan!$G$39</f>
        <v>-1513.4900000000007</v>
      </c>
      <c r="D44" s="123">
        <f>Feb!$G$39</f>
        <v>904.20999999999913</v>
      </c>
      <c r="E44" s="123">
        <f>Mar!$G$39</f>
        <v>10490.92</v>
      </c>
      <c r="F44" s="123"/>
      <c r="G44" s="123">
        <f>Apr!$G$39</f>
        <v>-2287.7299999999996</v>
      </c>
      <c r="H44" s="123">
        <f>May!$G$39</f>
        <v>5285.8099999999995</v>
      </c>
      <c r="I44" s="123">
        <f>Jun!$G$39</f>
        <v>4350.5199999999995</v>
      </c>
      <c r="J44" s="123">
        <f>July!$G$39</f>
        <v>297.23999999999978</v>
      </c>
      <c r="K44" s="123">
        <f>Aug!$G$39</f>
        <v>-1885.3400000000011</v>
      </c>
      <c r="L44" s="123">
        <f>Sep!$G$39</f>
        <v>2251.0400000000018</v>
      </c>
      <c r="M44" s="123">
        <f>Oct!$G$39</f>
        <v>88.209999999999923</v>
      </c>
      <c r="N44" s="123">
        <f>Nov!$G$39</f>
        <v>7405.2000000000016</v>
      </c>
      <c r="O44" s="123">
        <f>Dec!$G$39</f>
        <v>7292.260000000002</v>
      </c>
      <c r="P44" s="123">
        <f>SUM(B44:O44)</f>
        <v>43529.340000000004</v>
      </c>
    </row>
    <row r="45" spans="1:16">
      <c r="A45" s="226" t="s">
        <v>924</v>
      </c>
      <c r="B45" s="123"/>
      <c r="C45" s="123"/>
      <c r="D45" s="123"/>
      <c r="E45" s="123"/>
      <c r="F45" s="123"/>
      <c r="G45" s="123"/>
      <c r="H45" s="123"/>
      <c r="I45" s="123"/>
      <c r="J45" s="123"/>
      <c r="K45" s="123"/>
      <c r="L45" s="123"/>
      <c r="M45" s="123"/>
      <c r="N45" s="123"/>
      <c r="O45" s="123"/>
      <c r="P45" s="123">
        <f>SUM(B45:O45)</f>
        <v>0</v>
      </c>
    </row>
    <row r="46" spans="1:16">
      <c r="A46" s="226"/>
      <c r="B46" s="123"/>
      <c r="C46" s="123"/>
      <c r="D46" s="123"/>
      <c r="E46" s="123"/>
      <c r="F46" s="123"/>
      <c r="G46" s="123"/>
      <c r="H46" s="123"/>
      <c r="I46" s="123"/>
      <c r="J46" s="123"/>
      <c r="K46" s="123"/>
      <c r="L46" s="123"/>
      <c r="M46" s="123"/>
      <c r="N46" s="123"/>
      <c r="O46" s="123"/>
      <c r="P46" s="123">
        <f>SUM(B46:O46)</f>
        <v>0</v>
      </c>
    </row>
    <row r="47" spans="1:16">
      <c r="A47" s="227" t="s">
        <v>492</v>
      </c>
      <c r="B47" s="120"/>
      <c r="C47" s="122"/>
      <c r="D47" s="122"/>
      <c r="E47" s="122"/>
      <c r="F47" s="122"/>
      <c r="G47" s="122"/>
      <c r="H47" s="122"/>
      <c r="I47" s="122"/>
      <c r="J47" s="122"/>
      <c r="K47" s="122"/>
      <c r="L47" s="122"/>
      <c r="M47" s="122"/>
      <c r="N47" s="122"/>
      <c r="O47" s="122"/>
      <c r="P47" s="123"/>
    </row>
    <row r="48" spans="1:16">
      <c r="A48" s="228" t="s">
        <v>462</v>
      </c>
      <c r="P48" s="123">
        <f>SUM(B48:O48)</f>
        <v>0</v>
      </c>
    </row>
    <row r="49" spans="1:16">
      <c r="A49" s="228" t="s">
        <v>463</v>
      </c>
      <c r="P49" s="123">
        <f t="shared" ref="P49:P58" si="4">SUM(B49:O49)</f>
        <v>0</v>
      </c>
    </row>
    <row r="50" spans="1:16">
      <c r="A50" s="228" t="s">
        <v>469</v>
      </c>
      <c r="P50" s="123">
        <f t="shared" si="4"/>
        <v>0</v>
      </c>
    </row>
    <row r="51" spans="1:16">
      <c r="A51" s="228" t="s">
        <v>489</v>
      </c>
      <c r="P51" s="123">
        <f t="shared" si="4"/>
        <v>0</v>
      </c>
    </row>
    <row r="52" spans="1:16">
      <c r="A52" s="228" t="s">
        <v>858</v>
      </c>
      <c r="O52" s="113">
        <v>-5000</v>
      </c>
      <c r="P52" s="123">
        <f t="shared" si="4"/>
        <v>-5000</v>
      </c>
    </row>
    <row r="53" spans="1:16">
      <c r="A53" s="228" t="s">
        <v>555</v>
      </c>
      <c r="D53" s="113">
        <v>-3000</v>
      </c>
      <c r="E53" s="113">
        <v>150</v>
      </c>
      <c r="G53" s="113">
        <v>150</v>
      </c>
      <c r="H53" s="113">
        <v>150</v>
      </c>
      <c r="I53" s="113">
        <v>150</v>
      </c>
      <c r="J53" s="113">
        <v>150</v>
      </c>
      <c r="K53" s="113">
        <v>150</v>
      </c>
      <c r="L53" s="113">
        <v>150</v>
      </c>
      <c r="M53" s="113">
        <v>150</v>
      </c>
      <c r="N53" s="113">
        <v>150</v>
      </c>
      <c r="O53" s="113">
        <v>150</v>
      </c>
      <c r="P53" s="123">
        <f t="shared" si="4"/>
        <v>-1500</v>
      </c>
    </row>
    <row r="54" spans="1:16">
      <c r="A54" s="228" t="s">
        <v>510</v>
      </c>
      <c r="D54" s="113">
        <v>-500</v>
      </c>
      <c r="P54" s="123">
        <f t="shared" si="4"/>
        <v>-500</v>
      </c>
    </row>
    <row r="55" spans="1:16">
      <c r="A55" s="328" t="s">
        <v>608</v>
      </c>
      <c r="B55" s="329"/>
      <c r="C55" s="329"/>
      <c r="D55" s="329"/>
      <c r="E55" s="329">
        <v>-5660.21</v>
      </c>
      <c r="F55" s="329" t="s">
        <v>230</v>
      </c>
      <c r="G55" s="329"/>
      <c r="H55" s="329"/>
      <c r="I55" s="329"/>
      <c r="J55" s="329"/>
      <c r="K55" s="329"/>
      <c r="L55" s="329"/>
      <c r="M55" s="329"/>
      <c r="N55" s="329"/>
      <c r="O55" s="329"/>
      <c r="P55" s="330">
        <f t="shared" si="4"/>
        <v>-5660.21</v>
      </c>
    </row>
    <row r="56" spans="1:16">
      <c r="A56" s="328" t="s">
        <v>987</v>
      </c>
      <c r="B56" s="329"/>
      <c r="C56" s="329"/>
      <c r="D56" s="329"/>
      <c r="E56" s="329"/>
      <c r="F56" s="329"/>
      <c r="G56" s="329"/>
      <c r="H56" s="329"/>
      <c r="I56" s="329"/>
      <c r="J56" s="329"/>
      <c r="K56" s="329"/>
      <c r="L56" s="329"/>
      <c r="M56" s="329"/>
      <c r="N56" s="329"/>
      <c r="O56" s="329">
        <v>-10000</v>
      </c>
      <c r="P56" s="330">
        <f t="shared" si="4"/>
        <v>-10000</v>
      </c>
    </row>
    <row r="57" spans="1:16">
      <c r="A57" s="228" t="s">
        <v>898</v>
      </c>
      <c r="M57" s="113">
        <v>-10000</v>
      </c>
      <c r="P57" s="123">
        <f t="shared" si="4"/>
        <v>-10000</v>
      </c>
    </row>
    <row r="58" spans="1:16">
      <c r="A58" s="251" t="s">
        <v>609</v>
      </c>
      <c r="E58" s="113">
        <f>4.51+3.3</f>
        <v>7.81</v>
      </c>
      <c r="M58" s="113">
        <v>-632.46</v>
      </c>
      <c r="N58" s="113">
        <v>-32.76</v>
      </c>
      <c r="O58" s="113">
        <v>278.83999999999997</v>
      </c>
      <c r="P58" s="123">
        <f t="shared" si="4"/>
        <v>-378.57000000000011</v>
      </c>
    </row>
    <row r="59" spans="1:16" ht="15">
      <c r="A59" s="250" t="s">
        <v>512</v>
      </c>
      <c r="B59" s="241">
        <f>B43+B44+B45+SUM(B48:B58)</f>
        <v>10850.49</v>
      </c>
      <c r="C59" s="241">
        <f t="shared" ref="C59:O59" si="5">C43+C44+C45+SUM(C48:C58)</f>
        <v>-1513.4900000000007</v>
      </c>
      <c r="D59" s="241">
        <f t="shared" si="5"/>
        <v>-2595.7900000000009</v>
      </c>
      <c r="E59" s="241">
        <f t="shared" si="5"/>
        <v>4988.5200000000004</v>
      </c>
      <c r="F59" s="241">
        <f t="shared" si="5"/>
        <v>0</v>
      </c>
      <c r="G59" s="241">
        <f t="shared" si="5"/>
        <v>-2137.7299999999996</v>
      </c>
      <c r="H59" s="241">
        <f t="shared" si="5"/>
        <v>5435.8099999999995</v>
      </c>
      <c r="I59" s="241">
        <f t="shared" si="5"/>
        <v>4500.5199999999995</v>
      </c>
      <c r="J59" s="241">
        <f t="shared" si="5"/>
        <v>447.23999999999978</v>
      </c>
      <c r="K59" s="241">
        <f t="shared" si="5"/>
        <v>-1735.3400000000011</v>
      </c>
      <c r="L59" s="241">
        <f t="shared" si="5"/>
        <v>2401.0400000000018</v>
      </c>
      <c r="M59" s="241">
        <f t="shared" si="5"/>
        <v>-10394.25</v>
      </c>
      <c r="N59" s="241">
        <f t="shared" si="5"/>
        <v>7522.4400000000014</v>
      </c>
      <c r="O59" s="241">
        <f t="shared" si="5"/>
        <v>-7278.8999999999978</v>
      </c>
      <c r="P59" s="241">
        <f>SUM(B59:O59)</f>
        <v>10490.560000000005</v>
      </c>
    </row>
    <row r="60" spans="1:16">
      <c r="B60" s="113" t="s">
        <v>802</v>
      </c>
    </row>
    <row r="61" spans="1:16">
      <c r="B61" s="113" t="s">
        <v>607</v>
      </c>
    </row>
    <row r="62" spans="1:16" s="121" customFormat="1" ht="12.75"/>
    <row r="63" spans="1:16" ht="12.75">
      <c r="A63" s="113"/>
    </row>
    <row r="64" spans="1:16" ht="12.75">
      <c r="A64" s="113"/>
    </row>
    <row r="65" spans="1:16">
      <c r="A65" s="224" t="s">
        <v>857</v>
      </c>
    </row>
    <row r="66" spans="1:16">
      <c r="A66" s="222" t="s">
        <v>490</v>
      </c>
      <c r="B66" s="113">
        <v>7500</v>
      </c>
      <c r="C66" s="113">
        <f>Jan!$G$25</f>
        <v>2000</v>
      </c>
      <c r="D66" s="113">
        <f>Feb!$G$25</f>
        <v>0</v>
      </c>
      <c r="E66" s="113">
        <f>Mar!$G$25</f>
        <v>0</v>
      </c>
      <c r="G66" s="113">
        <f>Apr!$G$25</f>
        <v>0</v>
      </c>
      <c r="H66" s="113">
        <f>May!$G$25</f>
        <v>0</v>
      </c>
      <c r="I66" s="113">
        <f>Jun!$G$25</f>
        <v>0</v>
      </c>
      <c r="J66" s="113">
        <f>July!$G$25</f>
        <v>0</v>
      </c>
      <c r="K66" s="113">
        <f>Aug!$G$25</f>
        <v>0</v>
      </c>
      <c r="L66" s="113">
        <f>Sep!$G$25</f>
        <v>1000</v>
      </c>
      <c r="M66" s="113">
        <f>Oct!$G$25</f>
        <v>0</v>
      </c>
      <c r="N66" s="113">
        <f>Nov!$G$25</f>
        <v>0</v>
      </c>
      <c r="O66" s="113">
        <f>Dec!$G$25</f>
        <v>0</v>
      </c>
      <c r="P66" s="113">
        <f t="shared" ref="P66:P74" si="6">SUM(B66:O66)</f>
        <v>10500</v>
      </c>
    </row>
    <row r="67" spans="1:16">
      <c r="A67" s="222" t="s">
        <v>491</v>
      </c>
      <c r="B67" s="113">
        <v>4500</v>
      </c>
      <c r="P67" s="113">
        <f t="shared" si="6"/>
        <v>4500</v>
      </c>
    </row>
    <row r="68" spans="1:16">
      <c r="A68" s="218" t="s">
        <v>345</v>
      </c>
      <c r="B68" s="113">
        <f>1250+400+100</f>
        <v>1750</v>
      </c>
      <c r="C68" s="113">
        <v>0</v>
      </c>
      <c r="D68" s="113">
        <v>0</v>
      </c>
      <c r="I68" s="113">
        <v>5500</v>
      </c>
      <c r="K68" s="113">
        <v>10300</v>
      </c>
      <c r="P68" s="113">
        <f t="shared" si="6"/>
        <v>17550</v>
      </c>
    </row>
    <row r="69" spans="1:16">
      <c r="A69" s="218" t="s">
        <v>346</v>
      </c>
      <c r="B69" s="113">
        <f>1250+400+100</f>
        <v>1750</v>
      </c>
      <c r="C69" s="113">
        <v>0</v>
      </c>
      <c r="D69" s="113">
        <v>0</v>
      </c>
      <c r="I69" s="113">
        <v>5500</v>
      </c>
      <c r="K69" s="113">
        <v>10300</v>
      </c>
      <c r="P69" s="113">
        <f t="shared" si="6"/>
        <v>17550</v>
      </c>
    </row>
    <row r="70" spans="1:16">
      <c r="A70" s="218" t="s">
        <v>844</v>
      </c>
      <c r="B70" s="113">
        <v>0</v>
      </c>
      <c r="P70" s="113">
        <f t="shared" si="6"/>
        <v>0</v>
      </c>
    </row>
    <row r="71" spans="1:16">
      <c r="A71" s="218" t="s">
        <v>845</v>
      </c>
      <c r="B71" s="113">
        <v>0</v>
      </c>
      <c r="P71" s="113">
        <f t="shared" si="6"/>
        <v>0</v>
      </c>
    </row>
    <row r="72" spans="1:16">
      <c r="A72" s="218" t="s">
        <v>501</v>
      </c>
      <c r="B72" s="113">
        <v>1200</v>
      </c>
      <c r="O72" s="113">
        <v>600</v>
      </c>
      <c r="P72" s="113">
        <f t="shared" si="6"/>
        <v>1800</v>
      </c>
    </row>
    <row r="74" spans="1:16">
      <c r="A74" s="331" t="s">
        <v>562</v>
      </c>
      <c r="B74" s="329"/>
      <c r="C74" s="329"/>
      <c r="D74" s="329"/>
      <c r="E74" s="329">
        <v>-15000</v>
      </c>
      <c r="F74" s="329" t="s">
        <v>230</v>
      </c>
      <c r="G74" s="329"/>
      <c r="H74" s="329"/>
      <c r="I74" s="329"/>
      <c r="J74" s="329"/>
      <c r="K74" s="329"/>
      <c r="L74" s="329"/>
      <c r="M74" s="329"/>
      <c r="N74" s="329"/>
      <c r="O74" s="329"/>
      <c r="P74" s="329">
        <f t="shared" si="6"/>
        <v>-15000</v>
      </c>
    </row>
    <row r="75" spans="1:16">
      <c r="A75" s="222" t="s">
        <v>898</v>
      </c>
      <c r="B75" s="121"/>
      <c r="C75" s="121"/>
      <c r="D75" s="121"/>
      <c r="E75" s="121"/>
      <c r="F75" s="121"/>
      <c r="G75" s="121"/>
      <c r="H75" s="121"/>
      <c r="I75" s="121"/>
      <c r="J75" s="121"/>
      <c r="K75" s="121"/>
      <c r="L75" s="121"/>
      <c r="M75" s="121"/>
      <c r="N75" s="121"/>
      <c r="O75" s="121"/>
      <c r="P75" s="121"/>
    </row>
    <row r="76" spans="1:16" ht="15">
      <c r="A76" s="230" t="s">
        <v>511</v>
      </c>
      <c r="B76" s="234">
        <f>SUM(B65:B74)</f>
        <v>16700</v>
      </c>
      <c r="C76" s="234">
        <f t="shared" ref="C76:P76" si="7">SUM(C65:C74)</f>
        <v>2000</v>
      </c>
      <c r="D76" s="234">
        <f t="shared" si="7"/>
        <v>0</v>
      </c>
      <c r="E76" s="234">
        <f t="shared" si="7"/>
        <v>-15000</v>
      </c>
      <c r="F76" s="234"/>
      <c r="G76" s="234">
        <f t="shared" si="7"/>
        <v>0</v>
      </c>
      <c r="H76" s="234">
        <f t="shared" si="7"/>
        <v>0</v>
      </c>
      <c r="I76" s="234">
        <f t="shared" si="7"/>
        <v>11000</v>
      </c>
      <c r="J76" s="234">
        <f t="shared" si="7"/>
        <v>0</v>
      </c>
      <c r="K76" s="234">
        <f t="shared" si="7"/>
        <v>20600</v>
      </c>
      <c r="L76" s="234">
        <f t="shared" si="7"/>
        <v>1000</v>
      </c>
      <c r="M76" s="234">
        <f t="shared" si="7"/>
        <v>0</v>
      </c>
      <c r="N76" s="234">
        <f t="shared" si="7"/>
        <v>0</v>
      </c>
      <c r="O76" s="234">
        <f t="shared" si="7"/>
        <v>600</v>
      </c>
      <c r="P76" s="236">
        <f t="shared" si="7"/>
        <v>36900</v>
      </c>
    </row>
    <row r="79" spans="1:16">
      <c r="A79" s="224" t="s">
        <v>498</v>
      </c>
    </row>
    <row r="80" spans="1:16">
      <c r="A80" s="218" t="s">
        <v>523</v>
      </c>
      <c r="B80" s="124">
        <v>67776.56</v>
      </c>
      <c r="C80" s="113">
        <v>2.93</v>
      </c>
      <c r="H80" s="129"/>
      <c r="J80" s="113">
        <v>5.01</v>
      </c>
      <c r="K80" s="113">
        <v>3.82</v>
      </c>
      <c r="L80" s="113">
        <v>17.309999999999999</v>
      </c>
      <c r="M80" s="113">
        <v>19.95</v>
      </c>
      <c r="N80" s="113">
        <v>17.53</v>
      </c>
      <c r="O80" s="113">
        <v>18.420000000000002</v>
      </c>
      <c r="P80" s="124">
        <f t="shared" ref="P80:P85" si="8">SUM(B80:O80)</f>
        <v>67861.529999999984</v>
      </c>
    </row>
    <row r="81" spans="1:17">
      <c r="A81" s="218" t="s">
        <v>497</v>
      </c>
      <c r="H81" s="129"/>
      <c r="P81" s="124">
        <f t="shared" si="8"/>
        <v>0</v>
      </c>
    </row>
    <row r="82" spans="1:17">
      <c r="A82" s="218" t="s">
        <v>535</v>
      </c>
      <c r="B82" s="124">
        <v>1200</v>
      </c>
      <c r="C82" s="113">
        <f>Jan!$G$18</f>
        <v>200</v>
      </c>
      <c r="D82" s="113">
        <f>Feb!$G$18</f>
        <v>200</v>
      </c>
      <c r="E82" s="113">
        <f>Mar!$G$18</f>
        <v>200</v>
      </c>
      <c r="G82" s="113">
        <f>Apr!$G$18</f>
        <v>200</v>
      </c>
      <c r="H82" s="129">
        <f>May!$G$18</f>
        <v>200</v>
      </c>
      <c r="I82" s="113">
        <f>Jun!$G$18</f>
        <v>200</v>
      </c>
      <c r="J82" s="113">
        <f>July!$G$18</f>
        <v>200</v>
      </c>
      <c r="K82" s="113">
        <f>Aug!$G$18</f>
        <v>200</v>
      </c>
      <c r="L82" s="113">
        <f>Sep!$G$18</f>
        <v>200</v>
      </c>
      <c r="M82" s="113">
        <f>Oct!$G$18</f>
        <v>200</v>
      </c>
      <c r="N82" s="113">
        <f>Nov!$G$18</f>
        <v>200</v>
      </c>
      <c r="O82" s="113">
        <f>Dec!$G$18</f>
        <v>200</v>
      </c>
      <c r="P82" s="124">
        <f>SUM(B82:O82)</f>
        <v>3600</v>
      </c>
    </row>
    <row r="83" spans="1:17">
      <c r="A83" s="218" t="s">
        <v>504</v>
      </c>
      <c r="B83" s="124"/>
      <c r="C83" s="113">
        <f>Jan!$G$19</f>
        <v>300</v>
      </c>
      <c r="D83" s="113">
        <f>Feb!$G$19</f>
        <v>300</v>
      </c>
      <c r="E83" s="113">
        <f>Mar!$G$19</f>
        <v>300</v>
      </c>
      <c r="G83" s="113">
        <f>Apr!$G$19</f>
        <v>300</v>
      </c>
      <c r="H83" s="129">
        <f>May!$G$19</f>
        <v>300</v>
      </c>
      <c r="I83" s="113">
        <f>Jun!$G$19</f>
        <v>300</v>
      </c>
      <c r="J83" s="113">
        <f>July!$G$19</f>
        <v>300</v>
      </c>
      <c r="K83" s="113">
        <f>Aug!$G$19</f>
        <v>300</v>
      </c>
      <c r="L83" s="113">
        <f>Sep!$G$19</f>
        <v>300</v>
      </c>
      <c r="M83" s="113">
        <f>Oct!$G$19</f>
        <v>300</v>
      </c>
      <c r="N83" s="113">
        <f>Nov!$G$19</f>
        <v>300</v>
      </c>
      <c r="O83" s="113">
        <f>Dec!$G$19</f>
        <v>300</v>
      </c>
      <c r="P83" s="124">
        <f t="shared" si="8"/>
        <v>3600</v>
      </c>
    </row>
    <row r="84" spans="1:17">
      <c r="A84" s="218" t="s">
        <v>524</v>
      </c>
      <c r="B84" s="124"/>
      <c r="H84" s="129"/>
      <c r="P84" s="124">
        <f t="shared" si="8"/>
        <v>0</v>
      </c>
    </row>
    <row r="85" spans="1:17" ht="16.5" thickBot="1">
      <c r="A85" s="218" t="s">
        <v>553</v>
      </c>
      <c r="B85" s="124"/>
      <c r="D85" s="113">
        <v>-62000</v>
      </c>
      <c r="E85" s="113">
        <f>Mar!G22</f>
        <v>500</v>
      </c>
      <c r="G85" s="113">
        <f>Apr!G22</f>
        <v>500</v>
      </c>
      <c r="H85" s="129">
        <f>May!G22</f>
        <v>500</v>
      </c>
      <c r="I85" s="113">
        <f>Jun!G22</f>
        <v>500</v>
      </c>
      <c r="J85" s="113">
        <f>July!G22</f>
        <v>500</v>
      </c>
      <c r="K85" s="113">
        <f>Aug!G22</f>
        <v>500</v>
      </c>
      <c r="L85" s="113">
        <f>Sep!G22</f>
        <v>500</v>
      </c>
      <c r="M85" s="113">
        <f>Oct!G22</f>
        <v>500</v>
      </c>
      <c r="N85" s="113">
        <f>Nov!G22</f>
        <v>500</v>
      </c>
      <c r="O85" s="113">
        <f>Dec!G22+5000</f>
        <v>5500</v>
      </c>
      <c r="P85" s="124">
        <f t="shared" si="8"/>
        <v>-52000</v>
      </c>
      <c r="Q85" s="113" t="s">
        <v>554</v>
      </c>
    </row>
    <row r="86" spans="1:17" thickBot="1">
      <c r="A86" s="237" t="s">
        <v>525</v>
      </c>
      <c r="B86" s="235">
        <f t="shared" ref="B86:P86" si="9">SUM(B80:B85)</f>
        <v>68976.56</v>
      </c>
      <c r="C86" s="235">
        <f t="shared" si="9"/>
        <v>502.93</v>
      </c>
      <c r="D86" s="235">
        <f t="shared" si="9"/>
        <v>-61500</v>
      </c>
      <c r="E86" s="235">
        <f t="shared" si="9"/>
        <v>1000</v>
      </c>
      <c r="F86" s="235"/>
      <c r="G86" s="235">
        <f t="shared" si="9"/>
        <v>1000</v>
      </c>
      <c r="H86" s="235">
        <f t="shared" si="9"/>
        <v>1000</v>
      </c>
      <c r="I86" s="235">
        <f t="shared" si="9"/>
        <v>1000</v>
      </c>
      <c r="J86" s="235">
        <f t="shared" si="9"/>
        <v>1005.01</v>
      </c>
      <c r="K86" s="235">
        <f t="shared" si="9"/>
        <v>1003.8199999999999</v>
      </c>
      <c r="L86" s="235">
        <f t="shared" si="9"/>
        <v>1017.31</v>
      </c>
      <c r="M86" s="235">
        <f t="shared" si="9"/>
        <v>1019.95</v>
      </c>
      <c r="N86" s="235">
        <f t="shared" si="9"/>
        <v>1017.53</v>
      </c>
      <c r="O86" s="235">
        <f t="shared" si="9"/>
        <v>6018.42</v>
      </c>
      <c r="P86" s="255">
        <f t="shared" si="9"/>
        <v>23061.529999999984</v>
      </c>
    </row>
    <row r="87" spans="1:17" ht="15">
      <c r="A87" s="237"/>
      <c r="B87" s="246"/>
      <c r="C87" s="246"/>
      <c r="D87" s="246"/>
      <c r="E87" s="246"/>
      <c r="F87" s="246"/>
      <c r="G87" s="246"/>
      <c r="H87" s="246"/>
      <c r="I87" s="246"/>
      <c r="J87" s="246"/>
      <c r="K87" s="246"/>
      <c r="L87" s="246"/>
      <c r="M87" s="246"/>
      <c r="N87" s="246"/>
      <c r="O87" s="246"/>
      <c r="P87" s="246"/>
    </row>
    <row r="88" spans="1:17" ht="15">
      <c r="A88" s="237" t="s">
        <v>566</v>
      </c>
      <c r="B88" s="246"/>
      <c r="C88" s="246"/>
      <c r="D88" s="246"/>
      <c r="E88" s="246"/>
      <c r="F88" s="246"/>
      <c r="G88" s="246"/>
      <c r="H88" s="246"/>
      <c r="I88" s="246"/>
      <c r="J88" s="246"/>
      <c r="K88" s="246"/>
      <c r="L88" s="246"/>
      <c r="M88" s="246"/>
      <c r="N88" s="246"/>
      <c r="O88" s="246"/>
      <c r="P88" s="246"/>
    </row>
    <row r="89" spans="1:17" ht="15">
      <c r="A89" s="237" t="s">
        <v>567</v>
      </c>
      <c r="B89" s="246">
        <f>FV(3%/12,48,,62000)</f>
        <v>-69894.337304475761</v>
      </c>
      <c r="C89" s="246"/>
      <c r="D89" s="246"/>
      <c r="E89" s="246"/>
      <c r="F89" s="246"/>
      <c r="G89" s="246"/>
      <c r="H89" s="246"/>
      <c r="I89" s="246"/>
      <c r="J89" s="246"/>
      <c r="K89" s="246"/>
      <c r="L89" s="246"/>
      <c r="M89" s="246"/>
      <c r="N89" s="246"/>
      <c r="O89" s="246"/>
      <c r="P89" s="246"/>
    </row>
    <row r="91" spans="1:17">
      <c r="A91" s="218" t="s">
        <v>499</v>
      </c>
    </row>
    <row r="92" spans="1:17">
      <c r="A92" s="218" t="s">
        <v>526</v>
      </c>
    </row>
    <row r="93" spans="1:17">
      <c r="A93" s="218" t="s">
        <v>527</v>
      </c>
    </row>
    <row r="95" spans="1:17">
      <c r="A95" s="218" t="s">
        <v>528</v>
      </c>
    </row>
    <row r="96" spans="1:17">
      <c r="A96" s="218" t="s">
        <v>348</v>
      </c>
    </row>
    <row r="100" spans="1:5">
      <c r="A100" s="218" t="s">
        <v>349</v>
      </c>
    </row>
    <row r="101" spans="1:5">
      <c r="A101" s="229" t="s">
        <v>350</v>
      </c>
      <c r="B101" s="113">
        <v>61289.34</v>
      </c>
    </row>
    <row r="102" spans="1:5">
      <c r="A102" s="218" t="s">
        <v>351</v>
      </c>
      <c r="B102" s="113">
        <v>32544.49</v>
      </c>
    </row>
    <row r="103" spans="1:5">
      <c r="A103" s="218" t="s">
        <v>352</v>
      </c>
      <c r="B103" s="118">
        <f>B101-B102</f>
        <v>28744.849999999995</v>
      </c>
    </row>
    <row r="104" spans="1:5">
      <c r="A104" s="218" t="s">
        <v>452</v>
      </c>
      <c r="B104" s="194">
        <f>FV(6%/12, 48,, 18750)</f>
        <v>-23821.671770538363</v>
      </c>
      <c r="C104" s="113" t="s">
        <v>451</v>
      </c>
      <c r="E104" s="113" t="s">
        <v>502</v>
      </c>
    </row>
    <row r="105" spans="1:5">
      <c r="A105" s="218" t="s">
        <v>453</v>
      </c>
      <c r="B105" s="194">
        <f>FV(5%/12, 12,,10000)</f>
        <v>-10511.618978817334</v>
      </c>
      <c r="C105" s="113" t="s">
        <v>347</v>
      </c>
      <c r="E105" s="113" t="s">
        <v>503</v>
      </c>
    </row>
    <row r="106" spans="1:5">
      <c r="A106" s="218" t="s">
        <v>353</v>
      </c>
      <c r="B106" s="195">
        <f>SUM(B103:B105)</f>
        <v>-5588.4407493557028</v>
      </c>
    </row>
    <row r="107" spans="1:5">
      <c r="A107" s="218" t="s">
        <v>500</v>
      </c>
      <c r="B107" s="113">
        <v>608.21</v>
      </c>
    </row>
  </sheetData>
  <sheetProtection selectLockedCells="1" selectUnlockedCells="1"/>
  <pageMargins left="0.78749999999999998" right="0.78749999999999998" top="1.0249999999999999" bottom="1.0249999999999999" header="0.78749999999999998" footer="0.78749999999999998"/>
  <pageSetup firstPageNumber="0" orientation="portrait" horizontalDpi="300" verticalDpi="300" r:id="rId1"/>
  <headerFooter alignWithMargins="0">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6"/>
  <sheetViews>
    <sheetView workbookViewId="0">
      <selection activeCell="E24" sqref="E24"/>
    </sheetView>
  </sheetViews>
  <sheetFormatPr defaultRowHeight="12.75"/>
  <cols>
    <col min="1" max="1" width="17" customWidth="1"/>
    <col min="2" max="2" width="20.28515625" customWidth="1"/>
    <col min="3" max="3" width="14.5703125" customWidth="1"/>
    <col min="4" max="4" width="11.7109375" customWidth="1"/>
    <col min="5" max="5" width="13" customWidth="1"/>
    <col min="10" max="10" width="10.5703125" customWidth="1"/>
    <col min="11" max="11" width="9.5703125" customWidth="1"/>
  </cols>
  <sheetData>
    <row r="1" spans="1:12">
      <c r="A1" t="s">
        <v>354</v>
      </c>
      <c r="D1" t="s">
        <v>610</v>
      </c>
    </row>
    <row r="3" spans="1:12">
      <c r="A3" t="s">
        <v>355</v>
      </c>
      <c r="C3" t="s">
        <v>356</v>
      </c>
      <c r="E3" t="s">
        <v>682</v>
      </c>
      <c r="F3" t="s">
        <v>357</v>
      </c>
    </row>
    <row r="4" spans="1:12">
      <c r="A4" s="247">
        <v>41793</v>
      </c>
      <c r="B4" t="s">
        <v>636</v>
      </c>
      <c r="C4" t="s">
        <v>637</v>
      </c>
      <c r="E4">
        <v>70</v>
      </c>
      <c r="F4" t="s">
        <v>683</v>
      </c>
    </row>
    <row r="5" spans="1:12">
      <c r="A5" t="s">
        <v>1155</v>
      </c>
      <c r="B5" t="s">
        <v>636</v>
      </c>
      <c r="C5" t="s">
        <v>637</v>
      </c>
      <c r="E5">
        <v>70</v>
      </c>
      <c r="F5" t="s">
        <v>683</v>
      </c>
    </row>
    <row r="6" spans="1:12">
      <c r="A6" t="s">
        <v>1156</v>
      </c>
      <c r="B6" t="s">
        <v>27</v>
      </c>
      <c r="C6" t="s">
        <v>635</v>
      </c>
      <c r="E6">
        <v>0</v>
      </c>
      <c r="F6" t="s">
        <v>691</v>
      </c>
    </row>
    <row r="7" spans="1:12">
      <c r="A7" s="247"/>
      <c r="B7" t="s">
        <v>636</v>
      </c>
      <c r="C7" t="s">
        <v>637</v>
      </c>
      <c r="E7">
        <v>70</v>
      </c>
      <c r="F7" t="s">
        <v>683</v>
      </c>
    </row>
    <row r="8" spans="1:12">
      <c r="B8" t="s">
        <v>27</v>
      </c>
      <c r="C8" t="s">
        <v>821</v>
      </c>
      <c r="E8">
        <v>0</v>
      </c>
      <c r="F8" t="s">
        <v>822</v>
      </c>
    </row>
    <row r="9" spans="1:12">
      <c r="B9" t="s">
        <v>27</v>
      </c>
      <c r="C9" t="s">
        <v>1082</v>
      </c>
      <c r="E9">
        <f>189*2</f>
        <v>378</v>
      </c>
      <c r="F9" t="s">
        <v>1138</v>
      </c>
    </row>
    <row r="10" spans="1:12">
      <c r="B10" t="s">
        <v>636</v>
      </c>
      <c r="C10" t="s">
        <v>1010</v>
      </c>
      <c r="E10">
        <v>135</v>
      </c>
      <c r="F10" t="s">
        <v>683</v>
      </c>
    </row>
    <row r="11" spans="1:12">
      <c r="B11" t="s">
        <v>358</v>
      </c>
      <c r="C11" t="s">
        <v>1082</v>
      </c>
      <c r="E11">
        <f>176*2</f>
        <v>352</v>
      </c>
      <c r="F11" t="s">
        <v>358</v>
      </c>
    </row>
    <row r="12" spans="1:12">
      <c r="B12" t="s">
        <v>358</v>
      </c>
      <c r="C12" t="s">
        <v>1083</v>
      </c>
      <c r="E12">
        <f>247*2</f>
        <v>494</v>
      </c>
      <c r="F12" t="s">
        <v>358</v>
      </c>
    </row>
    <row r="14" spans="1:12">
      <c r="A14" s="2" t="s">
        <v>611</v>
      </c>
    </row>
    <row r="15" spans="1:12">
      <c r="A15" s="252"/>
    </row>
    <row r="16" spans="1:12">
      <c r="A16" s="20" t="s">
        <v>612</v>
      </c>
      <c r="B16" s="254" t="s">
        <v>356</v>
      </c>
      <c r="C16" t="s">
        <v>613</v>
      </c>
      <c r="D16" s="253" t="s">
        <v>614</v>
      </c>
      <c r="E16" s="253" t="s">
        <v>615</v>
      </c>
      <c r="F16" t="s">
        <v>690</v>
      </c>
      <c r="G16" t="s">
        <v>690</v>
      </c>
      <c r="K16" t="s">
        <v>851</v>
      </c>
      <c r="L16" t="s">
        <v>846</v>
      </c>
    </row>
    <row r="17" spans="1:13">
      <c r="A17" t="s">
        <v>616</v>
      </c>
      <c r="B17" t="s">
        <v>617</v>
      </c>
      <c r="C17">
        <v>0</v>
      </c>
      <c r="D17" t="s">
        <v>618</v>
      </c>
      <c r="E17">
        <v>4</v>
      </c>
      <c r="G17">
        <v>0</v>
      </c>
      <c r="H17" t="s">
        <v>621</v>
      </c>
      <c r="K17" t="s">
        <v>847</v>
      </c>
      <c r="L17">
        <f>4*1877.68</f>
        <v>7510.72</v>
      </c>
    </row>
    <row r="18" spans="1:13">
      <c r="A18" t="s">
        <v>616</v>
      </c>
      <c r="B18" t="s">
        <v>617</v>
      </c>
      <c r="C18">
        <v>0</v>
      </c>
      <c r="D18" t="s">
        <v>618</v>
      </c>
      <c r="E18">
        <v>3</v>
      </c>
      <c r="G18">
        <v>0</v>
      </c>
      <c r="H18" t="s">
        <v>760</v>
      </c>
      <c r="K18" t="s">
        <v>848</v>
      </c>
      <c r="L18">
        <f>3*1877.68</f>
        <v>5633.04</v>
      </c>
    </row>
    <row r="19" spans="1:13">
      <c r="A19" t="s">
        <v>616</v>
      </c>
      <c r="B19" t="s">
        <v>617</v>
      </c>
      <c r="C19">
        <v>0</v>
      </c>
      <c r="D19" t="s">
        <v>618</v>
      </c>
      <c r="E19">
        <v>2</v>
      </c>
      <c r="G19">
        <v>0</v>
      </c>
      <c r="H19" t="s">
        <v>803</v>
      </c>
      <c r="K19" t="s">
        <v>849</v>
      </c>
      <c r="L19">
        <f>2*1877.68</f>
        <v>3755.36</v>
      </c>
      <c r="M19">
        <f>SUM(L17:L23)</f>
        <v>33798.239999999998</v>
      </c>
    </row>
    <row r="20" spans="1:13">
      <c r="A20" t="s">
        <v>616</v>
      </c>
      <c r="B20" t="s">
        <v>617</v>
      </c>
      <c r="C20">
        <v>0</v>
      </c>
      <c r="D20" t="s">
        <v>618</v>
      </c>
      <c r="E20">
        <v>2</v>
      </c>
      <c r="G20">
        <f>16*C20</f>
        <v>0</v>
      </c>
      <c r="H20" t="s">
        <v>804</v>
      </c>
      <c r="K20" t="s">
        <v>850</v>
      </c>
      <c r="L20">
        <f>2*1877.68</f>
        <v>3755.36</v>
      </c>
    </row>
    <row r="21" spans="1:13">
      <c r="A21" t="s">
        <v>616</v>
      </c>
      <c r="B21" t="s">
        <v>617</v>
      </c>
      <c r="C21">
        <v>0</v>
      </c>
      <c r="D21" t="s">
        <v>618</v>
      </c>
      <c r="E21">
        <v>2</v>
      </c>
      <c r="G21">
        <v>0</v>
      </c>
      <c r="H21" t="s">
        <v>891</v>
      </c>
      <c r="K21" t="s">
        <v>937</v>
      </c>
      <c r="L21">
        <f>2*1877.68</f>
        <v>3755.36</v>
      </c>
    </row>
    <row r="22" spans="1:13">
      <c r="A22" t="s">
        <v>616</v>
      </c>
      <c r="B22" t="s">
        <v>617</v>
      </c>
      <c r="C22">
        <v>0</v>
      </c>
      <c r="D22" t="s">
        <v>618</v>
      </c>
      <c r="E22">
        <v>2</v>
      </c>
      <c r="G22">
        <v>0</v>
      </c>
      <c r="H22" t="s">
        <v>925</v>
      </c>
      <c r="K22" t="s">
        <v>998</v>
      </c>
      <c r="L22">
        <f>2*1877.68</f>
        <v>3755.36</v>
      </c>
    </row>
    <row r="23" spans="1:13">
      <c r="A23" t="s">
        <v>616</v>
      </c>
      <c r="B23" t="s">
        <v>617</v>
      </c>
      <c r="C23">
        <v>0</v>
      </c>
      <c r="D23" t="s">
        <v>618</v>
      </c>
      <c r="E23">
        <v>3</v>
      </c>
      <c r="G23">
        <v>0</v>
      </c>
      <c r="H23" t="s">
        <v>892</v>
      </c>
      <c r="K23" t="s">
        <v>1005</v>
      </c>
      <c r="L23" s="245">
        <f>3*1877.68</f>
        <v>5633.04</v>
      </c>
    </row>
    <row r="24" spans="1:13">
      <c r="A24" t="s">
        <v>30</v>
      </c>
      <c r="B24" t="s">
        <v>619</v>
      </c>
      <c r="C24">
        <f>64*2</f>
        <v>128</v>
      </c>
      <c r="D24" t="s">
        <v>620</v>
      </c>
      <c r="E24">
        <v>1</v>
      </c>
      <c r="F24">
        <f>C24*16</f>
        <v>2048</v>
      </c>
      <c r="H24" t="s">
        <v>823</v>
      </c>
      <c r="L24">
        <f>8*311.68+0.01</f>
        <v>2493.4500000000003</v>
      </c>
      <c r="M24" t="s">
        <v>1133</v>
      </c>
    </row>
    <row r="25" spans="1:13">
      <c r="A25" t="s">
        <v>30</v>
      </c>
      <c r="B25" t="s">
        <v>619</v>
      </c>
      <c r="C25">
        <f>64*2</f>
        <v>128</v>
      </c>
      <c r="D25" t="s">
        <v>620</v>
      </c>
      <c r="E25">
        <v>1</v>
      </c>
      <c r="F25">
        <f>C25*16</f>
        <v>2048</v>
      </c>
      <c r="H25" t="s">
        <v>1000</v>
      </c>
      <c r="L25">
        <f>311.68+311.68+311.68+311.68+311.68+311.69+311.67+311.69</f>
        <v>2493.4500000000003</v>
      </c>
      <c r="M25" t="s">
        <v>1133</v>
      </c>
    </row>
    <row r="26" spans="1:13" ht="13.5" thickBot="1">
      <c r="E26" s="128">
        <f>SUM(E17:E25)</f>
        <v>20</v>
      </c>
    </row>
    <row r="27" spans="1:13" ht="13.5" thickTop="1">
      <c r="A27" s="2" t="s">
        <v>1022</v>
      </c>
    </row>
    <row r="29" spans="1:13">
      <c r="A29" t="s">
        <v>1020</v>
      </c>
      <c r="B29">
        <f>E4+E5+E7+E10</f>
        <v>345</v>
      </c>
    </row>
    <row r="30" spans="1:13">
      <c r="A30" t="s">
        <v>1084</v>
      </c>
      <c r="B30">
        <f>E9+E11+E12</f>
        <v>1224</v>
      </c>
    </row>
    <row r="31" spans="1:13">
      <c r="A31" t="s">
        <v>1021</v>
      </c>
      <c r="B31">
        <f>F24+F25</f>
        <v>4096</v>
      </c>
    </row>
    <row r="32" spans="1:13" ht="13.5" thickBot="1">
      <c r="B32" s="128">
        <f>SUM(B29:B31)</f>
        <v>5665</v>
      </c>
      <c r="C32" s="336">
        <f>B32*0.565</f>
        <v>3200.7249999999999</v>
      </c>
    </row>
    <row r="33" spans="1:6" ht="13.5" thickTop="1"/>
    <row r="34" spans="1:6">
      <c r="A34" s="2" t="s">
        <v>638</v>
      </c>
    </row>
    <row r="35" spans="1:6">
      <c r="A35" s="247">
        <v>41277</v>
      </c>
      <c r="B35" t="s">
        <v>1028</v>
      </c>
      <c r="C35">
        <v>1.5</v>
      </c>
      <c r="D35" t="s">
        <v>643</v>
      </c>
      <c r="F35" t="s">
        <v>648</v>
      </c>
    </row>
    <row r="36" spans="1:6">
      <c r="A36" s="247">
        <v>41435</v>
      </c>
      <c r="B36" t="s">
        <v>1029</v>
      </c>
      <c r="C36">
        <v>15</v>
      </c>
      <c r="D36" t="s">
        <v>643</v>
      </c>
      <c r="F36" t="s">
        <v>648</v>
      </c>
    </row>
    <row r="37" spans="1:6">
      <c r="A37" s="247" t="s">
        <v>1063</v>
      </c>
      <c r="B37" t="s">
        <v>640</v>
      </c>
      <c r="C37">
        <v>85</v>
      </c>
      <c r="D37" t="s">
        <v>1064</v>
      </c>
      <c r="F37" t="s">
        <v>648</v>
      </c>
    </row>
    <row r="38" spans="1:6">
      <c r="A38" s="247" t="s">
        <v>1065</v>
      </c>
      <c r="B38" t="s">
        <v>640</v>
      </c>
      <c r="C38">
        <v>85</v>
      </c>
      <c r="D38" t="s">
        <v>1064</v>
      </c>
      <c r="F38" t="s">
        <v>648</v>
      </c>
    </row>
    <row r="39" spans="1:6">
      <c r="A39" s="247" t="s">
        <v>1066</v>
      </c>
      <c r="B39" t="s">
        <v>640</v>
      </c>
      <c r="C39">
        <v>85</v>
      </c>
      <c r="D39" t="s">
        <v>1064</v>
      </c>
      <c r="F39" t="s">
        <v>648</v>
      </c>
    </row>
    <row r="40" spans="1:6">
      <c r="A40" s="247" t="s">
        <v>1067</v>
      </c>
      <c r="B40" t="s">
        <v>640</v>
      </c>
      <c r="C40">
        <v>85</v>
      </c>
      <c r="D40" t="s">
        <v>1064</v>
      </c>
      <c r="F40" t="s">
        <v>648</v>
      </c>
    </row>
    <row r="41" spans="1:6">
      <c r="A41" s="247" t="s">
        <v>876</v>
      </c>
      <c r="B41" t="s">
        <v>1068</v>
      </c>
      <c r="C41">
        <v>20</v>
      </c>
      <c r="D41" t="s">
        <v>642</v>
      </c>
      <c r="F41" t="s">
        <v>648</v>
      </c>
    </row>
    <row r="42" spans="1:6">
      <c r="A42" s="247" t="s">
        <v>1069</v>
      </c>
      <c r="B42" t="s">
        <v>640</v>
      </c>
      <c r="C42">
        <v>85</v>
      </c>
      <c r="D42" t="s">
        <v>1064</v>
      </c>
      <c r="F42" t="s">
        <v>648</v>
      </c>
    </row>
    <row r="43" spans="1:6">
      <c r="A43" s="247" t="s">
        <v>1034</v>
      </c>
      <c r="B43" t="s">
        <v>640</v>
      </c>
      <c r="C43">
        <v>85</v>
      </c>
      <c r="D43" t="s">
        <v>1064</v>
      </c>
      <c r="F43" t="s">
        <v>648</v>
      </c>
    </row>
    <row r="44" spans="1:6">
      <c r="A44" s="247">
        <v>41584</v>
      </c>
      <c r="B44" t="s">
        <v>640</v>
      </c>
      <c r="C44">
        <v>85</v>
      </c>
      <c r="D44" t="s">
        <v>1064</v>
      </c>
      <c r="F44" t="s">
        <v>648</v>
      </c>
    </row>
    <row r="45" spans="1:6">
      <c r="A45" s="247">
        <v>41614</v>
      </c>
      <c r="B45" t="s">
        <v>1070</v>
      </c>
      <c r="C45">
        <v>36</v>
      </c>
      <c r="D45" t="s">
        <v>1064</v>
      </c>
      <c r="F45" t="s">
        <v>648</v>
      </c>
    </row>
    <row r="46" spans="1:6">
      <c r="A46" s="247">
        <v>41493</v>
      </c>
      <c r="B46" t="s">
        <v>640</v>
      </c>
      <c r="C46">
        <v>85</v>
      </c>
      <c r="D46" t="s">
        <v>1064</v>
      </c>
      <c r="F46" t="s">
        <v>648</v>
      </c>
    </row>
    <row r="47" spans="1:6">
      <c r="A47" s="247" t="s">
        <v>1071</v>
      </c>
      <c r="B47" t="s">
        <v>640</v>
      </c>
      <c r="C47">
        <v>10</v>
      </c>
      <c r="D47" t="s">
        <v>1064</v>
      </c>
      <c r="F47" t="s">
        <v>648</v>
      </c>
    </row>
    <row r="48" spans="1:6">
      <c r="A48" s="247" t="s">
        <v>1041</v>
      </c>
      <c r="B48" t="s">
        <v>640</v>
      </c>
      <c r="C48">
        <v>85</v>
      </c>
      <c r="D48" t="s">
        <v>1064</v>
      </c>
      <c r="F48" t="s">
        <v>648</v>
      </c>
    </row>
    <row r="49" spans="1:6">
      <c r="A49" s="247" t="s">
        <v>1072</v>
      </c>
      <c r="B49" t="s">
        <v>640</v>
      </c>
      <c r="C49">
        <v>10</v>
      </c>
      <c r="D49" t="s">
        <v>1064</v>
      </c>
      <c r="F49" t="s">
        <v>648</v>
      </c>
    </row>
    <row r="50" spans="1:6">
      <c r="A50" s="247" t="s">
        <v>1076</v>
      </c>
      <c r="B50" t="s">
        <v>640</v>
      </c>
      <c r="C50">
        <v>85</v>
      </c>
      <c r="D50" t="s">
        <v>1064</v>
      </c>
      <c r="F50" t="s">
        <v>648</v>
      </c>
    </row>
    <row r="51" spans="1:6">
      <c r="A51" s="247">
        <v>41285</v>
      </c>
      <c r="B51" t="s">
        <v>1068</v>
      </c>
      <c r="C51">
        <v>10</v>
      </c>
      <c r="D51" t="s">
        <v>642</v>
      </c>
      <c r="F51" t="s">
        <v>648</v>
      </c>
    </row>
    <row r="52" spans="1:6">
      <c r="A52" s="247">
        <v>41436</v>
      </c>
      <c r="B52" t="s">
        <v>640</v>
      </c>
      <c r="C52">
        <v>85</v>
      </c>
      <c r="D52" t="s">
        <v>1064</v>
      </c>
      <c r="F52" t="s">
        <v>648</v>
      </c>
    </row>
    <row r="53" spans="1:6">
      <c r="A53" s="247" t="s">
        <v>1077</v>
      </c>
      <c r="B53" t="s">
        <v>640</v>
      </c>
      <c r="C53">
        <v>85</v>
      </c>
      <c r="D53" t="s">
        <v>1064</v>
      </c>
      <c r="F53" t="s">
        <v>648</v>
      </c>
    </row>
    <row r="54" spans="1:6">
      <c r="A54" s="247" t="s">
        <v>1078</v>
      </c>
      <c r="B54" t="s">
        <v>640</v>
      </c>
      <c r="C54">
        <v>85</v>
      </c>
      <c r="D54" t="s">
        <v>1064</v>
      </c>
      <c r="F54" t="s">
        <v>648</v>
      </c>
    </row>
    <row r="55" spans="1:6">
      <c r="A55" s="247" t="s">
        <v>990</v>
      </c>
      <c r="B55" t="s">
        <v>640</v>
      </c>
      <c r="C55">
        <v>85</v>
      </c>
      <c r="D55" t="s">
        <v>1064</v>
      </c>
      <c r="F55" t="s">
        <v>648</v>
      </c>
    </row>
    <row r="56" spans="1:6" ht="13.5" thickBot="1">
      <c r="C56" s="336">
        <f>SUM(C35:C55)</f>
        <v>1292.5</v>
      </c>
    </row>
    <row r="57" spans="1:6" ht="13.5" thickTop="1">
      <c r="A57" t="s">
        <v>1153</v>
      </c>
      <c r="B57">
        <f>SUM(C37:C55)</f>
        <v>1276</v>
      </c>
      <c r="D57" t="s">
        <v>1154</v>
      </c>
      <c r="E57">
        <f>C60+C65+C66+C67+C70+C75</f>
        <v>139.4</v>
      </c>
    </row>
    <row r="59" spans="1:6">
      <c r="A59" s="2" t="s">
        <v>644</v>
      </c>
    </row>
    <row r="60" spans="1:6">
      <c r="A60" t="s">
        <v>1147</v>
      </c>
      <c r="B60" t="s">
        <v>639</v>
      </c>
      <c r="C60">
        <v>15</v>
      </c>
      <c r="D60" t="s">
        <v>1148</v>
      </c>
      <c r="F60" t="s">
        <v>1149</v>
      </c>
    </row>
    <row r="61" spans="1:6">
      <c r="A61" s="247" t="s">
        <v>1057</v>
      </c>
      <c r="B61" t="s">
        <v>1058</v>
      </c>
      <c r="C61">
        <v>8</v>
      </c>
      <c r="D61" t="s">
        <v>643</v>
      </c>
      <c r="E61" t="s">
        <v>619</v>
      </c>
      <c r="F61" t="s">
        <v>648</v>
      </c>
    </row>
    <row r="62" spans="1:6">
      <c r="A62" s="247" t="s">
        <v>843</v>
      </c>
      <c r="B62" t="s">
        <v>1058</v>
      </c>
      <c r="C62">
        <v>6</v>
      </c>
      <c r="D62" t="s">
        <v>643</v>
      </c>
      <c r="E62" t="s">
        <v>619</v>
      </c>
      <c r="F62" t="s">
        <v>648</v>
      </c>
    </row>
    <row r="63" spans="1:6">
      <c r="A63" s="247">
        <v>41282</v>
      </c>
      <c r="B63" t="s">
        <v>1058</v>
      </c>
      <c r="C63">
        <v>40</v>
      </c>
      <c r="D63" t="s">
        <v>643</v>
      </c>
      <c r="E63" t="s">
        <v>619</v>
      </c>
      <c r="F63" t="s">
        <v>1146</v>
      </c>
    </row>
    <row r="64" spans="1:6">
      <c r="A64" s="247">
        <v>41525</v>
      </c>
      <c r="B64" t="s">
        <v>1060</v>
      </c>
      <c r="C64">
        <v>93.5</v>
      </c>
      <c r="D64" t="s">
        <v>1061</v>
      </c>
      <c r="E64" t="s">
        <v>1062</v>
      </c>
      <c r="F64" t="s">
        <v>1146</v>
      </c>
    </row>
    <row r="65" spans="1:6">
      <c r="A65" s="247">
        <v>41586</v>
      </c>
      <c r="B65" t="s">
        <v>639</v>
      </c>
      <c r="C65">
        <v>15</v>
      </c>
      <c r="D65" t="s">
        <v>1148</v>
      </c>
      <c r="F65" t="s">
        <v>1149</v>
      </c>
    </row>
    <row r="66" spans="1:6">
      <c r="A66" s="247" t="s">
        <v>1150</v>
      </c>
      <c r="B66" t="s">
        <v>639</v>
      </c>
      <c r="C66">
        <v>20.25</v>
      </c>
      <c r="D66" t="s">
        <v>1148</v>
      </c>
      <c r="F66" t="s">
        <v>1149</v>
      </c>
    </row>
    <row r="67" spans="1:6">
      <c r="A67" s="247" t="s">
        <v>1096</v>
      </c>
      <c r="B67" t="s">
        <v>639</v>
      </c>
      <c r="C67">
        <v>40</v>
      </c>
      <c r="D67" t="s">
        <v>1148</v>
      </c>
      <c r="F67" t="s">
        <v>1149</v>
      </c>
    </row>
    <row r="68" spans="1:6">
      <c r="A68" t="s">
        <v>1059</v>
      </c>
      <c r="B68" t="s">
        <v>1060</v>
      </c>
      <c r="C68">
        <v>93.5</v>
      </c>
      <c r="D68" t="s">
        <v>1061</v>
      </c>
      <c r="E68" t="s">
        <v>1062</v>
      </c>
      <c r="F68" t="s">
        <v>648</v>
      </c>
    </row>
    <row r="69" spans="1:6">
      <c r="A69" s="247" t="s">
        <v>1073</v>
      </c>
      <c r="B69" t="s">
        <v>1074</v>
      </c>
      <c r="C69">
        <v>73</v>
      </c>
      <c r="D69" t="s">
        <v>1075</v>
      </c>
      <c r="E69" t="s">
        <v>1082</v>
      </c>
      <c r="F69" t="s">
        <v>648</v>
      </c>
    </row>
    <row r="70" spans="1:6">
      <c r="A70" s="247">
        <v>41466</v>
      </c>
      <c r="B70" t="s">
        <v>639</v>
      </c>
      <c r="C70">
        <v>15.25</v>
      </c>
      <c r="D70" t="s">
        <v>1148</v>
      </c>
      <c r="F70" t="s">
        <v>1149</v>
      </c>
    </row>
    <row r="71" spans="1:6">
      <c r="A71" s="247" t="s">
        <v>1079</v>
      </c>
      <c r="B71" t="s">
        <v>1085</v>
      </c>
      <c r="C71">
        <v>20</v>
      </c>
      <c r="D71" t="s">
        <v>1086</v>
      </c>
      <c r="E71" t="s">
        <v>184</v>
      </c>
      <c r="F71" t="s">
        <v>648</v>
      </c>
    </row>
    <row r="72" spans="1:6">
      <c r="A72" s="247" t="s">
        <v>1079</v>
      </c>
      <c r="B72" t="s">
        <v>1080</v>
      </c>
      <c r="C72">
        <v>20</v>
      </c>
      <c r="D72" t="s">
        <v>642</v>
      </c>
      <c r="E72" t="s">
        <v>184</v>
      </c>
      <c r="F72" t="s">
        <v>648</v>
      </c>
    </row>
    <row r="73" spans="1:6">
      <c r="A73" s="247" t="s">
        <v>1079</v>
      </c>
      <c r="B73" t="s">
        <v>1080</v>
      </c>
      <c r="C73">
        <v>10</v>
      </c>
      <c r="D73" t="s">
        <v>642</v>
      </c>
      <c r="E73" t="s">
        <v>184</v>
      </c>
      <c r="F73" t="s">
        <v>648</v>
      </c>
    </row>
    <row r="74" spans="1:6">
      <c r="A74" s="247" t="s">
        <v>1081</v>
      </c>
      <c r="B74" t="s">
        <v>1080</v>
      </c>
      <c r="C74">
        <v>10</v>
      </c>
      <c r="D74" t="s">
        <v>642</v>
      </c>
      <c r="E74" t="s">
        <v>184</v>
      </c>
      <c r="F74" t="s">
        <v>648</v>
      </c>
    </row>
    <row r="75" spans="1:6">
      <c r="A75" s="247" t="s">
        <v>1081</v>
      </c>
      <c r="B75" t="s">
        <v>639</v>
      </c>
      <c r="C75">
        <v>33.9</v>
      </c>
      <c r="D75" t="s">
        <v>1148</v>
      </c>
      <c r="F75" t="s">
        <v>1149</v>
      </c>
    </row>
    <row r="76" spans="1:6" ht="13.5" thickBot="1">
      <c r="C76" s="336">
        <f>SUM(C61:C74)</f>
        <v>464.5</v>
      </c>
    </row>
    <row r="77" spans="1:6" ht="13.5" thickTop="1"/>
    <row r="78" spans="1:6">
      <c r="A78" s="2" t="s">
        <v>645</v>
      </c>
    </row>
    <row r="79" spans="1:6" ht="13.5" thickBot="1">
      <c r="B79" s="2" t="s">
        <v>646</v>
      </c>
      <c r="C79" s="336">
        <f>E80+E97+E114+E150+E168</f>
        <v>6122.8033333299991</v>
      </c>
    </row>
    <row r="80" spans="1:6" ht="13.5" thickTop="1">
      <c r="A80" s="2" t="s">
        <v>647</v>
      </c>
      <c r="E80">
        <f>SUM(C81:C95)</f>
        <v>1001.2300000000001</v>
      </c>
    </row>
    <row r="81" spans="1:6">
      <c r="A81" s="247">
        <v>41365</v>
      </c>
      <c r="B81" t="s">
        <v>380</v>
      </c>
      <c r="C81">
        <v>75.38</v>
      </c>
      <c r="D81" t="s">
        <v>92</v>
      </c>
      <c r="F81" t="s">
        <v>648</v>
      </c>
    </row>
    <row r="82" spans="1:6">
      <c r="A82" s="247">
        <v>41366</v>
      </c>
      <c r="B82" t="s">
        <v>380</v>
      </c>
      <c r="C82">
        <v>71.69</v>
      </c>
      <c r="D82" t="s">
        <v>92</v>
      </c>
      <c r="F82" t="s">
        <v>648</v>
      </c>
    </row>
    <row r="83" spans="1:6">
      <c r="A83" s="247">
        <v>41336</v>
      </c>
      <c r="B83" t="s">
        <v>380</v>
      </c>
      <c r="C83">
        <v>72.33</v>
      </c>
      <c r="D83" t="s">
        <v>92</v>
      </c>
      <c r="F83" t="s">
        <v>648</v>
      </c>
    </row>
    <row r="84" spans="1:6">
      <c r="A84" s="247">
        <v>41337</v>
      </c>
      <c r="B84" t="s">
        <v>380</v>
      </c>
      <c r="C84">
        <v>73.260000000000005</v>
      </c>
      <c r="D84" t="s">
        <v>92</v>
      </c>
      <c r="F84" t="s">
        <v>648</v>
      </c>
    </row>
    <row r="85" spans="1:6">
      <c r="A85" s="247">
        <v>41338</v>
      </c>
      <c r="B85" t="s">
        <v>380</v>
      </c>
      <c r="C85">
        <v>71.77</v>
      </c>
      <c r="D85" t="s">
        <v>92</v>
      </c>
      <c r="F85" t="s">
        <v>648</v>
      </c>
    </row>
    <row r="86" spans="1:6">
      <c r="A86" s="247">
        <v>41339</v>
      </c>
      <c r="B86" t="s">
        <v>380</v>
      </c>
      <c r="C86">
        <v>73.989999999999995</v>
      </c>
      <c r="D86" t="s">
        <v>92</v>
      </c>
      <c r="F86" t="s">
        <v>648</v>
      </c>
    </row>
    <row r="87" spans="1:6">
      <c r="A87" s="247">
        <v>41340</v>
      </c>
      <c r="B87" t="s">
        <v>380</v>
      </c>
      <c r="C87">
        <v>76.489999999999995</v>
      </c>
      <c r="D87" t="s">
        <v>92</v>
      </c>
      <c r="F87" t="s">
        <v>648</v>
      </c>
    </row>
    <row r="88" spans="1:6">
      <c r="A88" s="247">
        <v>41372</v>
      </c>
      <c r="B88" t="s">
        <v>380</v>
      </c>
      <c r="C88">
        <v>73.319999999999993</v>
      </c>
      <c r="D88" t="s">
        <v>92</v>
      </c>
      <c r="F88" t="s">
        <v>648</v>
      </c>
    </row>
    <row r="89" spans="1:6">
      <c r="A89" s="247">
        <v>41342</v>
      </c>
      <c r="B89" t="s">
        <v>380</v>
      </c>
      <c r="C89">
        <v>77.87</v>
      </c>
      <c r="D89" t="s">
        <v>92</v>
      </c>
      <c r="F89" t="s">
        <v>648</v>
      </c>
    </row>
    <row r="90" spans="1:6">
      <c r="A90" s="247">
        <v>41343</v>
      </c>
      <c r="B90" t="s">
        <v>380</v>
      </c>
      <c r="C90">
        <v>73.08</v>
      </c>
      <c r="D90" t="s">
        <v>92</v>
      </c>
      <c r="F90" t="s">
        <v>648</v>
      </c>
    </row>
    <row r="91" spans="1:6">
      <c r="A91" s="247">
        <v>41344</v>
      </c>
      <c r="B91" t="s">
        <v>380</v>
      </c>
      <c r="C91">
        <v>68.23</v>
      </c>
      <c r="D91" t="s">
        <v>92</v>
      </c>
      <c r="F91" t="s">
        <v>648</v>
      </c>
    </row>
    <row r="92" spans="1:6">
      <c r="A92" s="247">
        <v>41345</v>
      </c>
      <c r="B92" t="s">
        <v>380</v>
      </c>
      <c r="C92">
        <v>73.83</v>
      </c>
      <c r="D92" t="s">
        <v>92</v>
      </c>
      <c r="F92" t="s">
        <v>648</v>
      </c>
    </row>
    <row r="93" spans="1:6">
      <c r="A93" s="247">
        <v>41559</v>
      </c>
      <c r="B93" t="s">
        <v>380</v>
      </c>
      <c r="C93">
        <v>99.99</v>
      </c>
      <c r="D93" t="s">
        <v>1027</v>
      </c>
      <c r="F93" t="s">
        <v>648</v>
      </c>
    </row>
    <row r="94" spans="1:6">
      <c r="A94" s="247" t="s">
        <v>1093</v>
      </c>
      <c r="B94" t="s">
        <v>652</v>
      </c>
      <c r="C94">
        <v>10</v>
      </c>
      <c r="D94" t="s">
        <v>1094</v>
      </c>
      <c r="F94" t="s">
        <v>648</v>
      </c>
    </row>
    <row r="95" spans="1:6">
      <c r="A95" s="247" t="s">
        <v>1095</v>
      </c>
      <c r="B95" t="s">
        <v>652</v>
      </c>
      <c r="C95">
        <v>10</v>
      </c>
      <c r="D95" t="s">
        <v>1094</v>
      </c>
      <c r="F95" t="s">
        <v>648</v>
      </c>
    </row>
    <row r="96" spans="1:6">
      <c r="A96" s="247"/>
    </row>
    <row r="97" spans="1:6">
      <c r="A97" s="2" t="s">
        <v>649</v>
      </c>
      <c r="E97">
        <f>SUM(C98:C112)</f>
        <v>1116.6900000000003</v>
      </c>
    </row>
    <row r="98" spans="1:6">
      <c r="A98" s="247">
        <v>41334</v>
      </c>
      <c r="B98" t="s">
        <v>650</v>
      </c>
      <c r="C98">
        <v>62.97</v>
      </c>
      <c r="D98" t="s">
        <v>651</v>
      </c>
      <c r="F98" t="s">
        <v>641</v>
      </c>
    </row>
    <row r="99" spans="1:6">
      <c r="A99" s="247">
        <v>41335</v>
      </c>
      <c r="B99" t="s">
        <v>650</v>
      </c>
      <c r="C99">
        <v>62.97</v>
      </c>
      <c r="D99" t="s">
        <v>651</v>
      </c>
      <c r="F99" t="s">
        <v>641</v>
      </c>
    </row>
    <row r="100" spans="1:6">
      <c r="A100" s="247">
        <v>41336</v>
      </c>
      <c r="B100" t="s">
        <v>650</v>
      </c>
      <c r="C100">
        <v>65.97</v>
      </c>
      <c r="D100" t="s">
        <v>651</v>
      </c>
      <c r="F100" t="s">
        <v>641</v>
      </c>
    </row>
    <row r="101" spans="1:6">
      <c r="A101" s="247">
        <v>41337</v>
      </c>
      <c r="B101" t="s">
        <v>650</v>
      </c>
      <c r="C101">
        <v>65.97</v>
      </c>
      <c r="D101" t="s">
        <v>651</v>
      </c>
      <c r="F101" t="s">
        <v>641</v>
      </c>
    </row>
    <row r="102" spans="1:6">
      <c r="A102" s="247">
        <v>41338</v>
      </c>
      <c r="B102" t="s">
        <v>650</v>
      </c>
      <c r="C102">
        <v>65.97</v>
      </c>
      <c r="D102" t="s">
        <v>651</v>
      </c>
      <c r="F102" t="s">
        <v>641</v>
      </c>
    </row>
    <row r="103" spans="1:6">
      <c r="A103" s="247">
        <v>41311</v>
      </c>
      <c r="B103" t="s">
        <v>650</v>
      </c>
      <c r="C103">
        <v>65.97</v>
      </c>
      <c r="D103" t="s">
        <v>651</v>
      </c>
      <c r="F103" t="s">
        <v>641</v>
      </c>
    </row>
    <row r="104" spans="1:6">
      <c r="A104" s="247">
        <v>41340</v>
      </c>
      <c r="B104" t="s">
        <v>650</v>
      </c>
      <c r="C104">
        <v>65.97</v>
      </c>
      <c r="D104" t="s">
        <v>651</v>
      </c>
      <c r="F104" t="s">
        <v>641</v>
      </c>
    </row>
    <row r="105" spans="1:6">
      <c r="A105" s="247">
        <v>41341</v>
      </c>
      <c r="B105" t="s">
        <v>650</v>
      </c>
      <c r="C105">
        <v>67.180000000000007</v>
      </c>
      <c r="D105" t="s">
        <v>651</v>
      </c>
      <c r="F105" t="s">
        <v>641</v>
      </c>
    </row>
    <row r="106" spans="1:6">
      <c r="A106" s="247">
        <v>41314</v>
      </c>
      <c r="B106" t="s">
        <v>650</v>
      </c>
      <c r="C106">
        <v>67.180000000000007</v>
      </c>
      <c r="D106" t="s">
        <v>651</v>
      </c>
      <c r="F106" t="s">
        <v>641</v>
      </c>
    </row>
    <row r="107" spans="1:6">
      <c r="A107" s="247">
        <v>41343</v>
      </c>
      <c r="B107" t="s">
        <v>650</v>
      </c>
      <c r="C107">
        <v>67.180000000000007</v>
      </c>
      <c r="D107" t="s">
        <v>651</v>
      </c>
      <c r="F107" t="s">
        <v>641</v>
      </c>
    </row>
    <row r="108" spans="1:6">
      <c r="A108" s="247">
        <v>41316</v>
      </c>
      <c r="B108" t="s">
        <v>650</v>
      </c>
      <c r="C108">
        <v>67.180000000000007</v>
      </c>
      <c r="D108" t="s">
        <v>651</v>
      </c>
      <c r="F108" t="s">
        <v>641</v>
      </c>
    </row>
    <row r="109" spans="1:6">
      <c r="A109" s="247">
        <v>41345</v>
      </c>
      <c r="B109" t="s">
        <v>650</v>
      </c>
      <c r="C109">
        <v>67.180000000000007</v>
      </c>
      <c r="D109" t="s">
        <v>651</v>
      </c>
      <c r="F109" t="s">
        <v>641</v>
      </c>
    </row>
    <row r="110" spans="1:6">
      <c r="A110" s="247">
        <v>41620</v>
      </c>
      <c r="B110" t="s">
        <v>675</v>
      </c>
      <c r="C110">
        <v>175</v>
      </c>
      <c r="D110" t="s">
        <v>1104</v>
      </c>
      <c r="F110" t="s">
        <v>641</v>
      </c>
    </row>
    <row r="111" spans="1:6">
      <c r="A111" s="247" t="s">
        <v>998</v>
      </c>
      <c r="B111" t="s">
        <v>929</v>
      </c>
      <c r="C111">
        <v>90</v>
      </c>
      <c r="D111" t="s">
        <v>1104</v>
      </c>
      <c r="F111" t="s">
        <v>641</v>
      </c>
    </row>
    <row r="112" spans="1:6">
      <c r="A112" s="247" t="s">
        <v>1054</v>
      </c>
      <c r="B112" t="s">
        <v>1103</v>
      </c>
      <c r="C112">
        <v>60</v>
      </c>
      <c r="D112" t="s">
        <v>1104</v>
      </c>
      <c r="F112" t="s">
        <v>641</v>
      </c>
    </row>
    <row r="113" spans="1:6">
      <c r="A113" s="247"/>
    </row>
    <row r="114" spans="1:6">
      <c r="A114" s="2" t="s">
        <v>1023</v>
      </c>
      <c r="E114">
        <f>SUM(C115:C148)</f>
        <v>2491.5499999999993</v>
      </c>
    </row>
    <row r="115" spans="1:6">
      <c r="A115" s="247">
        <v>41397</v>
      </c>
      <c r="B115" t="s">
        <v>653</v>
      </c>
      <c r="C115">
        <v>11.39</v>
      </c>
      <c r="D115" t="s">
        <v>654</v>
      </c>
      <c r="F115" t="s">
        <v>655</v>
      </c>
    </row>
    <row r="116" spans="1:6">
      <c r="A116" t="s">
        <v>1030</v>
      </c>
      <c r="B116" t="s">
        <v>653</v>
      </c>
      <c r="C116">
        <v>44.91</v>
      </c>
      <c r="D116" t="s">
        <v>654</v>
      </c>
      <c r="F116" t="s">
        <v>655</v>
      </c>
    </row>
    <row r="117" spans="1:6">
      <c r="A117" t="s">
        <v>1031</v>
      </c>
      <c r="B117" t="s">
        <v>653</v>
      </c>
      <c r="C117">
        <v>18.989999999999998</v>
      </c>
      <c r="D117" t="s">
        <v>654</v>
      </c>
      <c r="F117" t="s">
        <v>655</v>
      </c>
    </row>
    <row r="118" spans="1:6">
      <c r="A118" t="s">
        <v>1031</v>
      </c>
      <c r="B118" t="s">
        <v>653</v>
      </c>
      <c r="C118">
        <v>36.090000000000003</v>
      </c>
      <c r="D118" t="s">
        <v>654</v>
      </c>
      <c r="F118" t="s">
        <v>655</v>
      </c>
    </row>
    <row r="119" spans="1:6">
      <c r="A119" s="247">
        <v>41278</v>
      </c>
      <c r="B119" t="s">
        <v>1089</v>
      </c>
      <c r="C119">
        <v>587.5</v>
      </c>
      <c r="D119" t="s">
        <v>1090</v>
      </c>
      <c r="F119" t="s">
        <v>655</v>
      </c>
    </row>
    <row r="120" spans="1:6">
      <c r="A120" t="s">
        <v>1087</v>
      </c>
      <c r="B120" t="s">
        <v>656</v>
      </c>
      <c r="C120">
        <v>1094.8499999999999</v>
      </c>
      <c r="D120" t="s">
        <v>1088</v>
      </c>
      <c r="F120" t="s">
        <v>655</v>
      </c>
    </row>
    <row r="121" spans="1:6">
      <c r="A121" s="247">
        <v>41431</v>
      </c>
      <c r="B121" t="s">
        <v>653</v>
      </c>
      <c r="C121">
        <v>31.7</v>
      </c>
      <c r="D121" t="s">
        <v>654</v>
      </c>
      <c r="F121" t="s">
        <v>655</v>
      </c>
    </row>
    <row r="122" spans="1:6">
      <c r="A122" t="s">
        <v>1037</v>
      </c>
      <c r="B122" t="s">
        <v>1038</v>
      </c>
      <c r="C122">
        <v>78.97</v>
      </c>
      <c r="D122" t="s">
        <v>1039</v>
      </c>
      <c r="F122" t="s">
        <v>641</v>
      </c>
    </row>
    <row r="123" spans="1:6">
      <c r="A123" s="247">
        <v>41281</v>
      </c>
      <c r="B123" t="s">
        <v>653</v>
      </c>
      <c r="C123">
        <v>4</v>
      </c>
      <c r="D123" t="s">
        <v>654</v>
      </c>
      <c r="F123" t="s">
        <v>641</v>
      </c>
    </row>
    <row r="124" spans="1:6">
      <c r="A124" s="247">
        <v>41282</v>
      </c>
      <c r="B124" t="s">
        <v>1040</v>
      </c>
      <c r="C124">
        <v>21.05</v>
      </c>
      <c r="D124" t="s">
        <v>654</v>
      </c>
      <c r="F124" t="s">
        <v>641</v>
      </c>
    </row>
    <row r="125" spans="1:6">
      <c r="A125" s="247" t="s">
        <v>1041</v>
      </c>
      <c r="B125" t="s">
        <v>1042</v>
      </c>
      <c r="C125">
        <v>49.65</v>
      </c>
      <c r="D125" t="s">
        <v>654</v>
      </c>
      <c r="F125" t="s">
        <v>641</v>
      </c>
    </row>
    <row r="126" spans="1:6">
      <c r="A126" t="s">
        <v>1045</v>
      </c>
      <c r="B126" t="s">
        <v>1043</v>
      </c>
      <c r="C126">
        <v>4.99</v>
      </c>
      <c r="D126" t="s">
        <v>1044</v>
      </c>
      <c r="F126" t="s">
        <v>641</v>
      </c>
    </row>
    <row r="127" spans="1:6">
      <c r="A127" s="247">
        <v>41403</v>
      </c>
      <c r="B127" t="s">
        <v>1038</v>
      </c>
      <c r="C127">
        <v>92.37</v>
      </c>
      <c r="D127" t="s">
        <v>654</v>
      </c>
      <c r="F127" t="s">
        <v>641</v>
      </c>
    </row>
    <row r="128" spans="1:6">
      <c r="A128" s="247" t="s">
        <v>1046</v>
      </c>
      <c r="B128" t="s">
        <v>653</v>
      </c>
      <c r="C128">
        <v>8.2200000000000006</v>
      </c>
      <c r="D128" t="s">
        <v>654</v>
      </c>
      <c r="F128" t="s">
        <v>641</v>
      </c>
    </row>
    <row r="129" spans="1:6">
      <c r="A129" s="247" t="s">
        <v>1096</v>
      </c>
      <c r="B129" t="s">
        <v>1097</v>
      </c>
      <c r="C129">
        <v>96</v>
      </c>
      <c r="D129" t="s">
        <v>1098</v>
      </c>
      <c r="F129" t="s">
        <v>641</v>
      </c>
    </row>
    <row r="130" spans="1:6">
      <c r="A130" s="247" t="s">
        <v>1047</v>
      </c>
      <c r="B130" t="s">
        <v>653</v>
      </c>
      <c r="C130">
        <v>4</v>
      </c>
      <c r="D130" t="s">
        <v>654</v>
      </c>
      <c r="F130" t="s">
        <v>641</v>
      </c>
    </row>
    <row r="131" spans="1:6">
      <c r="A131" s="247" t="s">
        <v>1048</v>
      </c>
      <c r="B131" t="s">
        <v>653</v>
      </c>
      <c r="C131">
        <v>30.85</v>
      </c>
      <c r="D131" t="s">
        <v>654</v>
      </c>
      <c r="F131" t="s">
        <v>641</v>
      </c>
    </row>
    <row r="132" spans="1:6">
      <c r="A132" s="247">
        <v>41343</v>
      </c>
      <c r="B132" t="s">
        <v>653</v>
      </c>
      <c r="C132">
        <v>4.83</v>
      </c>
      <c r="D132" t="s">
        <v>654</v>
      </c>
      <c r="F132" t="s">
        <v>641</v>
      </c>
    </row>
    <row r="133" spans="1:6">
      <c r="A133" s="247">
        <v>41465</v>
      </c>
      <c r="B133" t="s">
        <v>1038</v>
      </c>
      <c r="C133">
        <v>30.48</v>
      </c>
      <c r="D133" t="s">
        <v>654</v>
      </c>
      <c r="F133" t="s">
        <v>641</v>
      </c>
    </row>
    <row r="134" spans="1:6">
      <c r="A134" s="247">
        <v>41557</v>
      </c>
      <c r="B134" t="s">
        <v>653</v>
      </c>
      <c r="C134">
        <v>6.68</v>
      </c>
      <c r="D134" t="s">
        <v>654</v>
      </c>
      <c r="F134" t="s">
        <v>641</v>
      </c>
    </row>
    <row r="135" spans="1:6">
      <c r="A135" s="247" t="s">
        <v>1049</v>
      </c>
      <c r="B135" t="s">
        <v>653</v>
      </c>
      <c r="C135">
        <v>8.8800000000000008</v>
      </c>
      <c r="D135" t="s">
        <v>654</v>
      </c>
      <c r="F135" t="s">
        <v>641</v>
      </c>
    </row>
    <row r="136" spans="1:6">
      <c r="A136" s="247" t="s">
        <v>1050</v>
      </c>
      <c r="B136" t="s">
        <v>653</v>
      </c>
      <c r="C136">
        <v>6.22</v>
      </c>
      <c r="D136" t="s">
        <v>654</v>
      </c>
      <c r="F136" t="s">
        <v>641</v>
      </c>
    </row>
    <row r="137" spans="1:6">
      <c r="A137" s="247" t="s">
        <v>1100</v>
      </c>
      <c r="B137" t="s">
        <v>1101</v>
      </c>
      <c r="C137">
        <v>50</v>
      </c>
      <c r="D137" t="s">
        <v>1102</v>
      </c>
      <c r="F137" t="s">
        <v>641</v>
      </c>
    </row>
    <row r="138" spans="1:6">
      <c r="A138" s="247">
        <v>41497</v>
      </c>
      <c r="B138" t="s">
        <v>1040</v>
      </c>
      <c r="C138">
        <v>42.52</v>
      </c>
      <c r="D138" t="s">
        <v>654</v>
      </c>
      <c r="F138" t="s">
        <v>641</v>
      </c>
    </row>
    <row r="139" spans="1:6">
      <c r="A139" s="247" t="s">
        <v>1051</v>
      </c>
      <c r="B139" t="s">
        <v>653</v>
      </c>
      <c r="C139">
        <v>11.71</v>
      </c>
      <c r="D139" t="s">
        <v>654</v>
      </c>
      <c r="F139" t="s">
        <v>641</v>
      </c>
    </row>
    <row r="140" spans="1:6">
      <c r="A140" s="247" t="s">
        <v>1052</v>
      </c>
      <c r="B140" t="s">
        <v>653</v>
      </c>
      <c r="C140">
        <v>13.95</v>
      </c>
      <c r="D140" t="s">
        <v>654</v>
      </c>
      <c r="F140" t="s">
        <v>641</v>
      </c>
    </row>
    <row r="141" spans="1:6">
      <c r="A141" s="247" t="s">
        <v>1052</v>
      </c>
      <c r="B141" t="s">
        <v>653</v>
      </c>
      <c r="C141">
        <v>29.07</v>
      </c>
      <c r="D141" t="s">
        <v>654</v>
      </c>
      <c r="F141" t="s">
        <v>641</v>
      </c>
    </row>
    <row r="142" spans="1:6">
      <c r="A142" s="247" t="s">
        <v>952</v>
      </c>
      <c r="B142" t="s">
        <v>653</v>
      </c>
      <c r="C142">
        <v>6.35</v>
      </c>
      <c r="D142" t="s">
        <v>654</v>
      </c>
      <c r="F142" t="s">
        <v>641</v>
      </c>
    </row>
    <row r="143" spans="1:6">
      <c r="A143" s="247" t="s">
        <v>952</v>
      </c>
      <c r="B143" t="s">
        <v>653</v>
      </c>
      <c r="C143">
        <v>6.32</v>
      </c>
      <c r="D143" t="s">
        <v>654</v>
      </c>
      <c r="F143" t="s">
        <v>641</v>
      </c>
    </row>
    <row r="144" spans="1:6">
      <c r="A144" s="247">
        <v>41620</v>
      </c>
      <c r="B144" t="s">
        <v>653</v>
      </c>
      <c r="C144">
        <v>4.87</v>
      </c>
      <c r="D144" t="s">
        <v>1053</v>
      </c>
      <c r="F144" t="s">
        <v>641</v>
      </c>
    </row>
    <row r="145" spans="1:6">
      <c r="A145" s="247">
        <v>41620</v>
      </c>
      <c r="B145" t="s">
        <v>653</v>
      </c>
      <c r="C145">
        <v>22.05</v>
      </c>
      <c r="D145" t="s">
        <v>654</v>
      </c>
      <c r="F145" t="s">
        <v>641</v>
      </c>
    </row>
    <row r="146" spans="1:6">
      <c r="A146" s="247">
        <v>41620</v>
      </c>
      <c r="B146" t="s">
        <v>653</v>
      </c>
      <c r="C146">
        <v>4</v>
      </c>
      <c r="D146" t="s">
        <v>654</v>
      </c>
      <c r="F146" t="s">
        <v>641</v>
      </c>
    </row>
    <row r="147" spans="1:6">
      <c r="A147" s="247" t="s">
        <v>1056</v>
      </c>
      <c r="B147" t="s">
        <v>653</v>
      </c>
      <c r="C147">
        <v>16.350000000000001</v>
      </c>
      <c r="D147" t="s">
        <v>654</v>
      </c>
      <c r="F147" t="s">
        <v>641</v>
      </c>
    </row>
    <row r="148" spans="1:6">
      <c r="A148" s="247" t="s">
        <v>1056</v>
      </c>
      <c r="B148" t="s">
        <v>653</v>
      </c>
      <c r="C148">
        <v>11.74</v>
      </c>
      <c r="D148" t="s">
        <v>654</v>
      </c>
      <c r="F148" t="s">
        <v>641</v>
      </c>
    </row>
    <row r="149" spans="1:6">
      <c r="A149" s="247"/>
    </row>
    <row r="150" spans="1:6">
      <c r="A150" s="2" t="s">
        <v>657</v>
      </c>
      <c r="E150">
        <f>SUM(C151:C166)</f>
        <v>1152.67</v>
      </c>
    </row>
    <row r="151" spans="1:6">
      <c r="A151" s="247">
        <v>41395</v>
      </c>
      <c r="B151" t="s">
        <v>658</v>
      </c>
      <c r="C151">
        <v>2.7</v>
      </c>
      <c r="D151" t="s">
        <v>659</v>
      </c>
      <c r="F151" t="s">
        <v>641</v>
      </c>
    </row>
    <row r="152" spans="1:6">
      <c r="A152" s="247">
        <v>41395</v>
      </c>
      <c r="B152" t="s">
        <v>658</v>
      </c>
      <c r="C152">
        <v>22.99</v>
      </c>
      <c r="D152" t="s">
        <v>1033</v>
      </c>
      <c r="F152" t="s">
        <v>641</v>
      </c>
    </row>
    <row r="153" spans="1:6">
      <c r="A153" t="s">
        <v>1032</v>
      </c>
      <c r="B153" t="s">
        <v>658</v>
      </c>
      <c r="C153">
        <v>51.99</v>
      </c>
      <c r="D153" t="s">
        <v>660</v>
      </c>
      <c r="F153" t="s">
        <v>641</v>
      </c>
    </row>
    <row r="154" spans="1:6">
      <c r="A154" t="s">
        <v>1034</v>
      </c>
      <c r="B154" t="s">
        <v>658</v>
      </c>
      <c r="C154">
        <v>3.59</v>
      </c>
      <c r="D154" t="s">
        <v>1035</v>
      </c>
      <c r="F154" t="s">
        <v>641</v>
      </c>
    </row>
    <row r="155" spans="1:6">
      <c r="A155" t="s">
        <v>784</v>
      </c>
      <c r="B155" t="s">
        <v>658</v>
      </c>
      <c r="C155">
        <v>17.989999999999998</v>
      </c>
      <c r="D155" t="s">
        <v>1036</v>
      </c>
      <c r="F155" t="s">
        <v>641</v>
      </c>
    </row>
    <row r="156" spans="1:6">
      <c r="A156" s="247">
        <v>41589</v>
      </c>
      <c r="B156" t="s">
        <v>658</v>
      </c>
      <c r="C156">
        <v>28.99</v>
      </c>
      <c r="D156" t="s">
        <v>662</v>
      </c>
      <c r="F156" t="s">
        <v>641</v>
      </c>
    </row>
    <row r="157" spans="1:6">
      <c r="A157" t="s">
        <v>1054</v>
      </c>
      <c r="B157" t="s">
        <v>658</v>
      </c>
      <c r="C157">
        <v>75.98</v>
      </c>
      <c r="D157" t="s">
        <v>660</v>
      </c>
      <c r="F157" t="s">
        <v>641</v>
      </c>
    </row>
    <row r="158" spans="1:6">
      <c r="A158" t="s">
        <v>1055</v>
      </c>
      <c r="B158" t="s">
        <v>658</v>
      </c>
      <c r="C158">
        <v>143.49</v>
      </c>
      <c r="D158" t="s">
        <v>660</v>
      </c>
      <c r="F158" t="s">
        <v>641</v>
      </c>
    </row>
    <row r="159" spans="1:6">
      <c r="A159" t="s">
        <v>1055</v>
      </c>
      <c r="B159" t="s">
        <v>1151</v>
      </c>
      <c r="C159">
        <v>728</v>
      </c>
      <c r="D159" t="s">
        <v>1152</v>
      </c>
      <c r="F159" t="s">
        <v>641</v>
      </c>
    </row>
    <row r="160" spans="1:6">
      <c r="A160" t="s">
        <v>1091</v>
      </c>
      <c r="B160" t="s">
        <v>661</v>
      </c>
      <c r="C160">
        <v>1</v>
      </c>
      <c r="D160" t="s">
        <v>1092</v>
      </c>
      <c r="F160" t="s">
        <v>641</v>
      </c>
    </row>
    <row r="161" spans="1:6">
      <c r="A161" s="247">
        <v>41281</v>
      </c>
      <c r="B161" t="s">
        <v>661</v>
      </c>
      <c r="C161">
        <v>22.04</v>
      </c>
      <c r="D161" t="s">
        <v>1092</v>
      </c>
      <c r="F161" t="s">
        <v>641</v>
      </c>
    </row>
    <row r="162" spans="1:6">
      <c r="A162" s="247">
        <v>41281</v>
      </c>
      <c r="B162" t="s">
        <v>661</v>
      </c>
      <c r="C162">
        <v>18.2</v>
      </c>
      <c r="D162" t="s">
        <v>1092</v>
      </c>
      <c r="F162" t="s">
        <v>641</v>
      </c>
    </row>
    <row r="163" spans="1:6">
      <c r="A163" s="247">
        <v>41554</v>
      </c>
      <c r="B163" t="s">
        <v>661</v>
      </c>
      <c r="C163">
        <v>1.1200000000000001</v>
      </c>
      <c r="D163" t="s">
        <v>1092</v>
      </c>
      <c r="F163" t="s">
        <v>641</v>
      </c>
    </row>
    <row r="164" spans="1:6">
      <c r="A164" s="247" t="s">
        <v>1096</v>
      </c>
      <c r="B164" t="s">
        <v>661</v>
      </c>
      <c r="C164">
        <v>27.89</v>
      </c>
      <c r="D164" t="s">
        <v>1092</v>
      </c>
      <c r="F164" t="s">
        <v>641</v>
      </c>
    </row>
    <row r="165" spans="1:6">
      <c r="A165" s="247" t="s">
        <v>1099</v>
      </c>
      <c r="B165" t="s">
        <v>661</v>
      </c>
      <c r="C165">
        <v>5.32</v>
      </c>
      <c r="D165" t="s">
        <v>1092</v>
      </c>
      <c r="F165" t="s">
        <v>641</v>
      </c>
    </row>
    <row r="166" spans="1:6">
      <c r="A166" s="247">
        <v>41284</v>
      </c>
      <c r="B166" t="s">
        <v>661</v>
      </c>
      <c r="C166">
        <v>1.38</v>
      </c>
      <c r="D166" t="s">
        <v>1092</v>
      </c>
      <c r="F166" t="s">
        <v>641</v>
      </c>
    </row>
    <row r="167" spans="1:6">
      <c r="A167" s="247"/>
    </row>
    <row r="168" spans="1:6">
      <c r="A168" s="2" t="s">
        <v>734</v>
      </c>
      <c r="E168">
        <f>SUM(C170:C173)</f>
        <v>360.66333333</v>
      </c>
    </row>
    <row r="169" spans="1:6">
      <c r="A169" s="20" t="s">
        <v>1024</v>
      </c>
      <c r="C169" s="20" t="s">
        <v>1025</v>
      </c>
      <c r="D169" s="20" t="s">
        <v>1026</v>
      </c>
    </row>
    <row r="170" spans="1:6">
      <c r="A170" t="s">
        <v>663</v>
      </c>
      <c r="B170" t="s">
        <v>664</v>
      </c>
      <c r="C170">
        <v>65</v>
      </c>
      <c r="D170" t="s">
        <v>665</v>
      </c>
      <c r="F170" t="s">
        <v>641</v>
      </c>
    </row>
    <row r="171" spans="1:6">
      <c r="A171" t="s">
        <v>666</v>
      </c>
      <c r="B171" t="s">
        <v>667</v>
      </c>
      <c r="C171">
        <v>16.66333333</v>
      </c>
      <c r="D171" t="s">
        <v>668</v>
      </c>
      <c r="F171" t="s">
        <v>641</v>
      </c>
    </row>
    <row r="172" spans="1:6">
      <c r="A172" t="s">
        <v>666</v>
      </c>
      <c r="B172" t="s">
        <v>669</v>
      </c>
      <c r="C172">
        <v>146</v>
      </c>
      <c r="D172" t="s">
        <v>670</v>
      </c>
      <c r="F172" t="s">
        <v>641</v>
      </c>
    </row>
    <row r="173" spans="1:6">
      <c r="A173" t="s">
        <v>671</v>
      </c>
      <c r="B173" t="s">
        <v>664</v>
      </c>
      <c r="C173">
        <v>133</v>
      </c>
      <c r="D173" t="s">
        <v>672</v>
      </c>
      <c r="F173" t="s">
        <v>641</v>
      </c>
    </row>
    <row r="176" spans="1:6">
      <c r="A176" s="2" t="s">
        <v>673</v>
      </c>
      <c r="C176">
        <f>SUM(C177:C226)</f>
        <v>1512.7600000000004</v>
      </c>
      <c r="D176" t="s">
        <v>674</v>
      </c>
      <c r="E176" s="337">
        <f>0.5*C176</f>
        <v>756.38000000000022</v>
      </c>
    </row>
    <row r="177" spans="1:6">
      <c r="A177" t="s">
        <v>1134</v>
      </c>
      <c r="B177" t="s">
        <v>676</v>
      </c>
      <c r="C177">
        <v>6.21</v>
      </c>
      <c r="D177" t="s">
        <v>677</v>
      </c>
    </row>
    <row r="178" spans="1:6">
      <c r="A178" t="s">
        <v>1134</v>
      </c>
      <c r="B178" t="s">
        <v>1103</v>
      </c>
      <c r="C178">
        <v>2.2200000000000002</v>
      </c>
      <c r="D178" t="s">
        <v>677</v>
      </c>
    </row>
    <row r="179" spans="1:6">
      <c r="A179" t="s">
        <v>1105</v>
      </c>
      <c r="B179" t="s">
        <v>929</v>
      </c>
      <c r="C179">
        <v>3.37</v>
      </c>
      <c r="D179" t="s">
        <v>680</v>
      </c>
      <c r="F179" t="s">
        <v>648</v>
      </c>
    </row>
    <row r="180" spans="1:6">
      <c r="A180" t="s">
        <v>1105</v>
      </c>
      <c r="B180" t="s">
        <v>676</v>
      </c>
      <c r="C180">
        <v>6.5</v>
      </c>
      <c r="D180" t="s">
        <v>680</v>
      </c>
    </row>
    <row r="181" spans="1:6">
      <c r="A181" t="s">
        <v>1135</v>
      </c>
      <c r="B181" t="s">
        <v>1136</v>
      </c>
      <c r="C181">
        <v>41.75</v>
      </c>
      <c r="D181" t="s">
        <v>1137</v>
      </c>
    </row>
    <row r="182" spans="1:6">
      <c r="A182" t="s">
        <v>1106</v>
      </c>
      <c r="B182" t="s">
        <v>1107</v>
      </c>
      <c r="C182">
        <v>16.43</v>
      </c>
      <c r="D182" t="s">
        <v>680</v>
      </c>
    </row>
    <row r="183" spans="1:6">
      <c r="A183" t="s">
        <v>1106</v>
      </c>
      <c r="B183" t="s">
        <v>794</v>
      </c>
      <c r="C183">
        <v>41.75</v>
      </c>
      <c r="D183" t="s">
        <v>677</v>
      </c>
    </row>
    <row r="184" spans="1:6">
      <c r="A184" s="247">
        <v>41276</v>
      </c>
      <c r="B184" t="s">
        <v>1108</v>
      </c>
      <c r="C184">
        <v>57.15</v>
      </c>
      <c r="D184" t="s">
        <v>677</v>
      </c>
    </row>
    <row r="185" spans="1:6">
      <c r="A185" s="247">
        <v>41457</v>
      </c>
      <c r="B185" t="s">
        <v>1109</v>
      </c>
      <c r="C185">
        <v>17.829999999999998</v>
      </c>
      <c r="D185" t="s">
        <v>683</v>
      </c>
    </row>
    <row r="186" spans="1:6">
      <c r="A186" s="247">
        <v>41581</v>
      </c>
      <c r="B186" t="s">
        <v>1110</v>
      </c>
      <c r="C186">
        <v>71.42</v>
      </c>
      <c r="D186" t="s">
        <v>1113</v>
      </c>
    </row>
    <row r="187" spans="1:6">
      <c r="A187" s="247" t="s">
        <v>681</v>
      </c>
      <c r="B187" t="s">
        <v>1103</v>
      </c>
      <c r="C187">
        <v>10.88</v>
      </c>
      <c r="D187" t="s">
        <v>683</v>
      </c>
    </row>
    <row r="188" spans="1:6">
      <c r="A188" s="247" t="s">
        <v>1111</v>
      </c>
      <c r="B188" t="s">
        <v>1112</v>
      </c>
      <c r="C188">
        <v>29</v>
      </c>
      <c r="D188" t="s">
        <v>680</v>
      </c>
    </row>
    <row r="189" spans="1:6">
      <c r="A189" s="247">
        <v>41309</v>
      </c>
      <c r="B189" t="s">
        <v>1114</v>
      </c>
      <c r="C189">
        <v>12.89</v>
      </c>
      <c r="D189" t="s">
        <v>680</v>
      </c>
    </row>
    <row r="190" spans="1:6">
      <c r="A190" s="247">
        <v>41398</v>
      </c>
      <c r="B190" t="s">
        <v>794</v>
      </c>
      <c r="C190">
        <v>44.84</v>
      </c>
      <c r="D190" t="s">
        <v>677</v>
      </c>
    </row>
    <row r="191" spans="1:6">
      <c r="A191" s="247">
        <v>41612</v>
      </c>
      <c r="B191" t="s">
        <v>794</v>
      </c>
      <c r="C191">
        <v>54</v>
      </c>
      <c r="D191" t="s">
        <v>677</v>
      </c>
    </row>
    <row r="192" spans="1:6">
      <c r="A192" s="247" t="s">
        <v>1115</v>
      </c>
      <c r="B192" t="s">
        <v>929</v>
      </c>
      <c r="C192">
        <v>8.0299999999999994</v>
      </c>
      <c r="D192" t="s">
        <v>680</v>
      </c>
    </row>
    <row r="193" spans="1:4">
      <c r="A193" s="247" t="s">
        <v>1116</v>
      </c>
      <c r="B193" t="s">
        <v>1117</v>
      </c>
      <c r="C193">
        <v>11.6</v>
      </c>
      <c r="D193" t="s">
        <v>1118</v>
      </c>
    </row>
    <row r="194" spans="1:4">
      <c r="A194" s="247">
        <v>41460</v>
      </c>
      <c r="B194" t="s">
        <v>676</v>
      </c>
      <c r="C194">
        <v>6.5</v>
      </c>
      <c r="D194" t="s">
        <v>680</v>
      </c>
    </row>
    <row r="195" spans="1:4">
      <c r="A195" t="s">
        <v>876</v>
      </c>
      <c r="B195" t="s">
        <v>678</v>
      </c>
      <c r="C195">
        <v>42.27</v>
      </c>
      <c r="D195" t="s">
        <v>677</v>
      </c>
    </row>
    <row r="196" spans="1:4">
      <c r="A196" s="247" t="s">
        <v>792</v>
      </c>
      <c r="B196" t="s">
        <v>793</v>
      </c>
      <c r="C196">
        <v>40</v>
      </c>
      <c r="D196" t="s">
        <v>677</v>
      </c>
    </row>
    <row r="197" spans="1:4">
      <c r="A197" s="247">
        <v>41461</v>
      </c>
      <c r="B197" t="s">
        <v>1119</v>
      </c>
      <c r="C197">
        <v>74.8</v>
      </c>
      <c r="D197" t="s">
        <v>683</v>
      </c>
    </row>
    <row r="198" spans="1:4">
      <c r="A198" s="247">
        <v>41523</v>
      </c>
      <c r="B198" t="s">
        <v>678</v>
      </c>
      <c r="C198">
        <v>90</v>
      </c>
      <c r="D198" t="s">
        <v>1137</v>
      </c>
    </row>
    <row r="199" spans="1:4">
      <c r="A199" s="247" t="s">
        <v>880</v>
      </c>
      <c r="B199" t="s">
        <v>794</v>
      </c>
      <c r="C199">
        <v>22.4</v>
      </c>
      <c r="D199" t="s">
        <v>677</v>
      </c>
    </row>
    <row r="200" spans="1:4">
      <c r="A200" s="247">
        <v>41493</v>
      </c>
      <c r="B200" t="s">
        <v>676</v>
      </c>
      <c r="C200">
        <v>1.5</v>
      </c>
      <c r="D200" t="s">
        <v>677</v>
      </c>
    </row>
    <row r="201" spans="1:4">
      <c r="A201" s="247">
        <v>41493</v>
      </c>
      <c r="B201" t="s">
        <v>1145</v>
      </c>
      <c r="C201">
        <v>7.48</v>
      </c>
      <c r="D201" t="s">
        <v>677</v>
      </c>
    </row>
    <row r="202" spans="1:4">
      <c r="A202" s="247">
        <v>41525</v>
      </c>
      <c r="B202" t="s">
        <v>1139</v>
      </c>
      <c r="C202">
        <v>14.61</v>
      </c>
      <c r="D202" t="s">
        <v>1140</v>
      </c>
    </row>
    <row r="203" spans="1:4">
      <c r="A203" s="247">
        <v>41525</v>
      </c>
      <c r="B203" t="s">
        <v>1141</v>
      </c>
      <c r="C203">
        <v>56</v>
      </c>
      <c r="D203" t="s">
        <v>1140</v>
      </c>
    </row>
    <row r="204" spans="1:4">
      <c r="A204" s="247">
        <v>41525</v>
      </c>
      <c r="B204" t="s">
        <v>1142</v>
      </c>
      <c r="C204">
        <v>129.27000000000001</v>
      </c>
      <c r="D204" t="s">
        <v>1140</v>
      </c>
    </row>
    <row r="205" spans="1:4">
      <c r="A205" s="247">
        <v>41555</v>
      </c>
      <c r="B205" t="s">
        <v>1128</v>
      </c>
      <c r="C205">
        <v>36.409999999999997</v>
      </c>
      <c r="D205" t="s">
        <v>1140</v>
      </c>
    </row>
    <row r="206" spans="1:4">
      <c r="A206" s="247">
        <v>41555</v>
      </c>
      <c r="B206" t="s">
        <v>1143</v>
      </c>
      <c r="C206">
        <v>84.4</v>
      </c>
      <c r="D206" t="s">
        <v>1140</v>
      </c>
    </row>
    <row r="207" spans="1:4">
      <c r="A207" s="247" t="s">
        <v>883</v>
      </c>
      <c r="B207" t="s">
        <v>793</v>
      </c>
      <c r="C207">
        <v>38</v>
      </c>
      <c r="D207" t="s">
        <v>677</v>
      </c>
    </row>
    <row r="208" spans="1:4">
      <c r="A208" s="247" t="s">
        <v>1099</v>
      </c>
      <c r="B208" t="s">
        <v>1144</v>
      </c>
      <c r="C208">
        <v>17.8</v>
      </c>
      <c r="D208" t="s">
        <v>1137</v>
      </c>
    </row>
    <row r="209" spans="1:5">
      <c r="A209" t="s">
        <v>1072</v>
      </c>
      <c r="B209" t="s">
        <v>1121</v>
      </c>
      <c r="C209">
        <v>5.45</v>
      </c>
      <c r="D209" t="s">
        <v>680</v>
      </c>
    </row>
    <row r="210" spans="1:5">
      <c r="A210" s="247" t="s">
        <v>1072</v>
      </c>
      <c r="B210" t="s">
        <v>1122</v>
      </c>
      <c r="C210">
        <v>1.75</v>
      </c>
      <c r="D210" t="s">
        <v>680</v>
      </c>
    </row>
    <row r="211" spans="1:5">
      <c r="A211" s="247" t="s">
        <v>1072</v>
      </c>
      <c r="B211" t="s">
        <v>1122</v>
      </c>
      <c r="C211">
        <v>1.95</v>
      </c>
      <c r="D211" t="s">
        <v>680</v>
      </c>
    </row>
    <row r="212" spans="1:5">
      <c r="A212" s="247" t="s">
        <v>1073</v>
      </c>
      <c r="B212" t="s">
        <v>1123</v>
      </c>
      <c r="C212">
        <v>42.45</v>
      </c>
      <c r="D212" t="s">
        <v>358</v>
      </c>
      <c r="E212" t="s">
        <v>1124</v>
      </c>
    </row>
    <row r="213" spans="1:5">
      <c r="A213" s="247" t="s">
        <v>1073</v>
      </c>
      <c r="B213" t="s">
        <v>1125</v>
      </c>
      <c r="C213">
        <v>68.75</v>
      </c>
      <c r="D213" t="s">
        <v>358</v>
      </c>
      <c r="E213" t="s">
        <v>1124</v>
      </c>
    </row>
    <row r="214" spans="1:5">
      <c r="A214" s="247" t="s">
        <v>1126</v>
      </c>
      <c r="B214" t="s">
        <v>1127</v>
      </c>
      <c r="C214">
        <v>15.16</v>
      </c>
      <c r="D214" t="s">
        <v>358</v>
      </c>
      <c r="E214" t="s">
        <v>1124</v>
      </c>
    </row>
    <row r="215" spans="1:5">
      <c r="A215" s="247">
        <v>41374</v>
      </c>
      <c r="B215" t="s">
        <v>1120</v>
      </c>
      <c r="C215">
        <v>49.89</v>
      </c>
      <c r="D215" t="s">
        <v>1113</v>
      </c>
    </row>
    <row r="216" spans="1:5">
      <c r="A216" s="247">
        <v>41435</v>
      </c>
      <c r="B216" t="s">
        <v>679</v>
      </c>
      <c r="C216">
        <v>47.2</v>
      </c>
      <c r="D216" t="s">
        <v>677</v>
      </c>
    </row>
    <row r="217" spans="1:5">
      <c r="A217" s="247" t="s">
        <v>1049</v>
      </c>
      <c r="B217" t="s">
        <v>1122</v>
      </c>
      <c r="C217">
        <v>3.95</v>
      </c>
      <c r="D217" t="s">
        <v>677</v>
      </c>
    </row>
    <row r="218" spans="1:5">
      <c r="A218" s="247" t="s">
        <v>1100</v>
      </c>
      <c r="B218" t="s">
        <v>1128</v>
      </c>
      <c r="C218">
        <v>24.05</v>
      </c>
      <c r="D218" t="s">
        <v>680</v>
      </c>
    </row>
    <row r="219" spans="1:5">
      <c r="A219" s="247">
        <v>41285</v>
      </c>
      <c r="B219" t="s">
        <v>642</v>
      </c>
      <c r="C219">
        <v>3.75</v>
      </c>
      <c r="D219" t="s">
        <v>677</v>
      </c>
    </row>
    <row r="220" spans="1:5">
      <c r="A220" s="247">
        <v>41285</v>
      </c>
      <c r="B220" t="s">
        <v>793</v>
      </c>
      <c r="C220">
        <v>54.26</v>
      </c>
      <c r="D220" t="s">
        <v>677</v>
      </c>
    </row>
    <row r="221" spans="1:5">
      <c r="A221" s="247">
        <v>41285</v>
      </c>
      <c r="B221" t="s">
        <v>929</v>
      </c>
      <c r="C221">
        <v>2.4500000000000002</v>
      </c>
      <c r="D221" t="s">
        <v>677</v>
      </c>
    </row>
    <row r="222" spans="1:5">
      <c r="A222" s="247" t="s">
        <v>1079</v>
      </c>
      <c r="B222" t="s">
        <v>1131</v>
      </c>
      <c r="C222">
        <v>27.17</v>
      </c>
      <c r="D222" t="s">
        <v>358</v>
      </c>
    </row>
    <row r="223" spans="1:5">
      <c r="A223" s="247" t="s">
        <v>1079</v>
      </c>
      <c r="B223" t="s">
        <v>675</v>
      </c>
      <c r="C223">
        <v>2.17</v>
      </c>
      <c r="D223" t="s">
        <v>358</v>
      </c>
    </row>
    <row r="224" spans="1:5">
      <c r="A224" s="247" t="s">
        <v>1079</v>
      </c>
      <c r="B224" t="s">
        <v>675</v>
      </c>
      <c r="C224">
        <v>13.81</v>
      </c>
      <c r="D224" t="s">
        <v>358</v>
      </c>
    </row>
    <row r="225" spans="1:4">
      <c r="A225" s="247" t="s">
        <v>1081</v>
      </c>
      <c r="B225" t="s">
        <v>1132</v>
      </c>
      <c r="C225">
        <v>6.61</v>
      </c>
      <c r="D225" t="s">
        <v>358</v>
      </c>
    </row>
    <row r="226" spans="1:4">
      <c r="A226" s="247" t="s">
        <v>1129</v>
      </c>
      <c r="B226" t="s">
        <v>1130</v>
      </c>
      <c r="C226">
        <v>44.63</v>
      </c>
      <c r="D226" t="s">
        <v>358</v>
      </c>
    </row>
  </sheetData>
  <sheetProtection selectLockedCells="1" selectUnlockedCells="1"/>
  <pageMargins left="0.7" right="0.7" top="0.75" bottom="0.75" header="0.51180555555555551" footer="0.51180555555555551"/>
  <pageSetup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5544"/>
  <sheetViews>
    <sheetView tabSelected="1" topLeftCell="A24" zoomScale="98" zoomScaleNormal="98" workbookViewId="0">
      <selection activeCell="D47" sqref="D47:J47"/>
    </sheetView>
  </sheetViews>
  <sheetFormatPr defaultColWidth="8.5703125" defaultRowHeight="12.75"/>
  <cols>
    <col min="1" max="1" width="21.28515625" style="1" customWidth="1"/>
    <col min="2" max="2" width="3.140625" style="1" customWidth="1"/>
    <col min="3" max="6" width="18.5703125" style="1" customWidth="1"/>
    <col min="7" max="7" width="16.85546875" style="1" customWidth="1"/>
    <col min="8" max="8" width="17.5703125" style="1" customWidth="1"/>
    <col min="9" max="9" width="15.140625" customWidth="1"/>
    <col min="10" max="10" width="16.140625" style="1" customWidth="1"/>
    <col min="11" max="256" width="9.42578125" style="1" customWidth="1"/>
  </cols>
  <sheetData>
    <row r="1" spans="1:10" ht="13.5" customHeight="1">
      <c r="A1" s="2" t="s">
        <v>0</v>
      </c>
      <c r="B1" s="2"/>
      <c r="C1" s="3">
        <v>2013</v>
      </c>
      <c r="D1" s="2"/>
    </row>
    <row r="2" spans="1:10">
      <c r="A2" s="2" t="s">
        <v>1</v>
      </c>
      <c r="B2" s="4"/>
      <c r="C2" s="2" t="s">
        <v>571</v>
      </c>
      <c r="D2" s="2"/>
    </row>
    <row r="3" spans="1:10">
      <c r="A3" s="2"/>
      <c r="B3" s="4"/>
      <c r="C3" s="2" t="s">
        <v>565</v>
      </c>
      <c r="D3" s="2"/>
    </row>
    <row r="4" spans="1:10">
      <c r="A4" s="2"/>
      <c r="B4" s="4"/>
      <c r="C4" s="2" t="s">
        <v>570</v>
      </c>
      <c r="D4" s="2"/>
    </row>
    <row r="5" spans="1:10">
      <c r="A5" s="2"/>
      <c r="B5" s="4"/>
      <c r="C5" s="2" t="s">
        <v>569</v>
      </c>
      <c r="D5" s="2"/>
    </row>
    <row r="6" spans="1:10" customFormat="1">
      <c r="A6" s="2"/>
      <c r="B6" s="4"/>
      <c r="C6" s="2"/>
      <c r="D6" s="2"/>
      <c r="E6" s="1"/>
      <c r="F6" s="1"/>
      <c r="G6" s="1"/>
      <c r="H6" s="1"/>
      <c r="J6" s="1"/>
    </row>
    <row r="7" spans="1:10" customFormat="1">
      <c r="A7" s="2"/>
      <c r="B7" s="4"/>
      <c r="C7" s="2"/>
      <c r="D7" s="2"/>
      <c r="E7" s="1"/>
      <c r="F7" s="1"/>
      <c r="G7" s="1"/>
      <c r="H7" s="1"/>
      <c r="J7" s="1"/>
    </row>
    <row r="8" spans="1:10" customFormat="1">
      <c r="A8" s="326" t="s">
        <v>563</v>
      </c>
      <c r="B8" s="4" t="s">
        <v>985</v>
      </c>
      <c r="C8" s="2" t="s">
        <v>564</v>
      </c>
      <c r="D8" s="2"/>
      <c r="E8" s="1"/>
      <c r="F8" s="1"/>
      <c r="G8" s="1"/>
      <c r="H8" s="1"/>
      <c r="J8" s="1"/>
    </row>
    <row r="9" spans="1:10" customFormat="1">
      <c r="A9" s="2"/>
      <c r="B9" s="4" t="s">
        <v>985</v>
      </c>
      <c r="C9" s="2" t="s">
        <v>984</v>
      </c>
      <c r="D9" s="2"/>
      <c r="E9" s="1"/>
      <c r="F9" s="1"/>
      <c r="G9" s="1"/>
      <c r="H9" s="1"/>
      <c r="J9" s="1"/>
    </row>
    <row r="10" spans="1:10" customFormat="1">
      <c r="A10" s="2"/>
      <c r="B10" s="4" t="s">
        <v>985</v>
      </c>
      <c r="C10" s="2" t="s">
        <v>986</v>
      </c>
      <c r="D10" s="2"/>
      <c r="E10" s="1"/>
      <c r="F10" s="1"/>
      <c r="G10" s="1"/>
      <c r="H10" s="1"/>
      <c r="J10" s="1"/>
    </row>
    <row r="11" spans="1:10" customFormat="1">
      <c r="A11" s="2"/>
      <c r="B11" s="4"/>
      <c r="C11" s="1"/>
      <c r="D11" s="2"/>
      <c r="E11" s="1"/>
      <c r="F11" s="1"/>
      <c r="G11" s="1"/>
      <c r="H11" s="1"/>
      <c r="J11" s="1"/>
    </row>
    <row r="12" spans="1:10" customFormat="1">
      <c r="A12" s="2"/>
      <c r="B12" s="2"/>
      <c r="C12" s="2"/>
      <c r="D12" s="2"/>
      <c r="E12" s="1"/>
      <c r="F12" s="1"/>
      <c r="G12" s="1"/>
      <c r="H12" s="1"/>
      <c r="J12" s="1"/>
    </row>
    <row r="13" spans="1:10" customFormat="1">
      <c r="A13" s="2" t="s">
        <v>542</v>
      </c>
      <c r="B13" s="2"/>
      <c r="C13" s="1"/>
      <c r="D13" s="1"/>
      <c r="E13" s="1"/>
      <c r="F13" s="1"/>
      <c r="G13" s="1"/>
      <c r="H13" s="1"/>
      <c r="J13" s="1"/>
    </row>
    <row r="14" spans="1:10" s="5" customFormat="1">
      <c r="C14" s="5" t="s">
        <v>2</v>
      </c>
      <c r="D14" s="5" t="s">
        <v>3</v>
      </c>
      <c r="E14" s="5" t="s">
        <v>4</v>
      </c>
      <c r="F14" s="242" t="s">
        <v>541</v>
      </c>
      <c r="G14" s="5" t="s">
        <v>6</v>
      </c>
      <c r="H14" s="5" t="s">
        <v>5</v>
      </c>
    </row>
    <row r="15" spans="1:10" customFormat="1">
      <c r="A15" s="6" t="s">
        <v>7</v>
      </c>
      <c r="B15" s="6"/>
      <c r="C15" s="7">
        <f>Jan!G39</f>
        <v>-1513.4900000000007</v>
      </c>
      <c r="D15" s="7">
        <f>Jan!$G$31</f>
        <v>0</v>
      </c>
      <c r="E15" s="7">
        <f>Jan!B4</f>
        <v>6319.48</v>
      </c>
      <c r="F15" s="7">
        <f>Jan!G28</f>
        <v>4670</v>
      </c>
      <c r="G15" s="7">
        <f>Jan!G12</f>
        <v>870</v>
      </c>
      <c r="H15" s="7">
        <f>Jan!G46</f>
        <v>3162.97</v>
      </c>
      <c r="I15" t="s">
        <v>540</v>
      </c>
      <c r="J15" s="1"/>
    </row>
    <row r="16" spans="1:10" customFormat="1">
      <c r="A16" s="6" t="s">
        <v>8</v>
      </c>
      <c r="B16" s="6"/>
      <c r="C16" s="7">
        <f>Feb!G39</f>
        <v>904.20999999999913</v>
      </c>
      <c r="D16" s="7">
        <f>Feb!G31</f>
        <v>0</v>
      </c>
      <c r="E16" s="7">
        <f>Feb!B4</f>
        <v>7055.3399999999992</v>
      </c>
      <c r="F16" s="7">
        <f>Feb!G28</f>
        <v>2150</v>
      </c>
      <c r="G16" s="7">
        <f>Feb!G12</f>
        <v>350</v>
      </c>
      <c r="H16" s="7">
        <f>Feb!G46</f>
        <v>4001.13</v>
      </c>
      <c r="I16" t="s">
        <v>970</v>
      </c>
      <c r="J16" s="1"/>
    </row>
    <row r="17" spans="1:11" customFormat="1">
      <c r="A17" s="6" t="s">
        <v>9</v>
      </c>
      <c r="B17" s="6"/>
      <c r="C17" s="7">
        <f>Mar!G39</f>
        <v>10490.92</v>
      </c>
      <c r="D17" s="7">
        <f>Mar!G31</f>
        <v>0</v>
      </c>
      <c r="E17" s="7">
        <f>Mar!B4</f>
        <v>15332.48</v>
      </c>
      <c r="F17" s="7">
        <f>Mar!G28</f>
        <v>2850</v>
      </c>
      <c r="G17" s="7">
        <f>Mar!G12</f>
        <v>550</v>
      </c>
      <c r="H17" s="7">
        <f>Mar!G46</f>
        <v>1991.5600000000002</v>
      </c>
      <c r="I17" t="s">
        <v>583</v>
      </c>
      <c r="J17" s="1"/>
      <c r="K17" s="1"/>
    </row>
    <row r="18" spans="1:11" customFormat="1">
      <c r="A18" s="6" t="s">
        <v>10</v>
      </c>
      <c r="B18" s="6"/>
      <c r="C18" s="7">
        <f>Apr!G39</f>
        <v>-2287.7299999999996</v>
      </c>
      <c r="D18" s="7">
        <f>Apr!G31</f>
        <v>0</v>
      </c>
      <c r="E18" s="7">
        <f>Apr!B4</f>
        <v>14702.36</v>
      </c>
      <c r="F18" s="7">
        <f>Apr!G28</f>
        <v>2970</v>
      </c>
      <c r="G18" s="7">
        <f>Apr!G12</f>
        <v>670</v>
      </c>
      <c r="H18" s="7">
        <f>Apr!G46</f>
        <v>14020.09</v>
      </c>
      <c r="I18" t="s">
        <v>974</v>
      </c>
      <c r="J18" s="1"/>
      <c r="K18" s="1"/>
    </row>
    <row r="19" spans="1:11" customFormat="1">
      <c r="A19" s="6" t="s">
        <v>11</v>
      </c>
      <c r="B19" s="6"/>
      <c r="C19" s="7">
        <f>May!G39</f>
        <v>5285.8099999999995</v>
      </c>
      <c r="D19" s="7">
        <f>May!G31</f>
        <v>5000</v>
      </c>
      <c r="E19" s="7">
        <f>May!B4</f>
        <v>10322.48</v>
      </c>
      <c r="F19" s="7">
        <f>May!G28</f>
        <v>2850</v>
      </c>
      <c r="G19" s="7">
        <f>May!G12</f>
        <v>550</v>
      </c>
      <c r="H19" s="7">
        <f>May!G46</f>
        <v>12186.67</v>
      </c>
      <c r="I19" t="s">
        <v>761</v>
      </c>
      <c r="J19" s="1"/>
      <c r="K19" s="1"/>
    </row>
    <row r="20" spans="1:11" customFormat="1">
      <c r="A20" s="6" t="s">
        <v>12</v>
      </c>
      <c r="B20" s="6"/>
      <c r="C20" s="7">
        <f>Jun!G39</f>
        <v>4350.5199999999995</v>
      </c>
      <c r="D20" s="7">
        <f>Jun!$G31</f>
        <v>1008</v>
      </c>
      <c r="E20" s="7">
        <f>Jun!B4</f>
        <v>12306.91</v>
      </c>
      <c r="F20" s="7">
        <f>Jun!G28</f>
        <v>3050</v>
      </c>
      <c r="G20" s="7">
        <f>Jun!G12</f>
        <v>750</v>
      </c>
      <c r="H20" s="7">
        <f>Jun!G46</f>
        <v>5914.3899999999994</v>
      </c>
      <c r="I20" t="s">
        <v>971</v>
      </c>
      <c r="J20" s="1"/>
      <c r="K20" s="1"/>
    </row>
    <row r="21" spans="1:11" customFormat="1">
      <c r="A21" s="6" t="s">
        <v>13</v>
      </c>
      <c r="B21" s="6"/>
      <c r="C21" s="7">
        <f>July!G39</f>
        <v>297.23999999999978</v>
      </c>
      <c r="D21" s="7">
        <f>July!G31</f>
        <v>0</v>
      </c>
      <c r="E21" s="7">
        <f>July!B4</f>
        <v>10270.76</v>
      </c>
      <c r="F21" s="7">
        <f>July!G28</f>
        <v>3180</v>
      </c>
      <c r="G21" s="7">
        <f>July!G12</f>
        <v>880</v>
      </c>
      <c r="H21" s="7">
        <f>July!G46</f>
        <v>6793.52</v>
      </c>
      <c r="I21" t="s">
        <v>972</v>
      </c>
      <c r="J21" s="1"/>
      <c r="K21" s="1"/>
    </row>
    <row r="22" spans="1:11" customFormat="1">
      <c r="A22" s="6" t="s">
        <v>14</v>
      </c>
      <c r="B22" s="6"/>
      <c r="C22" s="7">
        <f>Aug!G39</f>
        <v>-1885.3400000000011</v>
      </c>
      <c r="D22" s="7">
        <f>Aug!G31</f>
        <v>0</v>
      </c>
      <c r="E22" s="7">
        <f>Aug!B4</f>
        <v>6577.5</v>
      </c>
      <c r="F22" s="7">
        <f>Aug!G28</f>
        <v>3100</v>
      </c>
      <c r="G22" s="7">
        <f>Aug!G12</f>
        <v>800</v>
      </c>
      <c r="H22" s="7">
        <f>Aug!G46</f>
        <v>5362.840000000002</v>
      </c>
      <c r="I22" t="s">
        <v>973</v>
      </c>
      <c r="J22" s="1"/>
      <c r="K22" s="1"/>
    </row>
    <row r="23" spans="1:11" customFormat="1">
      <c r="A23" s="6" t="s">
        <v>15</v>
      </c>
      <c r="B23" s="6"/>
      <c r="C23" s="7">
        <f>Sep!G39</f>
        <v>2251.0400000000018</v>
      </c>
      <c r="D23" s="7">
        <f>Sep!G31</f>
        <v>0</v>
      </c>
      <c r="E23" s="7">
        <f>Sep!B4</f>
        <v>10944.640000000001</v>
      </c>
      <c r="F23" s="7">
        <f>Sep!G28</f>
        <v>4300</v>
      </c>
      <c r="G23" s="7">
        <f>Sep!G12</f>
        <v>1000</v>
      </c>
      <c r="H23" s="7">
        <f>Sep!G46</f>
        <v>3860.1099999999997</v>
      </c>
      <c r="J23" s="1"/>
      <c r="K23" s="1"/>
    </row>
    <row r="24" spans="1:11" customFormat="1">
      <c r="A24" s="6" t="s">
        <v>16</v>
      </c>
      <c r="B24" s="6"/>
      <c r="C24" s="7">
        <f>Oct!G39</f>
        <v>88.209999999999923</v>
      </c>
      <c r="D24" s="7">
        <f>Oct!G31</f>
        <v>0</v>
      </c>
      <c r="E24" s="7">
        <f>Oct!B4</f>
        <v>7189.29</v>
      </c>
      <c r="F24" s="7">
        <f>Oct!G28</f>
        <v>3480</v>
      </c>
      <c r="G24" s="7">
        <f>Oct!G12</f>
        <v>1180</v>
      </c>
      <c r="H24" s="7">
        <f>Oct!G46</f>
        <v>3621.0800000000004</v>
      </c>
      <c r="J24" s="1"/>
      <c r="K24" s="1"/>
    </row>
    <row r="25" spans="1:11" customFormat="1">
      <c r="A25" s="6" t="s">
        <v>17</v>
      </c>
      <c r="B25" s="6"/>
      <c r="C25" s="7">
        <f>Nov!G39</f>
        <v>7405.2000000000016</v>
      </c>
      <c r="D25" s="7">
        <f>Nov!G31</f>
        <v>0</v>
      </c>
      <c r="E25" s="7">
        <f>Nov!B4</f>
        <v>15133.180000000002</v>
      </c>
      <c r="F25" s="7">
        <f>Nov!G28</f>
        <v>4850</v>
      </c>
      <c r="G25" s="7">
        <f>Nov!G12</f>
        <v>2550</v>
      </c>
      <c r="H25" s="7">
        <f>Nov!G46</f>
        <v>2877.9800000000005</v>
      </c>
      <c r="J25" s="1"/>
      <c r="K25" s="1"/>
    </row>
    <row r="26" spans="1:11" customFormat="1">
      <c r="A26" s="6" t="s">
        <v>18</v>
      </c>
      <c r="B26" s="6"/>
      <c r="C26" s="7">
        <f>Dec!G39</f>
        <v>7292.260000000002</v>
      </c>
      <c r="D26" s="7">
        <f>Dec!G31</f>
        <v>0</v>
      </c>
      <c r="E26" s="7">
        <f>Dec!B4</f>
        <v>17170.510000000002</v>
      </c>
      <c r="F26" s="7">
        <f>Dec!G28</f>
        <v>5678.24</v>
      </c>
      <c r="G26" s="7">
        <f>Dec!G12</f>
        <v>3378.24</v>
      </c>
      <c r="H26" s="7">
        <f>Dec!G46</f>
        <v>4164.03</v>
      </c>
      <c r="J26" s="1"/>
      <c r="K26" s="1"/>
    </row>
    <row r="28" spans="1:11" customFormat="1" ht="13.5" thickBot="1">
      <c r="A28" s="1"/>
      <c r="B28" s="1"/>
      <c r="C28" s="8">
        <f t="shared" ref="C28:H28" si="0">SUM(C15:C26)</f>
        <v>32678.85</v>
      </c>
      <c r="D28" s="8">
        <f t="shared" si="0"/>
        <v>6008</v>
      </c>
      <c r="E28" s="8">
        <f t="shared" si="0"/>
        <v>133324.93</v>
      </c>
      <c r="F28" s="8">
        <f t="shared" si="0"/>
        <v>43128.24</v>
      </c>
      <c r="G28" s="8">
        <f t="shared" si="0"/>
        <v>13528.24</v>
      </c>
      <c r="H28" s="243">
        <f t="shared" si="0"/>
        <v>67956.37000000001</v>
      </c>
      <c r="I28" s="320">
        <f>G28/E28</f>
        <v>0.10146819503299195</v>
      </c>
      <c r="J28" s="1" t="s">
        <v>19</v>
      </c>
      <c r="K28" s="1"/>
    </row>
    <row r="29" spans="1:11" customFormat="1" ht="13.5" thickTop="1">
      <c r="A29" s="1"/>
      <c r="B29" s="1"/>
      <c r="C29" s="7"/>
      <c r="D29" s="1"/>
      <c r="E29" s="1"/>
      <c r="F29" s="1"/>
      <c r="G29" t="s">
        <v>967</v>
      </c>
      <c r="H29" s="9">
        <f>-D37</f>
        <v>-27397.360000000001</v>
      </c>
      <c r="I29" s="321">
        <f>D37/E28</f>
        <v>0.20549315120585476</v>
      </c>
      <c r="J29" s="1" t="s">
        <v>20</v>
      </c>
      <c r="K29" s="1"/>
    </row>
    <row r="30" spans="1:11" customFormat="1" ht="13.5" thickBot="1">
      <c r="A30" s="14" t="s">
        <v>966</v>
      </c>
      <c r="B30" s="1"/>
      <c r="C30" s="7"/>
      <c r="D30" s="1"/>
      <c r="E30" s="1"/>
      <c r="F30" s="1"/>
      <c r="G30" s="1" t="s">
        <v>21</v>
      </c>
      <c r="H30" s="8">
        <f>SUM(H28+H29)</f>
        <v>40559.010000000009</v>
      </c>
      <c r="I30" s="17">
        <f>H30/E28</f>
        <v>0.30421174794541433</v>
      </c>
      <c r="J30" s="1" t="s">
        <v>22</v>
      </c>
      <c r="K30" s="1"/>
    </row>
    <row r="31" spans="1:11" customFormat="1" ht="13.5" thickTop="1">
      <c r="A31" t="s">
        <v>548</v>
      </c>
      <c r="D31">
        <v>2426.06</v>
      </c>
      <c r="E31" s="1"/>
      <c r="F31" s="1"/>
      <c r="G31" s="1"/>
      <c r="H31" s="1"/>
      <c r="I31" s="17">
        <f>H28/E28</f>
        <v>0.50970489915126915</v>
      </c>
      <c r="J31" s="1" t="s">
        <v>968</v>
      </c>
      <c r="K31" s="1"/>
    </row>
    <row r="32" spans="1:11" customFormat="1">
      <c r="A32" s="1" t="s">
        <v>623</v>
      </c>
      <c r="B32" s="1"/>
      <c r="C32" s="1"/>
      <c r="D32" s="1">
        <v>15161.570000000002</v>
      </c>
      <c r="E32" s="1"/>
      <c r="F32" s="1"/>
      <c r="G32" s="1" t="s">
        <v>23</v>
      </c>
      <c r="H32" s="10">
        <f>H30/12</f>
        <v>3379.9175000000009</v>
      </c>
      <c r="I32" s="17">
        <f>C28/(E28+D28)</f>
        <v>0.23453787988237956</v>
      </c>
      <c r="J32" s="1" t="s">
        <v>969</v>
      </c>
      <c r="K32" s="1"/>
    </row>
    <row r="33" spans="1:256">
      <c r="A33" s="1" t="s">
        <v>624</v>
      </c>
      <c r="D33" s="1">
        <v>5165.3999999999996</v>
      </c>
      <c r="G33" s="1" t="s">
        <v>24</v>
      </c>
      <c r="H33" s="7">
        <f>H28/12</f>
        <v>5663.0308333333342</v>
      </c>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row>
    <row r="34" spans="1:256">
      <c r="A34" s="1" t="s">
        <v>549</v>
      </c>
      <c r="D34" s="1">
        <v>13144.250000000002</v>
      </c>
    </row>
    <row r="35" spans="1:256">
      <c r="A35" t="s">
        <v>719</v>
      </c>
      <c r="B35"/>
      <c r="C35"/>
      <c r="D35">
        <v>2500.08</v>
      </c>
    </row>
    <row r="36" spans="1:256">
      <c r="A36" t="s">
        <v>625</v>
      </c>
      <c r="B36"/>
      <c r="C36"/>
      <c r="D36">
        <v>-11000</v>
      </c>
    </row>
    <row r="37" spans="1:256" ht="13.5" thickBot="1">
      <c r="A37"/>
      <c r="B37"/>
      <c r="C37"/>
      <c r="D37" s="128">
        <f>SUM(D31:D36)</f>
        <v>27397.360000000001</v>
      </c>
    </row>
    <row r="38" spans="1:256" ht="13.5" thickTop="1">
      <c r="I38" s="1"/>
      <c r="J38" t="s">
        <v>1012</v>
      </c>
    </row>
    <row r="39" spans="1:256">
      <c r="A39" s="2" t="s">
        <v>25</v>
      </c>
      <c r="B39" s="2"/>
      <c r="C39" s="264" t="s">
        <v>26</v>
      </c>
      <c r="D39" s="245" t="s">
        <v>1013</v>
      </c>
      <c r="E39" s="245" t="s">
        <v>1014</v>
      </c>
      <c r="F39" s="245" t="s">
        <v>1015</v>
      </c>
      <c r="G39" s="245" t="s">
        <v>1016</v>
      </c>
      <c r="H39" s="245" t="s">
        <v>1017</v>
      </c>
      <c r="I39" s="333" t="s">
        <v>1018</v>
      </c>
      <c r="J39" s="203" t="s">
        <v>1019</v>
      </c>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row>
    <row r="40" spans="1:256">
      <c r="A40" s="1" t="s">
        <v>27</v>
      </c>
      <c r="C40" s="9">
        <f>Jan!G5+Feb!G5+Mar!G5+Apr!G5+May!G5+Jun!G5+July!G5+Aug!G5+Sep!G5+Oct!G5+Nov!G5+Dec!G5</f>
        <v>94539.79</v>
      </c>
      <c r="D40" s="232">
        <v>128280.31</v>
      </c>
      <c r="E40" s="232">
        <v>17701.47</v>
      </c>
      <c r="F40" s="232">
        <v>7049.4</v>
      </c>
      <c r="G40" s="232">
        <v>1986.44</v>
      </c>
      <c r="H40" s="232">
        <v>6659.33</v>
      </c>
      <c r="I40" s="232">
        <f t="shared" ref="I40" si="1">D40-E40-F40-G40-H40</f>
        <v>94883.67</v>
      </c>
      <c r="J40" s="232">
        <f t="shared" ref="J40" si="2">I40-C40</f>
        <v>343.88000000000466</v>
      </c>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row>
    <row r="41" spans="1:256">
      <c r="C41" s="9"/>
      <c r="H41"/>
      <c r="J41" s="334"/>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row>
    <row r="42" spans="1:256">
      <c r="A42" t="s">
        <v>28</v>
      </c>
      <c r="B42" s="232"/>
      <c r="H42"/>
      <c r="J42" s="334"/>
      <c r="K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row>
    <row r="43" spans="1:256">
      <c r="A43" s="242" t="s">
        <v>724</v>
      </c>
      <c r="B43" s="5">
        <f>4+3+2+2+2+2+3</f>
        <v>18</v>
      </c>
      <c r="C43" s="9">
        <f>Jan!G7+Feb!G7+Mar!G7+Apr!G7+May!G7+Jun!G7+July!G7+Aug!G7+Sep!G7+Oct!G7+Nov!G7+Dec!G7</f>
        <v>33798.239999999998</v>
      </c>
      <c r="D43" s="232">
        <v>37800</v>
      </c>
      <c r="E43" s="232">
        <v>1110.06</v>
      </c>
      <c r="F43" s="232">
        <v>2343.6</v>
      </c>
      <c r="G43" s="232">
        <v>548.1</v>
      </c>
      <c r="H43" s="232">
        <v>0</v>
      </c>
      <c r="I43" s="232">
        <f>D43-E43-F43-G43-H43</f>
        <v>33798.240000000005</v>
      </c>
      <c r="J43" s="334">
        <f>I43-C43</f>
        <v>0</v>
      </c>
      <c r="K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row>
    <row r="44" spans="1:256">
      <c r="A44" s="242" t="s">
        <v>30</v>
      </c>
      <c r="B44" s="5"/>
      <c r="C44" s="9">
        <f>Jan!G8+Feb!G8+Mar!G8+Apr!G8+May!G8+Jun!G8+July!G8+Aug!G8+Sep!G8+Oct!G8+Nov!G8+Dec!G8</f>
        <v>4986.9000000000005</v>
      </c>
      <c r="D44" s="232">
        <v>5400</v>
      </c>
      <c r="E44" s="232">
        <v>0</v>
      </c>
      <c r="F44" s="232">
        <v>334.8</v>
      </c>
      <c r="G44" s="232">
        <v>78.3</v>
      </c>
      <c r="H44" s="232">
        <v>0</v>
      </c>
      <c r="I44" s="232">
        <f>D44-E44-F44-G44-H44</f>
        <v>4986.8999999999996</v>
      </c>
      <c r="J44" s="334">
        <f>I44-C44</f>
        <v>0</v>
      </c>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row>
    <row r="45" spans="1:256" ht="13.5" thickBot="1">
      <c r="A45" s="242" t="s">
        <v>725</v>
      </c>
      <c r="B45" s="5"/>
      <c r="C45" s="313">
        <f>SUM(C43:C44)</f>
        <v>38785.14</v>
      </c>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row>
    <row r="46" spans="1:256">
      <c r="A46" s="5"/>
      <c r="B46" s="5"/>
      <c r="C46" s="312"/>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row>
    <row r="47" spans="1:256" ht="13.5" thickBot="1">
      <c r="A47" s="263" t="s">
        <v>726</v>
      </c>
      <c r="C47" s="311">
        <f>C40+C45</f>
        <v>133324.93</v>
      </c>
      <c r="D47" s="335">
        <f t="shared" ref="D47:J47" si="3">D40+D43+D44</f>
        <v>171480.31</v>
      </c>
      <c r="E47" s="335">
        <f t="shared" si="3"/>
        <v>18811.530000000002</v>
      </c>
      <c r="F47" s="335">
        <f t="shared" si="3"/>
        <v>9727.7999999999993</v>
      </c>
      <c r="G47" s="335">
        <f t="shared" si="3"/>
        <v>2612.84</v>
      </c>
      <c r="H47" s="335">
        <f t="shared" si="3"/>
        <v>6659.33</v>
      </c>
      <c r="I47" s="335">
        <f t="shared" si="3"/>
        <v>133668.81</v>
      </c>
      <c r="J47" s="335">
        <f t="shared" si="3"/>
        <v>343.88000000000466</v>
      </c>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row>
    <row r="48" spans="1:256" ht="13.5" thickTop="1">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row>
    <row r="65544" spans="1:256" ht="13.5" customHeight="1">
      <c r="A65544"/>
      <c r="B65544"/>
      <c r="C65544"/>
      <c r="D65544"/>
      <c r="E65544"/>
      <c r="F65544"/>
      <c r="G65544"/>
      <c r="H65544"/>
      <c r="J65544"/>
      <c r="K65544"/>
      <c r="L65544"/>
      <c r="M65544"/>
      <c r="N65544"/>
      <c r="O65544"/>
      <c r="P65544"/>
      <c r="Q65544"/>
      <c r="R65544"/>
      <c r="S65544"/>
      <c r="T65544"/>
      <c r="U65544"/>
      <c r="V65544"/>
      <c r="W65544"/>
      <c r="X65544"/>
      <c r="Y65544"/>
      <c r="Z65544"/>
      <c r="AA65544"/>
      <c r="AB65544"/>
      <c r="AC65544"/>
      <c r="AD65544"/>
      <c r="AE65544"/>
      <c r="AF65544"/>
      <c r="AG65544"/>
      <c r="AH65544"/>
      <c r="AI65544"/>
      <c r="AJ65544"/>
      <c r="AK65544"/>
      <c r="AL65544"/>
      <c r="AM65544"/>
      <c r="AN65544"/>
      <c r="AO65544"/>
      <c r="AP65544"/>
      <c r="AQ65544"/>
      <c r="AR65544"/>
      <c r="AS65544"/>
      <c r="AT65544"/>
      <c r="AU65544"/>
      <c r="AV65544"/>
      <c r="AW65544"/>
      <c r="AX65544"/>
      <c r="AY65544"/>
      <c r="AZ65544"/>
      <c r="BA65544"/>
      <c r="BB65544"/>
      <c r="BC65544"/>
      <c r="BD65544"/>
      <c r="BE65544"/>
      <c r="BF65544"/>
      <c r="BG65544"/>
      <c r="BH65544"/>
      <c r="BI65544"/>
      <c r="BJ65544"/>
      <c r="BK65544"/>
      <c r="BL65544"/>
      <c r="BM65544"/>
      <c r="BN65544"/>
      <c r="BO65544"/>
      <c r="BP65544"/>
      <c r="BQ65544"/>
      <c r="BR65544"/>
      <c r="BS65544"/>
      <c r="BT65544"/>
      <c r="BU65544"/>
      <c r="BV65544"/>
      <c r="BW65544"/>
      <c r="BX65544"/>
      <c r="BY65544"/>
      <c r="BZ65544"/>
      <c r="CA65544"/>
      <c r="CB65544"/>
      <c r="CC65544"/>
      <c r="CD65544"/>
      <c r="CE65544"/>
      <c r="CF65544"/>
      <c r="CG65544"/>
      <c r="CH65544"/>
      <c r="CI65544"/>
      <c r="CJ65544"/>
      <c r="CK65544"/>
      <c r="CL65544"/>
      <c r="CM65544"/>
      <c r="CN65544"/>
      <c r="CO65544"/>
      <c r="CP65544"/>
      <c r="CQ65544"/>
      <c r="CR65544"/>
      <c r="CS65544"/>
      <c r="CT65544"/>
      <c r="CU65544"/>
      <c r="CV65544"/>
      <c r="CW65544"/>
      <c r="CX65544"/>
      <c r="CY65544"/>
      <c r="CZ65544"/>
      <c r="DA65544"/>
      <c r="DB65544"/>
      <c r="DC65544"/>
      <c r="DD65544"/>
      <c r="DE65544"/>
      <c r="DF65544"/>
      <c r="DG65544"/>
      <c r="DH65544"/>
      <c r="DI65544"/>
      <c r="DJ65544"/>
      <c r="DK65544"/>
      <c r="DL65544"/>
      <c r="DM65544"/>
      <c r="DN65544"/>
      <c r="DO65544"/>
      <c r="DP65544"/>
      <c r="DQ65544"/>
      <c r="DR65544"/>
      <c r="DS65544"/>
      <c r="DT65544"/>
      <c r="DU65544"/>
      <c r="DV65544"/>
      <c r="DW65544"/>
      <c r="DX65544"/>
      <c r="DY65544"/>
      <c r="DZ65544"/>
      <c r="EA65544"/>
      <c r="EB65544"/>
      <c r="EC65544"/>
      <c r="ED65544"/>
      <c r="EE65544"/>
      <c r="EF65544"/>
      <c r="EG65544"/>
      <c r="EH65544"/>
      <c r="EI65544"/>
      <c r="EJ65544"/>
      <c r="EK65544"/>
      <c r="EL65544"/>
      <c r="EM65544"/>
      <c r="EN65544"/>
      <c r="EO65544"/>
      <c r="EP65544"/>
      <c r="EQ65544"/>
      <c r="ER65544"/>
      <c r="ES65544"/>
      <c r="ET65544"/>
      <c r="EU65544"/>
      <c r="EV65544"/>
      <c r="EW65544"/>
      <c r="EX65544"/>
      <c r="EY65544"/>
      <c r="EZ65544"/>
      <c r="FA65544"/>
      <c r="FB65544"/>
      <c r="FC65544"/>
      <c r="FD65544"/>
      <c r="FE65544"/>
      <c r="FF65544"/>
      <c r="FG65544"/>
      <c r="FH65544"/>
      <c r="FI65544"/>
      <c r="FJ65544"/>
      <c r="FK65544"/>
      <c r="FL65544"/>
      <c r="FM65544"/>
      <c r="FN65544"/>
      <c r="FO65544"/>
      <c r="FP65544"/>
      <c r="FQ65544"/>
      <c r="FR65544"/>
      <c r="FS65544"/>
      <c r="FT65544"/>
      <c r="FU65544"/>
      <c r="FV65544"/>
      <c r="FW65544"/>
      <c r="FX65544"/>
      <c r="FY65544"/>
      <c r="FZ65544"/>
      <c r="GA65544"/>
      <c r="GB65544"/>
      <c r="GC65544"/>
      <c r="GD65544"/>
      <c r="GE65544"/>
      <c r="GF65544"/>
      <c r="GG65544"/>
      <c r="GH65544"/>
      <c r="GI65544"/>
      <c r="GJ65544"/>
      <c r="GK65544"/>
      <c r="GL65544"/>
      <c r="GM65544"/>
      <c r="GN65544"/>
      <c r="GO65544"/>
      <c r="GP65544"/>
      <c r="GQ65544"/>
      <c r="GR65544"/>
      <c r="GS65544"/>
      <c r="GT65544"/>
      <c r="GU65544"/>
      <c r="GV65544"/>
      <c r="GW65544"/>
      <c r="GX65544"/>
      <c r="GY65544"/>
      <c r="GZ65544"/>
      <c r="HA65544"/>
      <c r="HB65544"/>
      <c r="HC65544"/>
      <c r="HD65544"/>
      <c r="HE65544"/>
      <c r="HF65544"/>
      <c r="HG65544"/>
      <c r="HH65544"/>
      <c r="HI65544"/>
      <c r="HJ65544"/>
      <c r="HK65544"/>
      <c r="HL65544"/>
      <c r="HM65544"/>
      <c r="HN65544"/>
      <c r="HO65544"/>
      <c r="HP65544"/>
      <c r="HQ65544"/>
      <c r="HR65544"/>
      <c r="HS65544"/>
      <c r="HT65544"/>
      <c r="HU65544"/>
      <c r="HV65544"/>
      <c r="HW65544"/>
      <c r="HX65544"/>
      <c r="HY65544"/>
      <c r="HZ65544"/>
      <c r="IA65544"/>
      <c r="IB65544"/>
      <c r="IC65544"/>
      <c r="ID65544"/>
      <c r="IE65544"/>
      <c r="IF65544"/>
      <c r="IG65544"/>
      <c r="IH65544"/>
      <c r="II65544"/>
      <c r="IJ65544"/>
      <c r="IK65544"/>
      <c r="IL65544"/>
      <c r="IM65544"/>
      <c r="IN65544"/>
      <c r="IO65544"/>
      <c r="IP65544"/>
      <c r="IQ65544"/>
      <c r="IR65544"/>
      <c r="IS65544"/>
      <c r="IT65544"/>
      <c r="IU65544"/>
      <c r="IV65544"/>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opLeftCell="A4" workbookViewId="0">
      <selection activeCell="B6" sqref="B6"/>
    </sheetView>
  </sheetViews>
  <sheetFormatPr defaultRowHeight="12.75"/>
  <cols>
    <col min="1" max="1" width="19.5703125" customWidth="1"/>
    <col min="2" max="2" width="11.85546875" customWidth="1"/>
    <col min="3" max="3" width="3" customWidth="1"/>
    <col min="4" max="4" width="14.28515625" customWidth="1"/>
    <col min="5" max="5" width="11.28515625" customWidth="1"/>
  </cols>
  <sheetData>
    <row r="1" spans="1:5">
      <c r="A1" s="2" t="s">
        <v>750</v>
      </c>
      <c r="B1" s="2" t="s">
        <v>735</v>
      </c>
    </row>
    <row r="2" spans="1:5">
      <c r="A2" s="2" t="s">
        <v>741</v>
      </c>
      <c r="B2" t="s">
        <v>742</v>
      </c>
    </row>
    <row r="3" spans="1:5">
      <c r="A3" s="2"/>
    </row>
    <row r="4" spans="1:5">
      <c r="A4" s="2" t="s">
        <v>737</v>
      </c>
      <c r="B4">
        <v>316000</v>
      </c>
      <c r="D4" t="s">
        <v>738</v>
      </c>
      <c r="E4">
        <f>1000+62200+15800</f>
        <v>79000</v>
      </c>
    </row>
    <row r="5" spans="1:5">
      <c r="D5" t="s">
        <v>740</v>
      </c>
      <c r="E5">
        <v>237000</v>
      </c>
    </row>
    <row r="6" spans="1:5">
      <c r="A6" s="2" t="s">
        <v>736</v>
      </c>
      <c r="B6">
        <f>3611.13+350</f>
        <v>3961.13</v>
      </c>
    </row>
    <row r="7" spans="1:5">
      <c r="A7" s="2" t="s">
        <v>739</v>
      </c>
      <c r="B7">
        <f>174.66+1074.42</f>
        <v>1249.0800000000002</v>
      </c>
    </row>
    <row r="9" spans="1:5">
      <c r="A9" s="2" t="s">
        <v>622</v>
      </c>
      <c r="B9" s="2">
        <f>SUM(B10:B26)</f>
        <v>14936.369999999999</v>
      </c>
    </row>
    <row r="10" spans="1:5">
      <c r="A10" s="238" t="s">
        <v>743</v>
      </c>
      <c r="B10">
        <v>3000</v>
      </c>
      <c r="D10" t="s">
        <v>744</v>
      </c>
    </row>
    <row r="11" spans="1:5">
      <c r="A11" s="238" t="s">
        <v>743</v>
      </c>
      <c r="B11">
        <v>4670</v>
      </c>
      <c r="D11" t="s">
        <v>745</v>
      </c>
    </row>
    <row r="12" spans="1:5">
      <c r="A12" s="238" t="s">
        <v>746</v>
      </c>
      <c r="B12">
        <v>587.5</v>
      </c>
      <c r="D12" t="s">
        <v>747</v>
      </c>
      <c r="E12" t="s">
        <v>749</v>
      </c>
    </row>
    <row r="13" spans="1:5">
      <c r="A13" s="238" t="s">
        <v>748</v>
      </c>
      <c r="B13">
        <f>2691.2-342.83</f>
        <v>2348.37</v>
      </c>
      <c r="D13" t="s">
        <v>747</v>
      </c>
      <c r="E13" t="s">
        <v>751</v>
      </c>
    </row>
    <row r="14" spans="1:5">
      <c r="A14" s="238" t="s">
        <v>748</v>
      </c>
      <c r="B14">
        <v>516</v>
      </c>
      <c r="D14" t="s">
        <v>747</v>
      </c>
      <c r="E14" t="s">
        <v>771</v>
      </c>
    </row>
    <row r="15" spans="1:5">
      <c r="A15" s="238" t="s">
        <v>768</v>
      </c>
      <c r="B15">
        <v>98</v>
      </c>
      <c r="D15" t="s">
        <v>747</v>
      </c>
      <c r="E15" t="s">
        <v>775</v>
      </c>
    </row>
    <row r="16" spans="1:5">
      <c r="A16" s="238" t="s">
        <v>743</v>
      </c>
      <c r="B16">
        <v>3000</v>
      </c>
      <c r="D16" t="s">
        <v>752</v>
      </c>
    </row>
    <row r="17" spans="1:5">
      <c r="A17" s="238" t="s">
        <v>748</v>
      </c>
      <c r="B17">
        <v>271.63</v>
      </c>
      <c r="D17" t="s">
        <v>747</v>
      </c>
      <c r="E17" t="s">
        <v>772</v>
      </c>
    </row>
    <row r="18" spans="1:5">
      <c r="A18" s="238" t="s">
        <v>748</v>
      </c>
      <c r="B18">
        <v>15.84</v>
      </c>
      <c r="D18" t="s">
        <v>747</v>
      </c>
      <c r="E18" t="s">
        <v>773</v>
      </c>
    </row>
    <row r="19" spans="1:5">
      <c r="A19" s="238" t="s">
        <v>748</v>
      </c>
      <c r="B19">
        <v>84.58</v>
      </c>
      <c r="D19" t="s">
        <v>747</v>
      </c>
      <c r="E19" t="s">
        <v>774</v>
      </c>
    </row>
    <row r="20" spans="1:5">
      <c r="A20" s="238" t="s">
        <v>768</v>
      </c>
      <c r="B20">
        <v>219.75</v>
      </c>
      <c r="D20" t="s">
        <v>747</v>
      </c>
      <c r="E20" t="s">
        <v>770</v>
      </c>
    </row>
    <row r="21" spans="1:5">
      <c r="A21" s="238" t="s">
        <v>748</v>
      </c>
      <c r="B21">
        <v>128.62</v>
      </c>
      <c r="D21" t="s">
        <v>747</v>
      </c>
      <c r="E21" t="s">
        <v>887</v>
      </c>
    </row>
    <row r="22" spans="1:5">
      <c r="A22" s="238" t="s">
        <v>748</v>
      </c>
      <c r="B22">
        <v>19.48</v>
      </c>
      <c r="D22" t="s">
        <v>747</v>
      </c>
      <c r="E22" t="s">
        <v>779</v>
      </c>
    </row>
    <row r="23" spans="1:5">
      <c r="A23" s="238" t="s">
        <v>748</v>
      </c>
      <c r="B23">
        <v>-60.99</v>
      </c>
      <c r="D23" t="s">
        <v>747</v>
      </c>
      <c r="E23" t="s">
        <v>796</v>
      </c>
    </row>
    <row r="24" spans="1:5">
      <c r="A24" s="238" t="s">
        <v>748</v>
      </c>
      <c r="B24">
        <v>37.590000000000003</v>
      </c>
      <c r="D24" t="s">
        <v>747</v>
      </c>
      <c r="E24" t="s">
        <v>797</v>
      </c>
    </row>
    <row r="26" spans="1:5">
      <c r="A26" s="3" t="s">
        <v>875</v>
      </c>
    </row>
    <row r="27" spans="1:5">
      <c r="A27" s="316">
        <v>41398</v>
      </c>
      <c r="B27" t="s">
        <v>884</v>
      </c>
    </row>
    <row r="28" spans="1:5">
      <c r="A28" s="316">
        <v>41612</v>
      </c>
      <c r="B28" t="s">
        <v>885</v>
      </c>
    </row>
    <row r="29" spans="1:5">
      <c r="A29" s="316">
        <v>41552</v>
      </c>
      <c r="B29" t="s">
        <v>886</v>
      </c>
    </row>
    <row r="30" spans="1:5">
      <c r="A30" s="238" t="s">
        <v>876</v>
      </c>
      <c r="B30" t="s">
        <v>877</v>
      </c>
    </row>
    <row r="31" spans="1:5">
      <c r="A31" s="238" t="s">
        <v>878</v>
      </c>
      <c r="B31" t="s">
        <v>879</v>
      </c>
    </row>
    <row r="32" spans="1:5">
      <c r="A32" s="238" t="s">
        <v>792</v>
      </c>
      <c r="B32" t="s">
        <v>881</v>
      </c>
    </row>
    <row r="33" spans="1:5">
      <c r="A33" s="238" t="s">
        <v>880</v>
      </c>
      <c r="B33" t="s">
        <v>888</v>
      </c>
    </row>
    <row r="34" spans="1:5">
      <c r="A34" s="315">
        <v>41371</v>
      </c>
      <c r="B34" t="s">
        <v>882</v>
      </c>
    </row>
    <row r="35" spans="1:5">
      <c r="A35" s="315" t="s">
        <v>883</v>
      </c>
      <c r="B35" t="s">
        <v>889</v>
      </c>
    </row>
    <row r="36" spans="1:5">
      <c r="A36" s="315">
        <v>41285</v>
      </c>
      <c r="B36" t="s">
        <v>928</v>
      </c>
    </row>
    <row r="37" spans="1:5">
      <c r="A37" s="315"/>
    </row>
    <row r="39" spans="1:5">
      <c r="A39" t="s">
        <v>791</v>
      </c>
    </row>
    <row r="41" spans="1:5">
      <c r="A41" t="s">
        <v>792</v>
      </c>
      <c r="B41">
        <v>40</v>
      </c>
      <c r="D41" t="s">
        <v>793</v>
      </c>
    </row>
    <row r="42" spans="1:5">
      <c r="A42" t="s">
        <v>880</v>
      </c>
      <c r="B42">
        <v>22.4</v>
      </c>
      <c r="D42" t="s">
        <v>794</v>
      </c>
    </row>
    <row r="43" spans="1:5">
      <c r="A43" t="s">
        <v>880</v>
      </c>
      <c r="B43">
        <v>15.62</v>
      </c>
      <c r="D43" t="s">
        <v>795</v>
      </c>
    </row>
    <row r="44" spans="1:5">
      <c r="A44" s="247">
        <v>41554</v>
      </c>
      <c r="B44">
        <v>680</v>
      </c>
      <c r="D44" t="s">
        <v>808</v>
      </c>
    </row>
    <row r="45" spans="1:5">
      <c r="A45" s="247">
        <v>41285</v>
      </c>
      <c r="B45">
        <v>13.67</v>
      </c>
      <c r="D45" t="s">
        <v>927</v>
      </c>
    </row>
    <row r="46" spans="1:5">
      <c r="A46" s="247">
        <v>41285</v>
      </c>
      <c r="B46">
        <v>2.4500000000000002</v>
      </c>
      <c r="D46" t="s">
        <v>929</v>
      </c>
    </row>
    <row r="47" spans="1:5">
      <c r="A47" s="247">
        <v>41285</v>
      </c>
      <c r="B47">
        <v>54.26</v>
      </c>
      <c r="D47" t="s">
        <v>793</v>
      </c>
    </row>
    <row r="48" spans="1:5">
      <c r="A48" t="s">
        <v>940</v>
      </c>
      <c r="B48">
        <v>112.35</v>
      </c>
      <c r="D48" t="s">
        <v>941</v>
      </c>
      <c r="E48" t="s">
        <v>942</v>
      </c>
    </row>
    <row r="49" spans="1:5">
      <c r="A49" s="247">
        <v>41285</v>
      </c>
      <c r="B49">
        <v>19.88</v>
      </c>
      <c r="D49" t="s">
        <v>941</v>
      </c>
      <c r="E49" t="s">
        <v>943</v>
      </c>
    </row>
    <row r="50" spans="1:5">
      <c r="A50" s="247" t="s">
        <v>946</v>
      </c>
      <c r="B50">
        <v>19.97</v>
      </c>
      <c r="D50" t="s">
        <v>941</v>
      </c>
      <c r="E50" t="s">
        <v>943</v>
      </c>
    </row>
    <row r="51" spans="1:5">
      <c r="B51">
        <v>109</v>
      </c>
      <c r="D51" t="s">
        <v>941</v>
      </c>
      <c r="E51" t="s">
        <v>947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587"/>
  <sheetViews>
    <sheetView topLeftCell="A85" zoomScale="84" zoomScaleNormal="84" workbookViewId="0">
      <selection activeCell="F175" sqref="F175"/>
    </sheetView>
  </sheetViews>
  <sheetFormatPr defaultColWidth="9.42578125" defaultRowHeight="13.5"/>
  <cols>
    <col min="1" max="1" width="31.7109375" style="131" customWidth="1"/>
    <col min="2" max="2" width="17" style="131" customWidth="1"/>
    <col min="3" max="3" width="13.42578125" style="131" customWidth="1"/>
    <col min="4" max="4" width="12.140625" style="131" customWidth="1"/>
    <col min="5" max="5" width="11.7109375" style="131" customWidth="1"/>
    <col min="6" max="6" width="13.85546875" style="131" customWidth="1"/>
    <col min="7" max="9" width="13.5703125" style="131" customWidth="1"/>
    <col min="10" max="16384" width="9.42578125" style="131"/>
  </cols>
  <sheetData>
    <row r="1" spans="1:5" ht="12.75" customHeight="1">
      <c r="A1" s="131" t="s">
        <v>31</v>
      </c>
    </row>
    <row r="2" spans="1:5" ht="12.75" customHeight="1">
      <c r="A2" s="131" t="s">
        <v>32</v>
      </c>
    </row>
    <row r="3" spans="1:5" ht="12.75" customHeight="1">
      <c r="A3" s="131" t="s">
        <v>33</v>
      </c>
    </row>
    <row r="4" spans="1:5">
      <c r="A4" s="131" t="s">
        <v>34</v>
      </c>
    </row>
    <row r="6" spans="1:5">
      <c r="D6" s="131" t="s">
        <v>38</v>
      </c>
      <c r="E6" s="131" t="s">
        <v>39</v>
      </c>
    </row>
    <row r="7" spans="1:5" ht="12.75" customHeight="1">
      <c r="A7" s="131" t="s">
        <v>454</v>
      </c>
      <c r="D7" s="131" t="s">
        <v>364</v>
      </c>
      <c r="E7" s="131" t="s">
        <v>364</v>
      </c>
    </row>
    <row r="8" spans="1:5" ht="13.5" customHeight="1">
      <c r="A8" s="131" t="s">
        <v>35</v>
      </c>
      <c r="D8" s="131">
        <f>3162*26</f>
        <v>82212</v>
      </c>
      <c r="E8" s="131">
        <f>D8</f>
        <v>82212</v>
      </c>
    </row>
    <row r="9" spans="1:5" ht="12.75" customHeight="1">
      <c r="A9" s="131" t="s">
        <v>36</v>
      </c>
      <c r="D9" s="131">
        <v>0</v>
      </c>
      <c r="E9" s="131">
        <f>D9</f>
        <v>0</v>
      </c>
    </row>
    <row r="10" spans="1:5" ht="12.75" customHeight="1" thickBot="1">
      <c r="C10" s="132" t="s">
        <v>37</v>
      </c>
      <c r="D10" s="133">
        <f>SUM(D8:D9)</f>
        <v>82212</v>
      </c>
      <c r="E10" s="133">
        <f>SUM(E8:E9)</f>
        <v>82212</v>
      </c>
    </row>
    <row r="11" spans="1:5" ht="15" thickTop="1" thickBot="1">
      <c r="B11" s="134" t="s">
        <v>369</v>
      </c>
      <c r="D11" s="135">
        <f>D10/12</f>
        <v>6851</v>
      </c>
      <c r="E11" s="135">
        <f>D11</f>
        <v>6851</v>
      </c>
    </row>
    <row r="12" spans="1:5" ht="14.25" thickTop="1">
      <c r="B12" s="134"/>
      <c r="D12" s="136"/>
      <c r="E12" s="136"/>
    </row>
    <row r="13" spans="1:5">
      <c r="B13" s="134" t="s">
        <v>370</v>
      </c>
      <c r="D13" s="136">
        <v>-1200</v>
      </c>
      <c r="E13" s="136">
        <v>-1200</v>
      </c>
    </row>
    <row r="14" spans="1:5">
      <c r="B14" s="134"/>
      <c r="D14" s="137">
        <f>D11-D13</f>
        <v>8051</v>
      </c>
      <c r="E14" s="137">
        <f>D14</f>
        <v>8051</v>
      </c>
    </row>
    <row r="15" spans="1:5">
      <c r="A15" s="131" t="s">
        <v>373</v>
      </c>
      <c r="B15" s="134" t="s">
        <v>372</v>
      </c>
      <c r="D15" s="136">
        <v>-2000</v>
      </c>
      <c r="E15" s="136">
        <v>-2000</v>
      </c>
    </row>
    <row r="16" spans="1:5">
      <c r="B16" s="134" t="s">
        <v>374</v>
      </c>
      <c r="D16" s="136">
        <v>-500</v>
      </c>
      <c r="E16" s="136">
        <v>-500</v>
      </c>
    </row>
    <row r="17" spans="1:6">
      <c r="B17" s="134" t="s">
        <v>375</v>
      </c>
      <c r="C17" s="134"/>
      <c r="D17" s="134">
        <v>-500</v>
      </c>
      <c r="E17" s="134">
        <v>-500</v>
      </c>
    </row>
    <row r="18" spans="1:6" ht="14.25" thickBot="1">
      <c r="A18" s="131" t="s">
        <v>376</v>
      </c>
      <c r="B18" s="134" t="s">
        <v>377</v>
      </c>
      <c r="C18" s="134"/>
      <c r="D18" s="138">
        <f>-200*4</f>
        <v>-800</v>
      </c>
      <c r="E18" s="138">
        <f>D18</f>
        <v>-800</v>
      </c>
    </row>
    <row r="19" spans="1:6" ht="14.25" thickBot="1">
      <c r="A19" s="131" t="s">
        <v>378</v>
      </c>
      <c r="D19" s="139">
        <f>SUM(D14:D18)</f>
        <v>4251</v>
      </c>
      <c r="E19" s="139">
        <f>SUM(E14:E18)</f>
        <v>4251</v>
      </c>
    </row>
    <row r="20" spans="1:6" ht="14.25" thickTop="1"/>
    <row r="21" spans="1:6" ht="12.75" customHeight="1">
      <c r="A21" s="131" t="s">
        <v>371</v>
      </c>
      <c r="D21" s="131" t="s">
        <v>38</v>
      </c>
      <c r="E21" s="131" t="s">
        <v>39</v>
      </c>
    </row>
    <row r="22" spans="1:6" ht="12.75" customHeight="1">
      <c r="A22" s="131" t="s">
        <v>365</v>
      </c>
      <c r="B22" s="131" t="s">
        <v>366</v>
      </c>
      <c r="D22" s="131">
        <v>1000</v>
      </c>
      <c r="E22" s="131">
        <v>500</v>
      </c>
    </row>
    <row r="23" spans="1:6" ht="12.75" customHeight="1">
      <c r="A23" s="131" t="s">
        <v>40</v>
      </c>
    </row>
    <row r="24" spans="1:6" ht="12.75" customHeight="1">
      <c r="A24" s="140" t="s">
        <v>41</v>
      </c>
      <c r="B24" s="131" t="s">
        <v>42</v>
      </c>
      <c r="D24" s="131">
        <v>120</v>
      </c>
      <c r="E24" s="131">
        <v>115</v>
      </c>
    </row>
    <row r="25" spans="1:6" ht="12.75" customHeight="1">
      <c r="A25" s="140" t="s">
        <v>43</v>
      </c>
      <c r="B25" s="131" t="s">
        <v>44</v>
      </c>
      <c r="D25" s="131">
        <v>50</v>
      </c>
      <c r="E25" s="131">
        <v>40</v>
      </c>
    </row>
    <row r="26" spans="1:6" ht="12.75" customHeight="1">
      <c r="A26" s="140" t="s">
        <v>45</v>
      </c>
      <c r="B26" s="131" t="s">
        <v>46</v>
      </c>
      <c r="D26" s="131">
        <f>830/12</f>
        <v>69.166666666666671</v>
      </c>
      <c r="E26" s="131">
        <f>D26</f>
        <v>69.166666666666671</v>
      </c>
      <c r="F26" s="131" t="s">
        <v>368</v>
      </c>
    </row>
    <row r="27" spans="1:6" ht="12.75" customHeight="1">
      <c r="A27" s="140" t="s">
        <v>47</v>
      </c>
      <c r="B27" s="131" t="s">
        <v>48</v>
      </c>
      <c r="D27" s="131">
        <f>1550/12</f>
        <v>129.16666666666666</v>
      </c>
      <c r="E27" s="131">
        <f>1550/12</f>
        <v>129.16666666666666</v>
      </c>
      <c r="F27" s="131" t="s">
        <v>367</v>
      </c>
    </row>
    <row r="28" spans="1:6" ht="12.75" customHeight="1">
      <c r="A28" s="140"/>
      <c r="B28" s="131" t="s">
        <v>49</v>
      </c>
      <c r="D28" s="141">
        <f>SUM(D24:D27)</f>
        <v>368.33333333333337</v>
      </c>
      <c r="E28" s="141">
        <f>SUM(E24:E27)</f>
        <v>353.33333333333337</v>
      </c>
    </row>
    <row r="29" spans="1:6" ht="12.75" customHeight="1">
      <c r="A29" s="140"/>
      <c r="D29" s="142"/>
      <c r="E29" s="142"/>
    </row>
    <row r="30" spans="1:6" ht="12.75" customHeight="1">
      <c r="A30" s="131" t="s">
        <v>50</v>
      </c>
      <c r="B30" s="131" t="s">
        <v>51</v>
      </c>
      <c r="D30" s="131">
        <v>63</v>
      </c>
      <c r="E30" s="131">
        <v>63</v>
      </c>
    </row>
    <row r="31" spans="1:6" ht="12.75" customHeight="1">
      <c r="A31" s="131" t="s">
        <v>379</v>
      </c>
      <c r="B31" s="131" t="s">
        <v>380</v>
      </c>
      <c r="D31" s="131">
        <v>75</v>
      </c>
      <c r="E31" s="131">
        <v>75</v>
      </c>
    </row>
    <row r="32" spans="1:6" ht="12.75" customHeight="1">
      <c r="A32" s="131" t="s">
        <v>52</v>
      </c>
      <c r="D32" s="131">
        <v>100</v>
      </c>
      <c r="E32" s="131">
        <v>100</v>
      </c>
    </row>
    <row r="33" spans="1:6" ht="12.75" customHeight="1">
      <c r="A33" s="131" t="s">
        <v>53</v>
      </c>
      <c r="B33" s="131" t="s">
        <v>381</v>
      </c>
      <c r="D33" s="131">
        <v>1500</v>
      </c>
      <c r="E33" s="131">
        <v>1500</v>
      </c>
    </row>
    <row r="34" spans="1:6" ht="12.75" customHeight="1">
      <c r="D34" s="141">
        <f>SUM(D30:D33)</f>
        <v>1738</v>
      </c>
      <c r="E34" s="141">
        <f>SUM(E30:E33)</f>
        <v>1738</v>
      </c>
    </row>
    <row r="35" spans="1:6" ht="12.75" customHeight="1">
      <c r="D35" s="142"/>
    </row>
    <row r="36" spans="1:6" ht="12.75" customHeight="1">
      <c r="A36" s="131" t="s">
        <v>54</v>
      </c>
      <c r="B36" s="131" t="s">
        <v>55</v>
      </c>
      <c r="D36" s="143">
        <f>B45/12</f>
        <v>1324.3516666666667</v>
      </c>
      <c r="E36" s="143">
        <f>B45/12</f>
        <v>1324.3516666666667</v>
      </c>
    </row>
    <row r="37" spans="1:6" ht="12.75" customHeight="1">
      <c r="D37" s="143"/>
      <c r="E37" s="143"/>
    </row>
    <row r="38" spans="1:6" ht="12.75" customHeight="1">
      <c r="A38" s="140" t="s">
        <v>56</v>
      </c>
      <c r="B38" s="131">
        <f>98.4+135</f>
        <v>233.4</v>
      </c>
      <c r="C38" s="131" t="s">
        <v>57</v>
      </c>
      <c r="D38" s="131">
        <f t="shared" ref="D38:D44" si="0">B38/12</f>
        <v>19.45</v>
      </c>
    </row>
    <row r="39" spans="1:6" ht="12.75" customHeight="1">
      <c r="A39" s="140" t="s">
        <v>58</v>
      </c>
      <c r="B39" s="131">
        <f>1653+28</f>
        <v>1681</v>
      </c>
      <c r="C39" s="131" t="s">
        <v>59</v>
      </c>
      <c r="D39" s="131">
        <f t="shared" si="0"/>
        <v>140.08333333333334</v>
      </c>
    </row>
    <row r="40" spans="1:6" ht="12.75" customHeight="1">
      <c r="A40" s="140" t="s">
        <v>60</v>
      </c>
      <c r="B40" s="131">
        <v>432.82</v>
      </c>
      <c r="D40" s="131">
        <f t="shared" si="0"/>
        <v>36.068333333333335</v>
      </c>
    </row>
    <row r="41" spans="1:6" ht="12.75" customHeight="1">
      <c r="A41" s="140" t="s">
        <v>61</v>
      </c>
      <c r="B41" s="131">
        <v>0</v>
      </c>
      <c r="D41" s="131">
        <f t="shared" si="0"/>
        <v>0</v>
      </c>
    </row>
    <row r="42" spans="1:6" ht="12.75" customHeight="1">
      <c r="A42" s="140" t="s">
        <v>62</v>
      </c>
      <c r="B42" s="131">
        <v>9600</v>
      </c>
      <c r="D42" s="131">
        <f t="shared" si="0"/>
        <v>800</v>
      </c>
    </row>
    <row r="43" spans="1:6" ht="12.75" customHeight="1">
      <c r="A43" s="140" t="s">
        <v>63</v>
      </c>
      <c r="B43" s="131">
        <f>1200</f>
        <v>1200</v>
      </c>
      <c r="D43" s="131">
        <f t="shared" si="0"/>
        <v>100</v>
      </c>
    </row>
    <row r="44" spans="1:6" ht="12.75" customHeight="1">
      <c r="A44" s="140" t="s">
        <v>64</v>
      </c>
      <c r="B44" s="131">
        <f>1200*2+45*3+65*2+40*2</f>
        <v>2745</v>
      </c>
      <c r="D44" s="131">
        <f t="shared" si="0"/>
        <v>228.75</v>
      </c>
      <c r="F44" s="144" t="s">
        <v>382</v>
      </c>
    </row>
    <row r="45" spans="1:6" ht="12.75" customHeight="1">
      <c r="B45" s="133">
        <f>SUM(B38:B44)</f>
        <v>15892.220000000001</v>
      </c>
      <c r="C45" s="131" t="s">
        <v>65</v>
      </c>
      <c r="D45" s="141">
        <f>SUM(D38:D44)</f>
        <v>1324.3516666666667</v>
      </c>
    </row>
    <row r="46" spans="1:6" ht="12.75" customHeight="1">
      <c r="A46" s="144" t="s">
        <v>66</v>
      </c>
    </row>
    <row r="47" spans="1:6" ht="12.75" customHeight="1">
      <c r="A47" s="144"/>
    </row>
    <row r="48" spans="1:6" ht="12.75" customHeight="1">
      <c r="A48" s="144" t="s">
        <v>67</v>
      </c>
    </row>
    <row r="49" spans="1:5" ht="12.75" customHeight="1">
      <c r="A49" s="144" t="s">
        <v>68</v>
      </c>
      <c r="B49" s="131">
        <v>300</v>
      </c>
      <c r="C49" s="131" t="s">
        <v>69</v>
      </c>
      <c r="D49" s="131">
        <f>B49/24</f>
        <v>12.5</v>
      </c>
    </row>
    <row r="50" spans="1:5" ht="12.75" customHeight="1">
      <c r="A50" s="144" t="s">
        <v>70</v>
      </c>
      <c r="B50" s="131">
        <v>0</v>
      </c>
      <c r="C50" s="131" t="s">
        <v>69</v>
      </c>
      <c r="D50" s="131">
        <f>B50/24</f>
        <v>0</v>
      </c>
    </row>
    <row r="51" spans="1:5" ht="12.75" customHeight="1">
      <c r="A51" s="144"/>
      <c r="D51" s="145">
        <f>SUM(D49:D50)</f>
        <v>12.5</v>
      </c>
      <c r="E51" s="145">
        <f>D51</f>
        <v>12.5</v>
      </c>
    </row>
    <row r="52" spans="1:5" ht="12.75" customHeight="1">
      <c r="A52" s="144"/>
    </row>
    <row r="53" spans="1:5" ht="12.75" customHeight="1">
      <c r="A53" s="144"/>
    </row>
    <row r="54" spans="1:5" ht="12.75" customHeight="1">
      <c r="C54" s="131" t="s">
        <v>71</v>
      </c>
      <c r="D54" s="143">
        <f>D22+D28+D34+D36+D51</f>
        <v>4443.1850000000004</v>
      </c>
      <c r="E54" s="143">
        <f>E22+E28+E34+E36+E51</f>
        <v>3928.1850000000004</v>
      </c>
    </row>
    <row r="57" spans="1:5" ht="12.75" customHeight="1"/>
    <row r="58" spans="1:5" ht="12.75" customHeight="1">
      <c r="A58" s="131" t="s">
        <v>72</v>
      </c>
      <c r="B58" s="131" t="s">
        <v>27</v>
      </c>
      <c r="D58" s="131">
        <f>D10/12</f>
        <v>6851</v>
      </c>
      <c r="E58" s="131">
        <f>D58</f>
        <v>6851</v>
      </c>
    </row>
    <row r="59" spans="1:5" ht="12.75" customHeight="1">
      <c r="A59" s="131" t="s">
        <v>73</v>
      </c>
      <c r="D59" s="143">
        <f>D54</f>
        <v>4443.1850000000004</v>
      </c>
      <c r="E59" s="143">
        <f>E54</f>
        <v>3928.1850000000004</v>
      </c>
    </row>
    <row r="61" spans="1:5" ht="12.75" customHeight="1">
      <c r="A61" s="131" t="s">
        <v>74</v>
      </c>
      <c r="D61" s="143">
        <f>D58-D59</f>
        <v>2407.8149999999996</v>
      </c>
      <c r="E61" s="143">
        <f>E58-E59</f>
        <v>2922.8149999999996</v>
      </c>
    </row>
    <row r="62" spans="1:5" ht="12.75" customHeight="1">
      <c r="A62" s="131" t="s">
        <v>75</v>
      </c>
      <c r="D62" s="131">
        <f>0.13*D58</f>
        <v>890.63</v>
      </c>
      <c r="E62" s="131">
        <f>0.13*E58</f>
        <v>890.63</v>
      </c>
    </row>
    <row r="63" spans="1:5" ht="12.75" customHeight="1">
      <c r="C63" s="131" t="s">
        <v>76</v>
      </c>
      <c r="D63" s="146">
        <f>D61-D62</f>
        <v>1517.1849999999995</v>
      </c>
      <c r="E63" s="146">
        <f>E61-E62</f>
        <v>2032.1849999999995</v>
      </c>
    </row>
    <row r="64" spans="1:5" ht="12.75" customHeight="1" thickTop="1">
      <c r="C64" s="131" t="s">
        <v>77</v>
      </c>
      <c r="D64" s="147">
        <f>D63/D58</f>
        <v>0.2214545321850824</v>
      </c>
      <c r="E64" s="147">
        <f>E63/E58</f>
        <v>0.29662603999416137</v>
      </c>
    </row>
    <row r="65" spans="1:9" ht="12.75" customHeight="1">
      <c r="D65" s="147"/>
      <c r="E65" s="147"/>
    </row>
    <row r="66" spans="1:9" ht="12.75" customHeight="1">
      <c r="A66" s="134" t="s">
        <v>415</v>
      </c>
      <c r="D66" s="147"/>
      <c r="E66" s="147"/>
    </row>
    <row r="67" spans="1:9" ht="12.75" customHeight="1">
      <c r="A67" s="134" t="s">
        <v>416</v>
      </c>
      <c r="D67" s="147"/>
      <c r="E67" s="147"/>
    </row>
    <row r="68" spans="1:9" ht="31.15" customHeight="1">
      <c r="A68" s="149" t="s">
        <v>410</v>
      </c>
      <c r="B68" s="149"/>
      <c r="D68" s="150"/>
      <c r="F68" s="151"/>
      <c r="G68" s="160" t="s">
        <v>411</v>
      </c>
      <c r="H68" s="151"/>
      <c r="I68" s="160" t="s">
        <v>412</v>
      </c>
    </row>
    <row r="69" spans="1:9" ht="17.25" customHeight="1">
      <c r="A69" s="131" t="s">
        <v>27</v>
      </c>
      <c r="B69" s="149"/>
      <c r="D69" s="150"/>
      <c r="G69" s="131">
        <f>3162*26</f>
        <v>82212</v>
      </c>
      <c r="I69" s="131">
        <f>G69/12</f>
        <v>6851</v>
      </c>
    </row>
    <row r="70" spans="1:9" ht="17.25" customHeight="1">
      <c r="A70" s="131" t="s">
        <v>414</v>
      </c>
      <c r="B70" s="149"/>
      <c r="D70" s="150"/>
      <c r="G70" s="131">
        <f>2500+3800+2500</f>
        <v>8800</v>
      </c>
      <c r="I70" s="131">
        <v>0</v>
      </c>
    </row>
    <row r="71" spans="1:9" ht="17.25" customHeight="1">
      <c r="A71" s="131" t="s">
        <v>413</v>
      </c>
      <c r="B71" s="149"/>
      <c r="D71" s="150"/>
      <c r="G71" s="131">
        <v>3000</v>
      </c>
      <c r="I71" s="131">
        <v>0</v>
      </c>
    </row>
    <row r="72" spans="1:9" ht="17.25" customHeight="1" thickBot="1">
      <c r="B72" s="149"/>
      <c r="D72" s="150"/>
      <c r="G72" s="161">
        <f>SUM(G69:G71)</f>
        <v>94012</v>
      </c>
      <c r="H72" s="161"/>
      <c r="I72" s="161">
        <f>SUM(I69:I71)</f>
        <v>6851</v>
      </c>
    </row>
    <row r="73" spans="1:9" ht="15" customHeight="1" thickTop="1">
      <c r="A73" s="149"/>
      <c r="B73" s="153"/>
    </row>
    <row r="74" spans="1:9" ht="15" customHeight="1">
      <c r="A74" s="149"/>
      <c r="B74" s="153"/>
      <c r="F74" s="140" t="s">
        <v>79</v>
      </c>
      <c r="H74" s="152" t="s">
        <v>80</v>
      </c>
    </row>
    <row r="75" spans="1:9" ht="15" customHeight="1">
      <c r="A75" s="149"/>
      <c r="B75" s="153"/>
      <c r="F75" s="140" t="s">
        <v>81</v>
      </c>
      <c r="G75" s="131" t="s">
        <v>82</v>
      </c>
      <c r="H75" s="154" t="s">
        <v>83</v>
      </c>
      <c r="I75" s="131" t="s">
        <v>84</v>
      </c>
    </row>
    <row r="76" spans="1:9" ht="15.95" customHeight="1">
      <c r="A76" s="149" t="s">
        <v>394</v>
      </c>
      <c r="B76" s="153"/>
      <c r="F76" s="140">
        <f>Jan!G12+Feb!G12+Mar!G12+Apr!G12+May!G12+Jun!G12+July!G12+Aug!G12+Sep!G12+Oct!G12+Nov!G12+Dec!G12</f>
        <v>13528.24</v>
      </c>
      <c r="G76" s="131">
        <f>I76*12</f>
        <v>9600</v>
      </c>
      <c r="H76" s="155">
        <f>G76-F76</f>
        <v>-3928.24</v>
      </c>
      <c r="I76" s="131">
        <v>800</v>
      </c>
    </row>
    <row r="77" spans="1:9" ht="15.95" customHeight="1">
      <c r="A77" s="149"/>
      <c r="B77" s="153"/>
      <c r="F77" s="140"/>
      <c r="H77" s="155"/>
    </row>
    <row r="78" spans="1:9" ht="15.95" customHeight="1">
      <c r="A78" s="149" t="s">
        <v>329</v>
      </c>
      <c r="B78" s="153"/>
      <c r="F78" s="140">
        <f>Jan!G14+Feb!G14+Mar!G14+Apr!G14+May!G14+Jun!G14+July!G14+Aug!G14+Sep!G14+Oct!G14+Nov!G14+Dec!G14</f>
        <v>0</v>
      </c>
      <c r="G78" s="131">
        <f t="shared" ref="G78:G83" si="1">I78*12</f>
        <v>9120</v>
      </c>
      <c r="H78" s="155">
        <f t="shared" ref="H78:H83" si="2">G78-F78</f>
        <v>9120</v>
      </c>
      <c r="I78" s="131">
        <v>760</v>
      </c>
    </row>
    <row r="79" spans="1:9" ht="15.95" customHeight="1">
      <c r="A79" s="149" t="s">
        <v>395</v>
      </c>
      <c r="B79" s="153"/>
      <c r="F79" s="140">
        <f>Jan!G15+Feb!G15+Mar!G15+Apr!G15+May!G15+Jun!G15+July!G15+Aug!G15+Sep!G15+Oct!G15+Nov!G15+Dec!G15</f>
        <v>9000</v>
      </c>
      <c r="G79" s="131">
        <f t="shared" si="1"/>
        <v>2400</v>
      </c>
      <c r="H79" s="155">
        <f t="shared" si="2"/>
        <v>-6600</v>
      </c>
      <c r="I79" s="131">
        <v>200</v>
      </c>
    </row>
    <row r="80" spans="1:9" ht="15.95" customHeight="1">
      <c r="A80" s="149" t="s">
        <v>458</v>
      </c>
      <c r="B80" s="153"/>
      <c r="F80" s="140">
        <f>Jan!G16+Feb!G16+Mar!G16+Apr!G16+May!G16+Jun!G16+July!G16+Aug!G16+Sep!G16+Oct!G16+Nov!G16+Dec!G16</f>
        <v>2400</v>
      </c>
      <c r="G80" s="131">
        <f t="shared" si="1"/>
        <v>3600</v>
      </c>
      <c r="H80" s="155">
        <f t="shared" si="2"/>
        <v>1200</v>
      </c>
      <c r="I80" s="131">
        <v>300</v>
      </c>
    </row>
    <row r="81" spans="1:9" ht="15.95" customHeight="1">
      <c r="A81" s="149" t="s">
        <v>396</v>
      </c>
      <c r="B81" s="153"/>
      <c r="F81" s="140">
        <f>Jan!G16+Feb!G16+Mar!G16+Apr!G16+May!G16+Jun!G16+July!G16+Aug!G16+Sep!G16+Oct!G16+Nov!G16+Dec!G16</f>
        <v>2400</v>
      </c>
      <c r="G81" s="131">
        <f t="shared" si="1"/>
        <v>2400</v>
      </c>
      <c r="H81" s="155">
        <f t="shared" si="2"/>
        <v>0</v>
      </c>
      <c r="I81" s="131">
        <v>200</v>
      </c>
    </row>
    <row r="82" spans="1:9" ht="15.95" customHeight="1">
      <c r="A82" s="149" t="s">
        <v>459</v>
      </c>
      <c r="B82" s="153"/>
      <c r="F82" s="140">
        <f>Jan!G17+Feb!G17+Mar!G17+Apr!G17+May!G17+Jun!G17+July!G17+Aug!G17+Sep!G17+Oct!G17+Nov!G17+Dec!G17</f>
        <v>3600</v>
      </c>
      <c r="G82" s="131">
        <f t="shared" si="1"/>
        <v>3600</v>
      </c>
      <c r="H82" s="155">
        <f t="shared" si="2"/>
        <v>0</v>
      </c>
      <c r="I82" s="131">
        <v>300</v>
      </c>
    </row>
    <row r="83" spans="1:9" ht="15.95" customHeight="1">
      <c r="A83" s="149" t="s">
        <v>397</v>
      </c>
      <c r="B83" s="153"/>
      <c r="F83" s="140">
        <f>Jan!G18+Feb!G18+Mar!G18+Apr!G18+May!G18+Jun!G18+July!G18+Aug!G18+Sep!G18+Oct!G18+Nov!G18+Dec!G18</f>
        <v>2400</v>
      </c>
      <c r="G83" s="131">
        <f t="shared" si="1"/>
        <v>600</v>
      </c>
      <c r="H83" s="155">
        <f t="shared" si="2"/>
        <v>-1800</v>
      </c>
      <c r="I83" s="131">
        <v>50</v>
      </c>
    </row>
    <row r="84" spans="1:9" ht="15.95" customHeight="1">
      <c r="A84" s="149"/>
      <c r="B84" s="153"/>
      <c r="F84" s="140"/>
      <c r="H84" s="154"/>
    </row>
    <row r="85" spans="1:9" ht="15.95" customHeight="1">
      <c r="A85" s="149" t="s">
        <v>398</v>
      </c>
      <c r="B85" s="153"/>
      <c r="F85" s="140">
        <f>Jan!G21+Feb!G21+Mar!G21+Apr!G21+May!G21+Jun!G21+July!G21+Aug!G21+Sep!G21+Oct!G21+Nov!G21+Dec!G21</f>
        <v>0</v>
      </c>
      <c r="H85" s="154"/>
      <c r="I85" s="131">
        <v>500</v>
      </c>
    </row>
    <row r="86" spans="1:9" ht="15.95" customHeight="1">
      <c r="A86" s="149"/>
      <c r="B86" s="153"/>
      <c r="F86" s="140"/>
      <c r="H86" s="154"/>
    </row>
    <row r="87" spans="1:9" ht="15.95" customHeight="1">
      <c r="A87" s="149" t="s">
        <v>363</v>
      </c>
      <c r="B87" s="153"/>
      <c r="F87" s="140">
        <f>Jan!G23+Feb!G23+Mar!G23+Apr!G23+May!G23+Jun!G23+July!G23+Aug!G23+Sep!G23+Oct!G23+Nov!G23+Dec!G23</f>
        <v>0</v>
      </c>
      <c r="G87" s="131">
        <f>I87*12</f>
        <v>18000</v>
      </c>
      <c r="H87" s="152">
        <f>G87-F87</f>
        <v>18000</v>
      </c>
      <c r="I87" s="131">
        <v>1500</v>
      </c>
    </row>
    <row r="88" spans="1:9" ht="12.75" customHeight="1">
      <c r="A88" s="149" t="s">
        <v>399</v>
      </c>
      <c r="B88" s="149">
        <f>F88</f>
        <v>0</v>
      </c>
      <c r="F88" s="140">
        <f>Jan!G24+Feb!G24+Mar!G24+Apr!G24+May!G24+Jun!G24+July!G24+Aug!G24+Sep!G24+Oct!G24+Nov!G24+Dec!G24</f>
        <v>0</v>
      </c>
      <c r="G88" s="131">
        <f>I88*12</f>
        <v>6000</v>
      </c>
      <c r="H88" s="152">
        <f>G88-F88</f>
        <v>6000</v>
      </c>
      <c r="I88" s="131">
        <v>500</v>
      </c>
    </row>
    <row r="89" spans="1:9" ht="12.75" customHeight="1">
      <c r="A89" s="149"/>
      <c r="B89" s="149"/>
      <c r="F89" s="157"/>
      <c r="G89" s="157"/>
      <c r="H89" s="159"/>
      <c r="I89" s="157"/>
    </row>
    <row r="90" spans="1:9" ht="12.75" customHeight="1" thickBot="1">
      <c r="A90" s="149"/>
      <c r="B90" s="149"/>
      <c r="F90" s="158">
        <f>SUM(F76:F88)</f>
        <v>33328.239999999998</v>
      </c>
      <c r="G90" s="158">
        <f>SUM(G76:G88)</f>
        <v>55320</v>
      </c>
      <c r="H90" s="158">
        <f>SUM(H76:H88)</f>
        <v>21991.760000000002</v>
      </c>
      <c r="I90" s="158">
        <f>SUM(I76:I88)</f>
        <v>5110</v>
      </c>
    </row>
    <row r="91" spans="1:9" ht="12.75" customHeight="1" thickTop="1">
      <c r="A91" s="149"/>
      <c r="B91" s="149"/>
      <c r="H91" s="152"/>
    </row>
    <row r="92" spans="1:9" ht="12.75" customHeight="1">
      <c r="A92" s="149"/>
      <c r="B92" s="149"/>
      <c r="H92" s="152"/>
    </row>
    <row r="93" spans="1:9" ht="12.75" customHeight="1">
      <c r="A93" s="148" t="s">
        <v>78</v>
      </c>
      <c r="B93" s="149"/>
      <c r="H93" s="152"/>
    </row>
    <row r="94" spans="1:9" ht="12.75" customHeight="1">
      <c r="F94" s="151">
        <f>SUM(F97:F188)</f>
        <v>68525.840000000026</v>
      </c>
      <c r="G94" s="151">
        <f>SUM(G97:G178)</f>
        <v>57623.420000000006</v>
      </c>
      <c r="H94" s="151">
        <f>SUM(H97:H178)</f>
        <v>-7499.4700000000021</v>
      </c>
      <c r="I94" s="151">
        <f>SUM(I97:I178)</f>
        <v>4153.1400000000003</v>
      </c>
    </row>
    <row r="95" spans="1:9" ht="12.75" customHeight="1">
      <c r="A95" s="134" t="s">
        <v>421</v>
      </c>
      <c r="H95" s="152"/>
    </row>
    <row r="96" spans="1:9" ht="12.75" customHeight="1">
      <c r="A96" s="149" t="s">
        <v>420</v>
      </c>
      <c r="B96" s="149">
        <f>SUM(F97:F102)</f>
        <v>27397.360000000001</v>
      </c>
      <c r="C96" s="149">
        <f>SUM(G97:G102)</f>
        <v>28521.420000000006</v>
      </c>
      <c r="D96" s="149">
        <f>SUM(H97:H102)</f>
        <v>1124.0599999999981</v>
      </c>
      <c r="H96" s="152"/>
    </row>
    <row r="97" spans="1:10" ht="12.75" customHeight="1">
      <c r="A97" s="149" t="s">
        <v>547</v>
      </c>
      <c r="B97" s="131" t="s">
        <v>548</v>
      </c>
      <c r="F97" s="131">
        <f>Jan!G49+Feb!G49+Mar!G49+Apr!G49+May!G49+Jun!G49+July!G49+Aug!G49+Sep!G49+Oct!G49+Nov!G49+Dec!G49</f>
        <v>2426.06</v>
      </c>
      <c r="G97" s="131">
        <f>I97*12</f>
        <v>0</v>
      </c>
      <c r="H97" s="152">
        <f t="shared" ref="H97:H102" si="3">G97-F97</f>
        <v>-2426.06</v>
      </c>
      <c r="I97" s="131">
        <v>0</v>
      </c>
    </row>
    <row r="98" spans="1:10" ht="12.75" customHeight="1">
      <c r="A98" s="149"/>
      <c r="B98" s="131" t="s">
        <v>623</v>
      </c>
      <c r="F98" s="131">
        <f>Jan!G50+Feb!G50+Mar!G50+Apr!G50+May!G50+Jun!G50+July!G50+Aug!G50+Sep!G50+Oct!G50+Nov!G50+Dec!G50</f>
        <v>15161.570000000002</v>
      </c>
      <c r="G98" s="131">
        <f>I98*12</f>
        <v>15000</v>
      </c>
      <c r="H98" s="152">
        <f t="shared" si="3"/>
        <v>-161.57000000000153</v>
      </c>
      <c r="I98" s="131">
        <v>1250</v>
      </c>
    </row>
    <row r="99" spans="1:10" ht="12.75" customHeight="1">
      <c r="A99" s="149"/>
      <c r="B99" s="131" t="s">
        <v>624</v>
      </c>
      <c r="F99" s="131">
        <f>Jan!G51+Feb!G51+Mar!G51+Apr!G51+May!G51+Jun!G51+July!G51+Aug!G51+Sep!G51+Oct!G51+Nov!G51+Dec!G51</f>
        <v>5165.3999999999996</v>
      </c>
      <c r="G99" s="131">
        <f>I99*10</f>
        <v>5404.5</v>
      </c>
      <c r="H99" s="152">
        <f t="shared" si="3"/>
        <v>239.10000000000036</v>
      </c>
      <c r="I99" s="131">
        <v>540.45000000000005</v>
      </c>
    </row>
    <row r="100" spans="1:10" ht="12.75" customHeight="1">
      <c r="A100" s="149"/>
      <c r="B100" s="131" t="s">
        <v>549</v>
      </c>
      <c r="F100" s="131">
        <f>Jan!G52+Feb!G52+Mar!G52+Apr!G52+May!G52+Jun!G52+July!G52+Aug!G52+Sep!G52+Oct!G52+Nov!G52+Dec!G52</f>
        <v>13144.250000000002</v>
      </c>
      <c r="G100" s="131">
        <f>I100*10</f>
        <v>16366.800000000001</v>
      </c>
      <c r="H100" s="152">
        <f t="shared" si="3"/>
        <v>3222.5499999999993</v>
      </c>
      <c r="I100" s="131">
        <v>1636.68</v>
      </c>
    </row>
    <row r="101" spans="1:10" ht="12.75" customHeight="1">
      <c r="A101" s="149"/>
      <c r="B101" s="131" t="s">
        <v>719</v>
      </c>
      <c r="F101" s="131">
        <f>Jan!G53+Feb!G53+Mar!G53+Apr!G53+May!G53+Jun!G53+July!G53+Aug!G53+Sep!G53+Oct!G53+Nov!G53+Dec!G53</f>
        <v>2500.08</v>
      </c>
      <c r="G101" s="131">
        <f>I101*12</f>
        <v>3750.12</v>
      </c>
      <c r="H101" s="152">
        <f t="shared" si="3"/>
        <v>1250.04</v>
      </c>
      <c r="I101" s="131">
        <v>312.51</v>
      </c>
    </row>
    <row r="102" spans="1:10" ht="12.75" customHeight="1">
      <c r="A102" s="149"/>
      <c r="B102" s="131" t="s">
        <v>625</v>
      </c>
      <c r="F102" s="131">
        <f>Jan!G54+Feb!G54+Mar!G54+Apr!G54+May!G54+Jun!G54+July!G54+Aug!G54+Sep!G54+Oct!G54+Nov!G54+Dec!G54</f>
        <v>-11000</v>
      </c>
      <c r="G102" s="131">
        <f>I102*6</f>
        <v>-12000</v>
      </c>
      <c r="H102" s="152">
        <f t="shared" si="3"/>
        <v>-1000</v>
      </c>
      <c r="I102" s="131">
        <v>-2000</v>
      </c>
    </row>
    <row r="103" spans="1:10" ht="12.75" customHeight="1">
      <c r="A103" s="149"/>
      <c r="H103" s="152"/>
    </row>
    <row r="104" spans="1:10" ht="12.75" customHeight="1">
      <c r="A104" s="149" t="s">
        <v>85</v>
      </c>
      <c r="B104" s="149">
        <f>SUM(F105:F108)</f>
        <v>4593.87</v>
      </c>
      <c r="C104" s="149">
        <f>SUM(G105:G108)</f>
        <v>4260</v>
      </c>
      <c r="D104" s="149">
        <f>C104-B104</f>
        <v>-333.86999999999989</v>
      </c>
      <c r="H104" s="152"/>
    </row>
    <row r="105" spans="1:10" ht="12.75" customHeight="1">
      <c r="B105" s="131" t="s">
        <v>41</v>
      </c>
      <c r="C105" s="131" t="s">
        <v>42</v>
      </c>
      <c r="F105" s="131">
        <f>Jan!G57+Feb!G57+Mar!G57+Apr!G57+May!G57+Jun!G57+July!G57+Aug!G57+Sep!G57+Oct!G57+Nov!G57+Dec!G57</f>
        <v>1451.15</v>
      </c>
      <c r="G105" s="131">
        <f>I105*12</f>
        <v>1320</v>
      </c>
      <c r="H105" s="152">
        <f>G105-F105</f>
        <v>-131.15000000000009</v>
      </c>
      <c r="I105" s="131">
        <v>110</v>
      </c>
      <c r="J105" s="131" t="s">
        <v>714</v>
      </c>
    </row>
    <row r="106" spans="1:10" ht="12.75" customHeight="1">
      <c r="B106" s="131" t="s">
        <v>43</v>
      </c>
      <c r="C106" s="131" t="s">
        <v>44</v>
      </c>
      <c r="F106" s="131">
        <f>Jan!G58+Feb!G58+Mar!G58+Apr!G58+May!G58+Jun!G58+July!G58+Aug!G58+Sep!G58+Oct!G58+Nov!G58+Dec!G58</f>
        <v>528</v>
      </c>
      <c r="G106" s="131">
        <f>I106*12</f>
        <v>540</v>
      </c>
      <c r="H106" s="152">
        <f>G106-F106</f>
        <v>12</v>
      </c>
      <c r="I106" s="131">
        <v>45</v>
      </c>
    </row>
    <row r="107" spans="1:10" ht="12.75" customHeight="1">
      <c r="B107" s="131" t="s">
        <v>86</v>
      </c>
      <c r="C107" s="131" t="s">
        <v>87</v>
      </c>
      <c r="D107" s="131" t="s">
        <v>505</v>
      </c>
      <c r="F107" s="131">
        <f>Jan!G59+Feb!G59+Mar!G59+Apr!G59+May!G59+Jun!G59+July!G59+Aug!G59+Sep!G59+Oct!G59+Nov!G59+Dec!G59</f>
        <v>1225</v>
      </c>
      <c r="G107" s="131">
        <f>I107*12</f>
        <v>1080</v>
      </c>
      <c r="H107" s="152">
        <f>G107-F107</f>
        <v>-145</v>
      </c>
      <c r="I107" s="131">
        <v>90</v>
      </c>
      <c r="J107" s="131" t="s">
        <v>715</v>
      </c>
    </row>
    <row r="108" spans="1:10" ht="12.75" customHeight="1">
      <c r="B108" s="131" t="s">
        <v>88</v>
      </c>
      <c r="C108" s="131" t="s">
        <v>89</v>
      </c>
      <c r="D108" s="131" t="s">
        <v>90</v>
      </c>
      <c r="F108" s="131">
        <f>Jan!G60+Feb!G60+Mar!G60+Apr!G60+May!G60+Jun!G60+July!G60+Aug!G60+Sep!G60+Oct!G60+Nov!G60+Dec!G60</f>
        <v>1389.7199999999998</v>
      </c>
      <c r="G108" s="131">
        <f>I108*12</f>
        <v>1320</v>
      </c>
      <c r="H108" s="152">
        <f>G108-F108</f>
        <v>-69.7199999999998</v>
      </c>
      <c r="I108" s="131">
        <v>110</v>
      </c>
      <c r="J108" s="131" t="s">
        <v>716</v>
      </c>
    </row>
    <row r="109" spans="1:10" ht="12.75" customHeight="1">
      <c r="H109" s="152"/>
    </row>
    <row r="110" spans="1:10" ht="12.75" customHeight="1">
      <c r="A110" s="149" t="s">
        <v>91</v>
      </c>
      <c r="B110" s="149">
        <f>SUM(F111:F112)</f>
        <v>1672.9300000000003</v>
      </c>
      <c r="C110" s="149">
        <f>SUM(G111:G112)</f>
        <v>1656</v>
      </c>
      <c r="D110" s="149">
        <f>C110-B110</f>
        <v>-16.930000000000291</v>
      </c>
      <c r="H110" s="152"/>
    </row>
    <row r="111" spans="1:10" ht="12.75" customHeight="1">
      <c r="B111" s="131" t="s">
        <v>50</v>
      </c>
      <c r="C111" s="131" t="s">
        <v>51</v>
      </c>
      <c r="F111" s="131">
        <f>Jan!G63+Feb!G63+Mar!G63+Apr!G63+May!G63+Jun!G63+July!G63+Aug!G63+Sep!G63+Oct!G63+Nov!G63+Dec!G63</f>
        <v>791.69000000000028</v>
      </c>
      <c r="G111" s="131">
        <f>I111*12</f>
        <v>756</v>
      </c>
      <c r="H111" s="152">
        <f>G111-F111</f>
        <v>-35.690000000000282</v>
      </c>
      <c r="I111" s="131">
        <v>63</v>
      </c>
    </row>
    <row r="112" spans="1:10" ht="12.75" customHeight="1">
      <c r="B112" s="131" t="s">
        <v>92</v>
      </c>
      <c r="C112" s="131" t="s">
        <v>93</v>
      </c>
      <c r="D112" s="156"/>
      <c r="F112" s="131">
        <f>Jan!G64+Feb!G64+Mar!G64+Apr!G64+May!G64+Jun!G64+July!G64+Aug!G64+Sep!G64+Oct!G64+Nov!G64+Dec!G64</f>
        <v>881.24000000000012</v>
      </c>
      <c r="G112" s="131">
        <f>I112*12</f>
        <v>900</v>
      </c>
      <c r="H112" s="152">
        <f>G112-F112</f>
        <v>18.759999999999877</v>
      </c>
      <c r="I112" s="131">
        <v>75</v>
      </c>
    </row>
    <row r="113" spans="1:10" ht="12.75" customHeight="1">
      <c r="H113" s="152"/>
    </row>
    <row r="114" spans="1:10" ht="12.75" customHeight="1">
      <c r="A114" s="149" t="s">
        <v>94</v>
      </c>
      <c r="B114" s="149">
        <f>SUM(F115:F117)</f>
        <v>2923.82</v>
      </c>
      <c r="C114" s="149">
        <f>SUM(G115:G117)</f>
        <v>2124</v>
      </c>
      <c r="D114" s="149">
        <f>C114-B114</f>
        <v>-799.82000000000016</v>
      </c>
      <c r="H114" s="152"/>
    </row>
    <row r="115" spans="1:10" ht="12.75" customHeight="1">
      <c r="B115" s="131" t="s">
        <v>95</v>
      </c>
      <c r="D115" s="131" t="s">
        <v>96</v>
      </c>
      <c r="F115" s="131">
        <f>Jan!G67+Feb!G67+Mar!G67+Apr!G67+May!G67+Jun!G67+July!G67+Aug!G67+Sep!G67+Oct!G67+Nov!G67+Dec!G67</f>
        <v>716</v>
      </c>
      <c r="G115" s="131">
        <f>I115*12</f>
        <v>678</v>
      </c>
      <c r="H115" s="152">
        <f>G115-F115</f>
        <v>-38</v>
      </c>
      <c r="I115" s="131">
        <v>56.5</v>
      </c>
    </row>
    <row r="116" spans="1:10" ht="12.75" customHeight="1">
      <c r="B116" s="131" t="s">
        <v>97</v>
      </c>
      <c r="D116" s="131" t="s">
        <v>96</v>
      </c>
      <c r="F116" s="131">
        <f>Jan!G68+Feb!G68+Mar!G68+Apr!G68+May!G68+Jun!G68+July!G68+Aug!G68+Sep!G68+Oct!G68+Nov!G68+Dec!G68</f>
        <v>1775</v>
      </c>
      <c r="G116" s="131">
        <f>I116*12</f>
        <v>1014</v>
      </c>
      <c r="H116" s="152">
        <f>G116-F116</f>
        <v>-761</v>
      </c>
      <c r="I116" s="131">
        <v>84.5</v>
      </c>
    </row>
    <row r="117" spans="1:10" ht="12.75" customHeight="1">
      <c r="B117" s="131" t="s">
        <v>98</v>
      </c>
      <c r="F117" s="131">
        <f>Jan!G69+Feb!G69+Mar!G69+Apr!G69+May!G69+Jun!G69+July!G69+Aug!G69+Sep!G69+Oct!G69+Nov!G69+Dec!G69</f>
        <v>432.82</v>
      </c>
      <c r="G117" s="131">
        <f>I117*12</f>
        <v>432</v>
      </c>
      <c r="H117" s="152">
        <f>G117-F117</f>
        <v>-0.81999999999999318</v>
      </c>
      <c r="I117" s="131">
        <v>36</v>
      </c>
    </row>
    <row r="118" spans="1:10" ht="12.75" customHeight="1">
      <c r="H118" s="152"/>
    </row>
    <row r="119" spans="1:10" ht="12.75" customHeight="1">
      <c r="A119" s="149" t="s">
        <v>99</v>
      </c>
      <c r="B119" s="149">
        <f>SUM(F120:F126)</f>
        <v>1742.1300000000003</v>
      </c>
      <c r="C119" s="149">
        <f>SUM(G120:G126)</f>
        <v>1998</v>
      </c>
      <c r="D119" s="149">
        <f>C119-B119</f>
        <v>255.86999999999966</v>
      </c>
      <c r="H119" s="152"/>
    </row>
    <row r="120" spans="1:10" ht="12.75" customHeight="1">
      <c r="B120" s="131" t="s">
        <v>100</v>
      </c>
      <c r="F120" s="131">
        <f>Jan!G72+Feb!G72+Mar!G72+Apr!G72+May!G72+Jun!G72+July!G72+Aug!G72+Sep!G72+Oct!G72+Nov!G72+Dec!G72</f>
        <v>232.04999999999998</v>
      </c>
      <c r="G120" s="131">
        <f t="shared" ref="G120:G125" si="4">I120*12</f>
        <v>180</v>
      </c>
      <c r="H120" s="152">
        <f t="shared" ref="H120:H126" si="5">G120-F120</f>
        <v>-52.049999999999983</v>
      </c>
      <c r="I120" s="131">
        <v>15</v>
      </c>
    </row>
    <row r="121" spans="1:10" ht="12.75" customHeight="1">
      <c r="B121" s="131" t="s">
        <v>384</v>
      </c>
      <c r="F121" s="131">
        <f>Jan!G73+Feb!G73+Mar!G73+Apr!G73+May!G73+Jun!G73+July!G73+Aug!G73+Sep!G73+Oct!G73+Nov!G73+Dec!G73</f>
        <v>41.1</v>
      </c>
      <c r="G121" s="131">
        <f t="shared" si="4"/>
        <v>60</v>
      </c>
      <c r="H121" s="152">
        <f t="shared" si="5"/>
        <v>18.899999999999999</v>
      </c>
      <c r="I121" s="131">
        <v>5</v>
      </c>
    </row>
    <row r="122" spans="1:10" ht="12.75" customHeight="1">
      <c r="B122" s="131" t="s">
        <v>479</v>
      </c>
      <c r="F122" s="131">
        <f>Jan!G74+Feb!G74+Mar!G74+Apr!G74+May!G74+Jun!G74+July!G74+Aug!G74+Sep!G74+Oct!G74+Nov!G74+Dec!G74</f>
        <v>774.06000000000006</v>
      </c>
      <c r="G122" s="131">
        <f t="shared" si="4"/>
        <v>780</v>
      </c>
      <c r="H122" s="152">
        <f t="shared" si="5"/>
        <v>5.9399999999999409</v>
      </c>
      <c r="I122" s="131">
        <v>65</v>
      </c>
    </row>
    <row r="123" spans="1:10" ht="12.75" customHeight="1">
      <c r="B123" s="131" t="s">
        <v>386</v>
      </c>
      <c r="F123" s="131">
        <f>Jan!G75+Feb!G75+Mar!G75+Apr!G75+May!G75+Jun!G75+July!G75+Aug!G75+Sep!G75+Oct!G75+Nov!G75+Dec!G75</f>
        <v>157.11000000000001</v>
      </c>
      <c r="G123" s="131">
        <f t="shared" si="4"/>
        <v>180</v>
      </c>
      <c r="H123" s="152">
        <f t="shared" si="5"/>
        <v>22.889999999999986</v>
      </c>
      <c r="I123" s="131">
        <v>15</v>
      </c>
      <c r="J123" s="131" t="s">
        <v>480</v>
      </c>
    </row>
    <row r="124" spans="1:10" ht="12.75" customHeight="1">
      <c r="B124" s="131" t="s">
        <v>472</v>
      </c>
      <c r="F124" s="131">
        <f>Jan!G76+Feb!G76+Mar!G76+Apr!G76+May!G76+Jun!G76+July!G76+Aug!G76+Sep!G76+Oct!G76+Nov!G76+Dec!G76</f>
        <v>411.82000000000005</v>
      </c>
      <c r="G124" s="131">
        <f t="shared" si="4"/>
        <v>420</v>
      </c>
      <c r="H124" s="152">
        <f t="shared" si="5"/>
        <v>8.17999999999995</v>
      </c>
      <c r="I124" s="131">
        <v>35</v>
      </c>
    </row>
    <row r="125" spans="1:10" ht="12.75" customHeight="1">
      <c r="B125" s="131" t="s">
        <v>387</v>
      </c>
      <c r="F125" s="131">
        <f>Jan!G77+Feb!G77+Mar!G77+Apr!G77+May!G77+Jun!G77+July!G77+Aug!G77+Sep!G77+Oct!G77+Nov!G77+Dec!G77</f>
        <v>0</v>
      </c>
      <c r="G125" s="131">
        <f t="shared" si="4"/>
        <v>240</v>
      </c>
      <c r="H125" s="152">
        <f t="shared" si="5"/>
        <v>240</v>
      </c>
      <c r="I125" s="131">
        <v>20</v>
      </c>
      <c r="J125" s="131" t="s">
        <v>481</v>
      </c>
    </row>
    <row r="126" spans="1:10" ht="12.75" customHeight="1">
      <c r="B126" s="131" t="s">
        <v>388</v>
      </c>
      <c r="F126" s="131">
        <f>Jan!G78+Feb!G78+Mar!G78+Apr!G78+May!G78+Jun!G78+July!G78+Aug!G78+Sep!G78+Oct!G78+Nov!G78+Dec!G78</f>
        <v>125.99</v>
      </c>
      <c r="G126" s="131">
        <f>I126*12</f>
        <v>138</v>
      </c>
      <c r="H126" s="152">
        <f t="shared" si="5"/>
        <v>12.010000000000005</v>
      </c>
      <c r="I126" s="131">
        <v>11.5</v>
      </c>
      <c r="J126" s="131" t="s">
        <v>482</v>
      </c>
    </row>
    <row r="127" spans="1:10" ht="12.75" customHeight="1">
      <c r="H127" s="152"/>
    </row>
    <row r="128" spans="1:10" ht="12.75" customHeight="1">
      <c r="A128" s="149" t="s">
        <v>335</v>
      </c>
      <c r="B128" s="149">
        <f>SUM(F129:F131)</f>
        <v>737.11</v>
      </c>
      <c r="C128" s="149">
        <f>SUM(G129:G131)</f>
        <v>360</v>
      </c>
      <c r="D128" s="149">
        <f>C128-B128</f>
        <v>-377.11</v>
      </c>
      <c r="H128" s="152"/>
    </row>
    <row r="129" spans="1:10" ht="12.75" customHeight="1">
      <c r="B129" s="131" t="s">
        <v>101</v>
      </c>
      <c r="F129" s="131">
        <f>Jan!G81+Feb!G81+Mar!G81+Apr!G81+May!G81+Jun!G81+July!G81+Aug!G81+Sep!G81+Oct!G81+Nov!G81+Dec!G81</f>
        <v>453</v>
      </c>
      <c r="G129" s="131">
        <f>I129*12</f>
        <v>120</v>
      </c>
      <c r="H129" s="152">
        <f>G129-F129</f>
        <v>-333</v>
      </c>
      <c r="I129" s="131">
        <v>10</v>
      </c>
      <c r="J129" s="131" t="s">
        <v>470</v>
      </c>
    </row>
    <row r="130" spans="1:10" ht="12.75" customHeight="1">
      <c r="B130" s="131" t="s">
        <v>102</v>
      </c>
      <c r="F130" s="131">
        <f>Jan!G82+Feb!G82+Mar!G82+Apr!G82+May!G82+Jun!G82+July!G82+Aug!G82+Sep!G82+Oct!G82+Nov!G82+Dec!G82</f>
        <v>188.45999999999998</v>
      </c>
      <c r="G130" s="131">
        <f>I130*12</f>
        <v>120</v>
      </c>
      <c r="H130" s="152">
        <f>G130-F130</f>
        <v>-68.45999999999998</v>
      </c>
      <c r="I130" s="131">
        <v>10</v>
      </c>
      <c r="J130" s="131" t="s">
        <v>471</v>
      </c>
    </row>
    <row r="131" spans="1:10" ht="12.75" customHeight="1">
      <c r="B131" s="131" t="s">
        <v>383</v>
      </c>
      <c r="F131" s="131">
        <f>Jan!G83+Feb!G83+Mar!G83+Apr!G83+May!G83+Jun!G83+July!G83+Aug!G83+Sep!G83+Oct!G83+Nov!G83+Dec!G83</f>
        <v>95.65</v>
      </c>
      <c r="G131" s="131">
        <f>I131*12</f>
        <v>120</v>
      </c>
      <c r="H131" s="152">
        <f>G131-F131</f>
        <v>24.349999999999994</v>
      </c>
      <c r="I131" s="131">
        <v>10</v>
      </c>
    </row>
    <row r="132" spans="1:10" ht="12.75" customHeight="1">
      <c r="H132" s="152"/>
    </row>
    <row r="133" spans="1:10" ht="12.75" customHeight="1">
      <c r="A133" s="149" t="s">
        <v>110</v>
      </c>
      <c r="B133" s="149">
        <f>SUM(F134:F136)</f>
        <v>2702.71</v>
      </c>
      <c r="C133" s="149">
        <f>SUM(G134:G136)</f>
        <v>1380</v>
      </c>
      <c r="D133" s="149">
        <f>C133-B133</f>
        <v>-1322.71</v>
      </c>
      <c r="H133" s="152"/>
    </row>
    <row r="134" spans="1:10" ht="12.75" customHeight="1">
      <c r="B134" s="131" t="s">
        <v>473</v>
      </c>
      <c r="F134" s="131">
        <f>Jan!G86+Feb!G86+Mar!G86+Apr!G86+May!G86+Jun!G86+July!G86+Aug!G86+Sep!G86+Oct!G86+Nov!G86+Dec!G86</f>
        <v>1046.3800000000001</v>
      </c>
      <c r="G134" s="131">
        <f>I134*12</f>
        <v>360</v>
      </c>
      <c r="H134" s="152">
        <f>G134-F134</f>
        <v>-686.38000000000011</v>
      </c>
      <c r="I134" s="131">
        <v>30</v>
      </c>
    </row>
    <row r="135" spans="1:10" ht="12.75" customHeight="1">
      <c r="B135" s="131" t="s">
        <v>111</v>
      </c>
      <c r="F135" s="131">
        <f>Jan!G87+Feb!G87+Mar!G87+Apr!G87+May!G87+Jun!G87+July!G87+Aug!G87+Sep!G87+Oct!G87+Nov!G87+Dec!G87</f>
        <v>283.39999999999998</v>
      </c>
      <c r="G135" s="131">
        <f>I135*12</f>
        <v>240</v>
      </c>
      <c r="H135" s="152">
        <f>G135-F135</f>
        <v>-43.399999999999977</v>
      </c>
      <c r="I135" s="131">
        <v>20</v>
      </c>
    </row>
    <row r="136" spans="1:10" ht="12.75" customHeight="1">
      <c r="B136" s="131" t="s">
        <v>391</v>
      </c>
      <c r="F136" s="131">
        <f>Jan!G88+Feb!G88+Mar!G88+Apr!G88+May!G88+Jun!G88+July!G88+Aug!G88+Sep!G88+Oct!G88+Nov!G88+Dec!G88</f>
        <v>1372.9299999999996</v>
      </c>
      <c r="G136" s="131">
        <f>I136*12</f>
        <v>780</v>
      </c>
      <c r="H136" s="152">
        <f>G136-F136</f>
        <v>-592.92999999999961</v>
      </c>
      <c r="I136" s="131">
        <v>65</v>
      </c>
      <c r="J136" s="131" t="s">
        <v>717</v>
      </c>
    </row>
    <row r="137" spans="1:10" ht="12.75" customHeight="1">
      <c r="H137" s="152"/>
    </row>
    <row r="138" spans="1:10">
      <c r="A138" s="149" t="s">
        <v>112</v>
      </c>
      <c r="B138" s="149">
        <f>SUM(F139:F143)</f>
        <v>3158.7300000000005</v>
      </c>
      <c r="C138" s="149">
        <f>SUM(G139:G143)</f>
        <v>2640</v>
      </c>
      <c r="D138" s="149">
        <f>C138-B138</f>
        <v>-518.73000000000047</v>
      </c>
      <c r="H138" s="152"/>
    </row>
    <row r="139" spans="1:10">
      <c r="B139" s="131" t="s">
        <v>113</v>
      </c>
      <c r="F139" s="131">
        <f>Jan!G91+Feb!G91+Mar!G91+Apr!G91+May!G91+Jun!G91+July!G91+Aug!G91+Sep!G91+Oct!G91+Nov!G91+Dec!G91</f>
        <v>686.0200000000001</v>
      </c>
      <c r="G139" s="131">
        <f>I139*12</f>
        <v>480</v>
      </c>
      <c r="H139" s="152">
        <f>G139-F139</f>
        <v>-206.0200000000001</v>
      </c>
      <c r="I139" s="131">
        <v>40</v>
      </c>
    </row>
    <row r="140" spans="1:10">
      <c r="B140" s="131" t="s">
        <v>114</v>
      </c>
      <c r="D140" s="131" t="s">
        <v>115</v>
      </c>
      <c r="F140" s="131">
        <f>Jan!G92+Feb!G92+Mar!G92+Apr!G92+May!G92+Jun!G92+July!G92+Aug!G92+Sep!G92+Oct!G92+Nov!G92+Dec!G92</f>
        <v>1474.65</v>
      </c>
      <c r="G140" s="131">
        <f>I140*12</f>
        <v>1440</v>
      </c>
      <c r="H140" s="152">
        <f>G140-F140</f>
        <v>-34.650000000000091</v>
      </c>
      <c r="I140" s="131">
        <v>120</v>
      </c>
    </row>
    <row r="141" spans="1:10">
      <c r="B141" s="131" t="s">
        <v>116</v>
      </c>
      <c r="F141" s="131">
        <f>Jan!G93+Feb!G93+Mar!G93+Apr!G93+May!G93+Jun!G93+July!G93+Aug!G93+Sep!G93+Oct!G93+Nov!G93+Dec!G93</f>
        <v>242.58</v>
      </c>
      <c r="G141" s="131">
        <f>I141*12</f>
        <v>240</v>
      </c>
      <c r="H141" s="152">
        <f>G141-F141</f>
        <v>-2.5800000000000125</v>
      </c>
      <c r="I141" s="131">
        <v>20</v>
      </c>
    </row>
    <row r="142" spans="1:10">
      <c r="A142" s="149"/>
      <c r="B142" s="131" t="s">
        <v>117</v>
      </c>
      <c r="F142" s="131">
        <f>Jan!G94+Feb!G94+Mar!G94+Apr!G94+May!G94+Jun!G94+July!G94+Aug!G94+Sep!G94+Oct!G94+Nov!G94+Dec!G94</f>
        <v>337.26000000000005</v>
      </c>
      <c r="G142" s="131">
        <f>I142*12</f>
        <v>240</v>
      </c>
      <c r="H142" s="152">
        <f>G142-F142</f>
        <v>-97.260000000000048</v>
      </c>
      <c r="I142" s="131">
        <v>20</v>
      </c>
    </row>
    <row r="143" spans="1:10">
      <c r="A143" s="149"/>
      <c r="B143" s="131" t="s">
        <v>118</v>
      </c>
      <c r="F143" s="131">
        <f>Jan!G95+Feb!G95+Mar!G95+Apr!G95+May!G95+Jun!G95+July!G95+Aug!G95+Sep!G95+Oct!G95+Nov!G95+Dec!G95</f>
        <v>418.22</v>
      </c>
      <c r="G143" s="131">
        <f>I143*12</f>
        <v>240</v>
      </c>
      <c r="H143" s="152">
        <f>G143-F143</f>
        <v>-178.22000000000003</v>
      </c>
      <c r="I143" s="131">
        <v>20</v>
      </c>
    </row>
    <row r="144" spans="1:10">
      <c r="A144" s="149"/>
      <c r="B144" s="149"/>
      <c r="H144" s="152"/>
    </row>
    <row r="145" spans="1:10">
      <c r="A145" s="149" t="s">
        <v>119</v>
      </c>
      <c r="B145" s="149">
        <f>SUM(F146:F149)</f>
        <v>4998.0399999999991</v>
      </c>
      <c r="C145" s="149">
        <f>SUM(G146:G149)</f>
        <v>5220</v>
      </c>
      <c r="D145" s="149">
        <f>C145-B145</f>
        <v>221.96000000000095</v>
      </c>
      <c r="H145" s="152"/>
    </row>
    <row r="146" spans="1:10">
      <c r="B146" s="131" t="s">
        <v>120</v>
      </c>
      <c r="D146" s="131" t="s">
        <v>121</v>
      </c>
      <c r="F146" s="131">
        <f>Jan!G98+Feb!G98+Mar!G98+Apr!G98+May!G98+Jun!G98+July!G98+Aug!G98+Sep!G98+Oct!G98+Nov!G98+Dec!G98</f>
        <v>1624.55</v>
      </c>
      <c r="G146" s="131">
        <f>I146*12</f>
        <v>1800</v>
      </c>
      <c r="H146" s="152">
        <f>G146-F146</f>
        <v>175.45000000000005</v>
      </c>
      <c r="I146" s="131">
        <v>150</v>
      </c>
    </row>
    <row r="147" spans="1:10">
      <c r="B147" s="131" t="s">
        <v>122</v>
      </c>
      <c r="D147" s="131" t="s">
        <v>123</v>
      </c>
      <c r="F147" s="131">
        <f>Jan!G99+Feb!G99+Mar!G99+Apr!G99+May!G99+Jun!G99+July!G99+Aug!G99+Sep!G99+Oct!G99+Nov!G99+Dec!G99</f>
        <v>237.78000000000003</v>
      </c>
      <c r="G147" s="131">
        <f>I147*12</f>
        <v>240</v>
      </c>
      <c r="H147" s="152">
        <f>G147-F147</f>
        <v>2.2199999999999704</v>
      </c>
      <c r="I147" s="131">
        <v>20</v>
      </c>
    </row>
    <row r="148" spans="1:10">
      <c r="A148" s="149"/>
      <c r="B148" s="131" t="s">
        <v>124</v>
      </c>
      <c r="F148" s="131">
        <f>Jan!G100+Feb!G100+Mar!G100+Apr!G100+May!G100+Jun!G100+July!G100+Aug!G100+Sep!G100+Oct!G100+Nov!G100+Dec!G100</f>
        <v>2509.73</v>
      </c>
      <c r="G148" s="131">
        <f>I148*12</f>
        <v>2580</v>
      </c>
      <c r="H148" s="152">
        <f>G148-F148</f>
        <v>70.269999999999982</v>
      </c>
      <c r="I148" s="131">
        <v>215</v>
      </c>
    </row>
    <row r="149" spans="1:10">
      <c r="A149" s="149"/>
      <c r="B149" s="131" t="s">
        <v>125</v>
      </c>
      <c r="F149" s="131">
        <f>Jan!G101+Feb!G101+Mar!G101+Apr!G101+May!G101+Jun!G101+July!G101+Aug!G101+Sep!G101+Oct!G101+Nov!G101+Dec!G101</f>
        <v>625.98</v>
      </c>
      <c r="G149" s="131">
        <f>I149*12</f>
        <v>600</v>
      </c>
      <c r="H149" s="152">
        <f>G149-F149</f>
        <v>-25.980000000000018</v>
      </c>
      <c r="I149" s="131">
        <v>50</v>
      </c>
    </row>
    <row r="150" spans="1:10">
      <c r="A150" s="149"/>
      <c r="H150" s="152"/>
    </row>
    <row r="151" spans="1:10">
      <c r="A151" s="149" t="s">
        <v>103</v>
      </c>
      <c r="B151" s="149">
        <f>SUM(F152:F158)</f>
        <v>8812.6200000000008</v>
      </c>
      <c r="C151" s="149">
        <f>SUM(G152:G158)</f>
        <v>7644</v>
      </c>
      <c r="D151" s="149">
        <f>C151-B151</f>
        <v>-1168.6200000000008</v>
      </c>
      <c r="H151" s="152"/>
    </row>
    <row r="152" spans="1:10">
      <c r="B152" s="131" t="s">
        <v>104</v>
      </c>
      <c r="F152" s="131">
        <f>Jan!G104+Feb!G104+Mar!G104+Apr!G104+May!G104+Jun!G104+July!G104+Aug!G104+Sep!G104+Oct!G104+Nov!G104+Dec!G104</f>
        <v>959</v>
      </c>
      <c r="G152" s="131">
        <f>I152*12</f>
        <v>600</v>
      </c>
      <c r="H152" s="152">
        <f t="shared" ref="H152:H158" si="6">G152-F152</f>
        <v>-359</v>
      </c>
      <c r="I152" s="131">
        <v>50</v>
      </c>
    </row>
    <row r="153" spans="1:10">
      <c r="B153" s="131" t="s">
        <v>105</v>
      </c>
      <c r="F153" s="131">
        <f>Jan!G105+Feb!G105+Mar!G105+Apr!G105+May!G105+Jun!G105+July!G105+Aug!G105+Sep!G105+Oct!G105+Nov!G105+Dec!G105</f>
        <v>5982.43</v>
      </c>
      <c r="G153" s="131">
        <f>I153*12</f>
        <v>6000</v>
      </c>
      <c r="H153" s="152">
        <f t="shared" si="6"/>
        <v>17.569999999999709</v>
      </c>
      <c r="I153" s="131">
        <v>500</v>
      </c>
      <c r="J153" s="131" t="s">
        <v>559</v>
      </c>
    </row>
    <row r="154" spans="1:10">
      <c r="B154" s="131" t="s">
        <v>392</v>
      </c>
      <c r="F154" s="131">
        <f>Jan!G106+Feb!G106+Mar!G106+Apr!G106+May!G106+Jun!G106+July!G106+Aug!G106+Sep!G106+Oct!G106+Nov!G106+Dec!G106</f>
        <v>139.93</v>
      </c>
      <c r="G154" s="131">
        <f t="shared" ref="G154:G161" si="7">I154*12</f>
        <v>324</v>
      </c>
      <c r="H154" s="152">
        <f t="shared" si="6"/>
        <v>184.07</v>
      </c>
      <c r="I154" s="131">
        <v>27</v>
      </c>
    </row>
    <row r="155" spans="1:10">
      <c r="B155" s="131" t="s">
        <v>106</v>
      </c>
      <c r="F155" s="131">
        <f>Jan!G107+Feb!G107+Mar!G107+Apr!G107+May!G107+Jun!G107+July!G107+Aug!G107+Sep!G107+Oct!G107+Nov!G107+Dec!G107</f>
        <v>122.21</v>
      </c>
      <c r="G155" s="131">
        <f t="shared" si="7"/>
        <v>180</v>
      </c>
      <c r="H155" s="152">
        <f t="shared" si="6"/>
        <v>57.790000000000006</v>
      </c>
      <c r="I155" s="131">
        <v>15</v>
      </c>
      <c r="J155" s="131" t="s">
        <v>393</v>
      </c>
    </row>
    <row r="156" spans="1:10">
      <c r="B156" s="131" t="s">
        <v>474</v>
      </c>
      <c r="F156" s="131">
        <f>Jan!G108+Feb!G108+Mar!G108+Apr!G108+May!G108+Jun!G108+July!G108+Aug!G108+Sep!G108+Oct!G108+Nov!G108+Dec!G108</f>
        <v>504.00000000000006</v>
      </c>
      <c r="G156" s="131">
        <f t="shared" si="7"/>
        <v>240</v>
      </c>
      <c r="H156" s="152">
        <f t="shared" si="6"/>
        <v>-264.00000000000006</v>
      </c>
      <c r="I156" s="131">
        <v>20</v>
      </c>
    </row>
    <row r="157" spans="1:10">
      <c r="B157" s="131" t="s">
        <v>108</v>
      </c>
      <c r="F157" s="131">
        <f>Jan!G109+Feb!G109+Mar!G109+Apr!G109+May!G109+Jun!G109+July!G109+Aug!G109+Sep!G109+Oct!G109+Nov!G109+Dec!G109</f>
        <v>1002.4400000000002</v>
      </c>
      <c r="G157" s="131">
        <f t="shared" si="7"/>
        <v>240</v>
      </c>
      <c r="H157" s="152">
        <f t="shared" si="6"/>
        <v>-762.44000000000017</v>
      </c>
      <c r="I157" s="131">
        <v>20</v>
      </c>
    </row>
    <row r="158" spans="1:10">
      <c r="B158" s="131" t="s">
        <v>109</v>
      </c>
      <c r="F158" s="131">
        <f>Jan!G110+Feb!G110+Mar!G110+Apr!G110+May!G110+Jun!G110+July!G110+Aug!G110+Sep!G110+Oct!G110+Nov!G110+Dec!G110</f>
        <v>102.61</v>
      </c>
      <c r="G158" s="131">
        <f t="shared" si="7"/>
        <v>60</v>
      </c>
      <c r="H158" s="152">
        <f t="shared" si="6"/>
        <v>-42.61</v>
      </c>
      <c r="I158" s="131">
        <v>5</v>
      </c>
    </row>
    <row r="159" spans="1:10">
      <c r="H159" s="152"/>
    </row>
    <row r="160" spans="1:10">
      <c r="A160" s="149" t="s">
        <v>407</v>
      </c>
      <c r="B160" s="149">
        <f>F161+F162</f>
        <v>175.97000000000003</v>
      </c>
      <c r="C160" s="149">
        <f>G161+G162</f>
        <v>240</v>
      </c>
      <c r="D160" s="149">
        <f>C160-B160</f>
        <v>64.029999999999973</v>
      </c>
      <c r="H160" s="152"/>
    </row>
    <row r="161" spans="1:10">
      <c r="B161" s="131" t="s">
        <v>408</v>
      </c>
      <c r="F161" s="131">
        <f>Jan!G113+Feb!G113+Mar!G113+Apr!G113+May!G113+Jun!G113+July!G113+Aug!G113+Sep!G113+Oct!G113+Nov!G113+Dec!G113</f>
        <v>175.97000000000003</v>
      </c>
      <c r="G161" s="131">
        <f t="shared" si="7"/>
        <v>240</v>
      </c>
      <c r="H161" s="152">
        <f>G161-F161</f>
        <v>64.029999999999973</v>
      </c>
      <c r="I161" s="131">
        <v>20</v>
      </c>
    </row>
    <row r="162" spans="1:10">
      <c r="H162" s="152"/>
    </row>
    <row r="163" spans="1:10">
      <c r="H163" s="152"/>
    </row>
    <row r="164" spans="1:10">
      <c r="A164" s="149" t="s">
        <v>130</v>
      </c>
      <c r="B164" s="149">
        <f>F165</f>
        <v>1482.06</v>
      </c>
      <c r="C164" s="149">
        <f>G165</f>
        <v>120</v>
      </c>
      <c r="D164" s="149">
        <f>H165</f>
        <v>-1362.06</v>
      </c>
      <c r="H164" s="152"/>
    </row>
    <row r="165" spans="1:10">
      <c r="B165" s="131" t="s">
        <v>131</v>
      </c>
      <c r="F165" s="131">
        <f>Jan!G117+Feb!G117+Mar!G117+Apr!G117+May!G117+Jun!G117+July!G117+Aug!G117+Sep!G117+Oct!G117+Nov!G117+Dec!G117</f>
        <v>1482.06</v>
      </c>
      <c r="G165" s="131">
        <f>I165*12</f>
        <v>120</v>
      </c>
      <c r="H165" s="152">
        <f>G165-F165</f>
        <v>-1362.06</v>
      </c>
      <c r="I165" s="131">
        <v>10</v>
      </c>
    </row>
    <row r="166" spans="1:10">
      <c r="H166" s="152"/>
    </row>
    <row r="167" spans="1:10">
      <c r="A167" s="149" t="s">
        <v>406</v>
      </c>
      <c r="B167" s="149">
        <f>SUM(F168:F169)</f>
        <v>2245.09</v>
      </c>
      <c r="C167" s="149">
        <f>SUM(G168:G169)</f>
        <v>920</v>
      </c>
      <c r="D167" s="149">
        <f>C167-B167</f>
        <v>-1325.0900000000001</v>
      </c>
      <c r="H167" s="152"/>
    </row>
    <row r="168" spans="1:10">
      <c r="B168" s="131" t="s">
        <v>400</v>
      </c>
      <c r="F168" s="131">
        <f>Jan!G120+Feb!G120+Mar!G120+Apr!G120+May!G120+Jun!G120+July!G120+Aug!G120+Sep!G120+Oct!G120+Nov!G120+Dec!G120</f>
        <v>2021.81</v>
      </c>
      <c r="G168" s="131">
        <f>I168*12+100+40</f>
        <v>860</v>
      </c>
      <c r="H168" s="152">
        <f>G168-F168</f>
        <v>-1161.81</v>
      </c>
      <c r="I168" s="131">
        <v>60</v>
      </c>
      <c r="J168" s="131" t="s">
        <v>718</v>
      </c>
    </row>
    <row r="169" spans="1:10">
      <c r="B169" s="131" t="s">
        <v>403</v>
      </c>
      <c r="F169" s="131">
        <f>Jan!G121+Feb!G121+Mar!G121+Apr!G121+May!G121+Jun!G121+July!G121+Aug!G121+Sep!G121+Oct!G121+Nov!G121+Dec!G121</f>
        <v>223.28</v>
      </c>
      <c r="G169" s="131">
        <f>I169*12</f>
        <v>60</v>
      </c>
      <c r="H169" s="152">
        <f>G169-F169</f>
        <v>-163.28</v>
      </c>
      <c r="I169" s="131">
        <v>5</v>
      </c>
    </row>
    <row r="170" spans="1:10">
      <c r="H170" s="152"/>
    </row>
    <row r="171" spans="1:10">
      <c r="A171" s="149" t="s">
        <v>132</v>
      </c>
      <c r="B171" s="149">
        <f>F172</f>
        <v>86.81</v>
      </c>
      <c r="C171" s="149">
        <f>G172</f>
        <v>120</v>
      </c>
      <c r="D171" s="149">
        <f>C171-B171</f>
        <v>33.19</v>
      </c>
      <c r="H171" s="152"/>
    </row>
    <row r="172" spans="1:10">
      <c r="B172" s="131" t="s">
        <v>133</v>
      </c>
      <c r="F172" s="131">
        <f>Jan!G124+Feb!G124+Mar!G124+Apr!G124+May!G124+Jun!G124+July!G124+Aug!G124+Sep!G124+Oct!G124+Nov!G124+Dec!G124</f>
        <v>86.81</v>
      </c>
      <c r="G172" s="131">
        <f>I172*12</f>
        <v>120</v>
      </c>
      <c r="H172" s="152">
        <f>G172-F172</f>
        <v>33.19</v>
      </c>
      <c r="I172" s="131">
        <v>10</v>
      </c>
    </row>
    <row r="173" spans="1:10">
      <c r="H173" s="152"/>
    </row>
    <row r="174" spans="1:10">
      <c r="A174" s="149" t="s">
        <v>404</v>
      </c>
      <c r="B174" s="149">
        <f>SUM(F175:F176)</f>
        <v>2393.6400000000003</v>
      </c>
      <c r="C174" s="149">
        <f>SUM(G175:G176)</f>
        <v>420</v>
      </c>
      <c r="D174" s="149">
        <f>C174-B174</f>
        <v>-1973.6400000000003</v>
      </c>
      <c r="H174" s="152"/>
    </row>
    <row r="175" spans="1:10">
      <c r="B175" s="131" t="s">
        <v>128</v>
      </c>
      <c r="F175" s="131">
        <f>Jan!G127+Feb!G127+Mar!G127+Apr!G127+May!G127+Jun!G127+July!G127+Aug!G127+Sep!G127+Oct!G127+Nov!G127+Dec!G127</f>
        <v>1711.4600000000003</v>
      </c>
      <c r="G175" s="131">
        <f>I175*12</f>
        <v>240</v>
      </c>
      <c r="H175" s="152">
        <f>G175-F175</f>
        <v>-1471.4600000000003</v>
      </c>
      <c r="I175" s="131">
        <v>20</v>
      </c>
    </row>
    <row r="176" spans="1:10">
      <c r="B176" s="131" t="s">
        <v>129</v>
      </c>
      <c r="D176" s="131" t="s">
        <v>405</v>
      </c>
      <c r="F176" s="131">
        <f>Jan!G128+Feb!G128+Mar!G128+Apr!G128+May!G128+Jun!G128+July!G128+Aug!G128+Sep!G128+Oct!G128+Nov!G128+Dec!G128</f>
        <v>682.18000000000006</v>
      </c>
      <c r="G176" s="131">
        <f>I176*12</f>
        <v>180</v>
      </c>
      <c r="H176" s="152">
        <f>G176-F176</f>
        <v>-502.18000000000006</v>
      </c>
      <c r="I176" s="131">
        <v>15</v>
      </c>
    </row>
    <row r="177" spans="1:9">
      <c r="H177" s="152"/>
    </row>
    <row r="178" spans="1:9">
      <c r="H178" s="152"/>
    </row>
    <row r="179" spans="1:9">
      <c r="A179" s="149" t="s">
        <v>417</v>
      </c>
      <c r="H179" s="152"/>
    </row>
    <row r="180" spans="1:9">
      <c r="B180" s="131">
        <f>SUM(F181:F188)</f>
        <v>3402.9500000000003</v>
      </c>
      <c r="C180" s="131">
        <f>SUM(G181:G188)</f>
        <v>5400</v>
      </c>
      <c r="D180" s="149">
        <f>C180-B180</f>
        <v>1997.0499999999997</v>
      </c>
      <c r="H180" s="152"/>
    </row>
    <row r="181" spans="1:9">
      <c r="A181" s="149" t="s">
        <v>418</v>
      </c>
      <c r="B181" s="131" t="s">
        <v>419</v>
      </c>
      <c r="F181" s="131">
        <f>Jan!G133+Feb!G133+Mar!G133+Apr!G133+May!G133+Jun!G133+July!G133+Aug!G133+Sep!G133+Oct!G133+Nov!G133+Dec!G133</f>
        <v>145.91</v>
      </c>
      <c r="G181" s="131">
        <f t="shared" ref="G181:G188" si="8">I181*12</f>
        <v>1200</v>
      </c>
      <c r="H181" s="152">
        <f t="shared" ref="H181:H188" si="9">G181-F181</f>
        <v>1054.0899999999999</v>
      </c>
      <c r="I181" s="131">
        <v>100</v>
      </c>
    </row>
    <row r="182" spans="1:9">
      <c r="A182" s="149" t="s">
        <v>516</v>
      </c>
      <c r="H182" s="152"/>
    </row>
    <row r="183" spans="1:9">
      <c r="B183" s="131" t="s">
        <v>401</v>
      </c>
      <c r="F183" s="131">
        <f>Jan!G135+Feb!G135+Mar!G135+Apr!G135+May!G135+Jun!G135+July!G135+Aug!G135+Sep!G135+Oct!G135+Nov!G135+Dec!G135</f>
        <v>704.81000000000017</v>
      </c>
      <c r="G183" s="131">
        <f t="shared" si="8"/>
        <v>1200</v>
      </c>
      <c r="H183" s="152">
        <f t="shared" si="9"/>
        <v>495.18999999999983</v>
      </c>
      <c r="I183" s="131">
        <v>100</v>
      </c>
    </row>
    <row r="184" spans="1:9">
      <c r="B184" s="131" t="s">
        <v>402</v>
      </c>
      <c r="F184" s="131">
        <f>Jan!G136+Feb!G136+Mar!G136+Apr!G136+May!G136+Jun!G136+July!G136+Aug!G136+Sep!G136+Oct!G136+Nov!G136+Dec!G136</f>
        <v>248.82</v>
      </c>
      <c r="G184" s="131">
        <f t="shared" si="8"/>
        <v>1200</v>
      </c>
      <c r="H184" s="152">
        <f t="shared" si="9"/>
        <v>951.18000000000006</v>
      </c>
      <c r="I184" s="131">
        <v>100</v>
      </c>
    </row>
    <row r="185" spans="1:9">
      <c r="B185" s="131" t="s">
        <v>126</v>
      </c>
      <c r="F185" s="131">
        <f>Jan!G137+Feb!G137+Mar!G137+Apr!G137+May!G137+Jun!G137+July!G137+Aug!G137+Sep!G137+Oct!G137+Nov!G137+Dec!G137</f>
        <v>279.91000000000003</v>
      </c>
      <c r="G185" s="131">
        <f t="shared" si="8"/>
        <v>360</v>
      </c>
      <c r="H185" s="152">
        <f t="shared" si="9"/>
        <v>80.089999999999975</v>
      </c>
      <c r="I185" s="131">
        <v>30</v>
      </c>
    </row>
    <row r="186" spans="1:9">
      <c r="B186" s="131" t="s">
        <v>127</v>
      </c>
      <c r="F186" s="131">
        <f>Jan!G138+Feb!G138+Mar!G138+Apr!G138+May!G138+Jun!G138+July!G138+Aug!G138+Sep!G138+Oct!G138+Nov!G138+Dec!G138</f>
        <v>593.5</v>
      </c>
      <c r="G186" s="131">
        <f t="shared" si="8"/>
        <v>600</v>
      </c>
      <c r="H186" s="152">
        <f t="shared" si="9"/>
        <v>6.5</v>
      </c>
      <c r="I186" s="131">
        <v>50</v>
      </c>
    </row>
    <row r="187" spans="1:9">
      <c r="H187" s="152"/>
    </row>
    <row r="188" spans="1:9">
      <c r="A188" s="149" t="s">
        <v>409</v>
      </c>
      <c r="F188" s="131">
        <f>Jan!G140+Feb!G140+Mar!G140+Apr!G140+May!G140+Jun!G140+July!G140+Aug!G140+Sep!G140+Oct!G140+Nov!G140+Dec!G140</f>
        <v>1430</v>
      </c>
      <c r="G188" s="131">
        <f t="shared" si="8"/>
        <v>840</v>
      </c>
      <c r="H188" s="152">
        <f t="shared" si="9"/>
        <v>-590</v>
      </c>
      <c r="I188" s="131">
        <v>70</v>
      </c>
    </row>
    <row r="65587" ht="13.5" customHeight="1"/>
  </sheetData>
  <sheetProtection selectLockedCells="1" selectUnlockedCells="1"/>
  <pageMargins left="0.75" right="0.75" top="1" bottom="1" header="0.51180555555555551" footer="0.51180555555555551"/>
  <pageSetup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6"/>
  <sheetViews>
    <sheetView zoomScaleNormal="100" workbookViewId="0">
      <selection activeCell="A26" sqref="A26:F46"/>
    </sheetView>
  </sheetViews>
  <sheetFormatPr defaultRowHeight="12.75"/>
  <cols>
    <col min="1" max="1" width="16.5703125" customWidth="1"/>
    <col min="2" max="2" width="14.28515625" customWidth="1"/>
    <col min="3" max="3" width="15.42578125" customWidth="1"/>
    <col min="4" max="4" width="14.5703125" customWidth="1"/>
    <col min="5" max="5" width="15.5703125" customWidth="1"/>
    <col min="6" max="6" width="15.28515625" customWidth="1"/>
    <col min="7" max="7" width="13.42578125" customWidth="1"/>
    <col min="8" max="8" width="12.42578125" customWidth="1"/>
    <col min="9" max="9" width="12.7109375" customWidth="1"/>
    <col min="11" max="11" width="10.28515625" customWidth="1"/>
    <col min="12" max="12" width="4.42578125" customWidth="1"/>
    <col min="13" max="13" width="18" customWidth="1"/>
    <col min="14" max="14" width="17.140625" customWidth="1"/>
    <col min="15" max="15" width="15.140625" customWidth="1"/>
    <col min="16" max="16" width="14.5703125" customWidth="1"/>
  </cols>
  <sheetData>
    <row r="1" spans="1:9" ht="15.75">
      <c r="A1" s="11" t="s">
        <v>866</v>
      </c>
    </row>
    <row r="2" spans="1:9">
      <c r="A2" s="2"/>
    </row>
    <row r="3" spans="1:9" s="14" customFormat="1" ht="15.75">
      <c r="A3" s="12" t="s">
        <v>134</v>
      </c>
      <c r="B3" s="12" t="s">
        <v>135</v>
      </c>
      <c r="C3" s="12"/>
      <c r="D3" s="12"/>
      <c r="E3" s="12"/>
      <c r="F3" s="12"/>
      <c r="G3" s="13"/>
    </row>
    <row r="4" spans="1:9">
      <c r="A4" s="2"/>
    </row>
    <row r="5" spans="1:9">
      <c r="B5" s="5" t="s">
        <v>136</v>
      </c>
      <c r="C5" s="5" t="s">
        <v>137</v>
      </c>
      <c r="D5" s="5" t="s">
        <v>138</v>
      </c>
      <c r="E5" s="5" t="s">
        <v>139</v>
      </c>
      <c r="F5" s="5" t="s">
        <v>140</v>
      </c>
      <c r="G5" s="5" t="s">
        <v>141</v>
      </c>
      <c r="H5" s="5" t="s">
        <v>142</v>
      </c>
      <c r="I5" s="5" t="s">
        <v>143</v>
      </c>
    </row>
    <row r="6" spans="1:9">
      <c r="A6" s="6" t="s">
        <v>7</v>
      </c>
      <c r="B6" s="15">
        <f>Jan!B4</f>
        <v>6319.48</v>
      </c>
      <c r="C6" s="16">
        <f t="shared" ref="C6:C17" si="0">0.1*B6</f>
        <v>631.94799999999998</v>
      </c>
      <c r="D6">
        <f>B53</f>
        <v>870</v>
      </c>
      <c r="E6">
        <f>C6-D6</f>
        <v>-238.05200000000002</v>
      </c>
      <c r="F6" s="17">
        <f t="shared" ref="F6:F17" si="1">D6/B6</f>
        <v>0.13766955508997578</v>
      </c>
      <c r="G6" s="16">
        <f>B6</f>
        <v>6319.48</v>
      </c>
      <c r="H6" s="232">
        <f>D6</f>
        <v>870</v>
      </c>
      <c r="I6" s="17">
        <f t="shared" ref="I6:I17" si="2">H6/G6</f>
        <v>0.13766955508997578</v>
      </c>
    </row>
    <row r="7" spans="1:9">
      <c r="A7" s="6" t="s">
        <v>8</v>
      </c>
      <c r="B7" s="16">
        <f>Feb!$B$4</f>
        <v>7055.3399999999992</v>
      </c>
      <c r="C7" s="16">
        <f t="shared" si="0"/>
        <v>705.53399999999999</v>
      </c>
      <c r="D7">
        <f>B66</f>
        <v>350</v>
      </c>
      <c r="E7">
        <f t="shared" ref="E7:E17" si="3">E6+C7-D7</f>
        <v>117.48199999999997</v>
      </c>
      <c r="F7" s="17">
        <f t="shared" si="1"/>
        <v>4.9607814789932168E-2</v>
      </c>
      <c r="G7" s="18">
        <f t="shared" ref="G7:G17" si="4">G6+B7</f>
        <v>13374.82</v>
      </c>
      <c r="H7" s="232">
        <f t="shared" ref="H7:H17" si="5">H6+D7</f>
        <v>1220</v>
      </c>
      <c r="I7" s="17">
        <f t="shared" si="2"/>
        <v>9.1216180853275042E-2</v>
      </c>
    </row>
    <row r="8" spans="1:9">
      <c r="A8" s="6" t="s">
        <v>9</v>
      </c>
      <c r="B8" s="16">
        <f>Mar!$B$4</f>
        <v>15332.48</v>
      </c>
      <c r="C8" s="16">
        <f t="shared" si="0"/>
        <v>1533.248</v>
      </c>
      <c r="D8">
        <f>B78</f>
        <v>550</v>
      </c>
      <c r="E8">
        <f t="shared" si="3"/>
        <v>1100.73</v>
      </c>
      <c r="F8" s="17">
        <f t="shared" si="1"/>
        <v>3.5871561547773094E-2</v>
      </c>
      <c r="G8" s="18">
        <f t="shared" si="4"/>
        <v>28707.3</v>
      </c>
      <c r="H8" s="232">
        <f t="shared" si="5"/>
        <v>1770</v>
      </c>
      <c r="I8" s="17">
        <f t="shared" si="2"/>
        <v>6.1656791129782319E-2</v>
      </c>
    </row>
    <row r="9" spans="1:9">
      <c r="A9" s="6" t="s">
        <v>10</v>
      </c>
      <c r="B9" s="16">
        <f>Apr!$B$4</f>
        <v>14702.36</v>
      </c>
      <c r="C9" s="16">
        <f t="shared" si="0"/>
        <v>1470.2360000000001</v>
      </c>
      <c r="D9">
        <f>B90</f>
        <v>670</v>
      </c>
      <c r="E9">
        <f t="shared" si="3"/>
        <v>1900.9660000000003</v>
      </c>
      <c r="F9" s="17">
        <f t="shared" si="1"/>
        <v>4.5570915145595671E-2</v>
      </c>
      <c r="G9" s="18">
        <f t="shared" si="4"/>
        <v>43409.66</v>
      </c>
      <c r="H9" s="232">
        <f t="shared" si="5"/>
        <v>2440</v>
      </c>
      <c r="I9" s="17">
        <f t="shared" si="2"/>
        <v>5.620868719082342E-2</v>
      </c>
    </row>
    <row r="10" spans="1:9">
      <c r="A10" s="6" t="s">
        <v>11</v>
      </c>
      <c r="B10" s="16">
        <f>May!$B$4</f>
        <v>10322.48</v>
      </c>
      <c r="C10" s="16">
        <f t="shared" si="0"/>
        <v>1032.248</v>
      </c>
      <c r="D10">
        <f>B103</f>
        <v>550</v>
      </c>
      <c r="E10">
        <f t="shared" si="3"/>
        <v>2383.2140000000004</v>
      </c>
      <c r="F10" s="17">
        <f t="shared" si="1"/>
        <v>5.32817694972526E-2</v>
      </c>
      <c r="G10" s="18">
        <f t="shared" si="4"/>
        <v>53732.14</v>
      </c>
      <c r="H10" s="232">
        <f t="shared" si="5"/>
        <v>2990</v>
      </c>
      <c r="I10" s="17">
        <f t="shared" si="2"/>
        <v>5.5646397109811743E-2</v>
      </c>
    </row>
    <row r="11" spans="1:9">
      <c r="A11" s="6" t="s">
        <v>12</v>
      </c>
      <c r="B11" s="16">
        <f>Jun!$B$4</f>
        <v>12306.91</v>
      </c>
      <c r="C11" s="16">
        <f t="shared" si="0"/>
        <v>1230.691</v>
      </c>
      <c r="D11">
        <f>B116</f>
        <v>750</v>
      </c>
      <c r="E11">
        <f t="shared" si="3"/>
        <v>2863.9050000000007</v>
      </c>
      <c r="F11" s="17">
        <f t="shared" si="1"/>
        <v>6.0941373586058563E-2</v>
      </c>
      <c r="G11" s="18">
        <f t="shared" si="4"/>
        <v>66039.05</v>
      </c>
      <c r="H11" s="232">
        <f t="shared" si="5"/>
        <v>3740</v>
      </c>
      <c r="I11" s="17">
        <f t="shared" si="2"/>
        <v>5.6633158714427298E-2</v>
      </c>
    </row>
    <row r="12" spans="1:9">
      <c r="A12" s="6" t="s">
        <v>13</v>
      </c>
      <c r="B12" s="16">
        <f>July!$B$4</f>
        <v>10270.76</v>
      </c>
      <c r="C12" s="16">
        <f t="shared" si="0"/>
        <v>1027.076</v>
      </c>
      <c r="D12">
        <f>B130</f>
        <v>880</v>
      </c>
      <c r="E12">
        <f t="shared" si="3"/>
        <v>3010.9810000000007</v>
      </c>
      <c r="F12" s="17">
        <f t="shared" si="1"/>
        <v>8.5680124937200355E-2</v>
      </c>
      <c r="G12" s="18">
        <f t="shared" si="4"/>
        <v>76309.81</v>
      </c>
      <c r="H12" s="232">
        <f t="shared" si="5"/>
        <v>4620</v>
      </c>
      <c r="I12" s="17">
        <f t="shared" si="2"/>
        <v>6.054267465742609E-2</v>
      </c>
    </row>
    <row r="13" spans="1:9">
      <c r="A13" s="6" t="s">
        <v>14</v>
      </c>
      <c r="B13" s="16">
        <f>Aug!$B$4</f>
        <v>6577.5</v>
      </c>
      <c r="C13" s="16">
        <f t="shared" si="0"/>
        <v>657.75</v>
      </c>
      <c r="D13">
        <f>B143</f>
        <v>800</v>
      </c>
      <c r="E13">
        <f t="shared" si="3"/>
        <v>2868.7310000000007</v>
      </c>
      <c r="F13" s="17">
        <f t="shared" si="1"/>
        <v>0.12162675788673508</v>
      </c>
      <c r="G13" s="18">
        <f t="shared" si="4"/>
        <v>82887.31</v>
      </c>
      <c r="H13" s="232">
        <f t="shared" si="5"/>
        <v>5420</v>
      </c>
      <c r="I13" s="17">
        <f t="shared" si="2"/>
        <v>6.5389985511654314E-2</v>
      </c>
    </row>
    <row r="14" spans="1:9">
      <c r="A14" s="6" t="s">
        <v>15</v>
      </c>
      <c r="B14" s="16">
        <f>Sep!$B$4</f>
        <v>10944.640000000001</v>
      </c>
      <c r="C14" s="16">
        <f t="shared" si="0"/>
        <v>1094.4640000000002</v>
      </c>
      <c r="D14">
        <f>B156</f>
        <v>1000</v>
      </c>
      <c r="E14">
        <f t="shared" si="3"/>
        <v>2963.1950000000006</v>
      </c>
      <c r="F14" s="17">
        <f t="shared" si="1"/>
        <v>9.1368925793813213E-2</v>
      </c>
      <c r="G14" s="18">
        <f t="shared" si="4"/>
        <v>93831.95</v>
      </c>
      <c r="H14" s="232">
        <f t="shared" si="5"/>
        <v>6420</v>
      </c>
      <c r="I14" s="17">
        <f t="shared" si="2"/>
        <v>6.8420191629823324E-2</v>
      </c>
    </row>
    <row r="15" spans="1:9">
      <c r="A15" s="6" t="s">
        <v>16</v>
      </c>
      <c r="B15" s="16">
        <f>Oct!$B$4</f>
        <v>7189.29</v>
      </c>
      <c r="C15" s="16">
        <f t="shared" si="0"/>
        <v>718.92900000000009</v>
      </c>
      <c r="D15">
        <f>B169</f>
        <v>1180</v>
      </c>
      <c r="E15">
        <f t="shared" si="3"/>
        <v>2502.1240000000007</v>
      </c>
      <c r="F15" s="17">
        <f t="shared" si="1"/>
        <v>0.16413303678110078</v>
      </c>
      <c r="G15" s="18">
        <f t="shared" si="4"/>
        <v>101021.23999999999</v>
      </c>
      <c r="H15" s="232">
        <f t="shared" si="5"/>
        <v>7600</v>
      </c>
      <c r="I15" s="17">
        <f t="shared" si="2"/>
        <v>7.5231703748637427E-2</v>
      </c>
    </row>
    <row r="16" spans="1:9">
      <c r="A16" s="6" t="s">
        <v>17</v>
      </c>
      <c r="B16" s="16">
        <f>Nov!$B$4</f>
        <v>15133.180000000002</v>
      </c>
      <c r="C16" s="16">
        <f t="shared" si="0"/>
        <v>1513.3180000000002</v>
      </c>
      <c r="D16">
        <f>B183</f>
        <v>2550</v>
      </c>
      <c r="E16">
        <f t="shared" si="3"/>
        <v>1465.4420000000009</v>
      </c>
      <c r="F16" s="17">
        <f t="shared" si="1"/>
        <v>0.16850390995151049</v>
      </c>
      <c r="G16" s="18">
        <f t="shared" si="4"/>
        <v>116154.42</v>
      </c>
      <c r="H16" s="232">
        <f t="shared" si="5"/>
        <v>10150</v>
      </c>
      <c r="I16" s="17">
        <f t="shared" si="2"/>
        <v>8.7383674250192112E-2</v>
      </c>
    </row>
    <row r="17" spans="1:9">
      <c r="A17" s="6" t="s">
        <v>18</v>
      </c>
      <c r="B17" s="16">
        <f>Dec!$B$4</f>
        <v>17170.510000000002</v>
      </c>
      <c r="C17" s="16">
        <f t="shared" si="0"/>
        <v>1717.0510000000004</v>
      </c>
      <c r="D17">
        <f>B200</f>
        <v>3378.24</v>
      </c>
      <c r="E17">
        <f t="shared" si="3"/>
        <v>-195.74699999999848</v>
      </c>
      <c r="F17" s="17">
        <f t="shared" si="1"/>
        <v>0.19674663128817951</v>
      </c>
      <c r="G17" s="18">
        <f t="shared" si="4"/>
        <v>133324.93</v>
      </c>
      <c r="H17" s="232">
        <f t="shared" si="5"/>
        <v>13528.24</v>
      </c>
      <c r="I17" s="17">
        <f t="shared" si="2"/>
        <v>0.10146819503299195</v>
      </c>
    </row>
    <row r="19" spans="1:9">
      <c r="A19" t="s">
        <v>144</v>
      </c>
      <c r="B19" s="15">
        <f>SUM(B6:B17)</f>
        <v>133324.93</v>
      </c>
      <c r="C19" s="15">
        <f>SUM(C6:C17)</f>
        <v>13332.492999999999</v>
      </c>
      <c r="D19" s="15">
        <f>SUM(D6:D17)</f>
        <v>13528.24</v>
      </c>
    </row>
    <row r="20" spans="1:9">
      <c r="B20" s="15"/>
      <c r="C20" s="1" t="s">
        <v>145</v>
      </c>
      <c r="D20" s="15">
        <f>D19/12</f>
        <v>1127.3533333333332</v>
      </c>
    </row>
    <row r="21" spans="1:9">
      <c r="B21" s="15"/>
      <c r="C21" s="1" t="s">
        <v>146</v>
      </c>
      <c r="D21" s="19">
        <f>D19/B19</f>
        <v>0.10146819503299195</v>
      </c>
    </row>
    <row r="22" spans="1:9">
      <c r="B22" s="15"/>
      <c r="C22" s="1"/>
      <c r="D22" s="19"/>
    </row>
    <row r="23" spans="1:9">
      <c r="A23" t="s">
        <v>994</v>
      </c>
      <c r="B23" s="15"/>
      <c r="C23" s="1"/>
      <c r="D23" s="327">
        <v>12261</v>
      </c>
      <c r="E23" t="s">
        <v>993</v>
      </c>
      <c r="F23" s="17">
        <f>(D19-D23)/D23</f>
        <v>0.10335535437566265</v>
      </c>
    </row>
    <row r="24" spans="1:9">
      <c r="B24" s="15"/>
      <c r="C24" s="1"/>
      <c r="D24" s="19"/>
    </row>
    <row r="26" spans="1:9">
      <c r="A26" s="20" t="s">
        <v>727</v>
      </c>
      <c r="F26" s="21" t="s">
        <v>148</v>
      </c>
      <c r="G26" s="20" t="s">
        <v>149</v>
      </c>
      <c r="H26" s="21" t="s">
        <v>147</v>
      </c>
    </row>
    <row r="27" spans="1:9">
      <c r="A27" t="s">
        <v>150</v>
      </c>
      <c r="F27">
        <f>F53+F66+F78+F90+F103+F116+F130+F143+F156+F169+F183+F200</f>
        <v>280</v>
      </c>
      <c r="G27" t="s">
        <v>1011</v>
      </c>
      <c r="H27">
        <v>2400</v>
      </c>
    </row>
    <row r="28" spans="1:9">
      <c r="A28" t="s">
        <v>762</v>
      </c>
      <c r="F28">
        <f>F114+F127+F128+F141+F154+F167+F181+F195+F215</f>
        <v>3700</v>
      </c>
      <c r="G28" t="s">
        <v>1011</v>
      </c>
    </row>
    <row r="29" spans="1:9">
      <c r="A29" t="s">
        <v>151</v>
      </c>
      <c r="C29" t="s">
        <v>152</v>
      </c>
      <c r="F29">
        <f>F54+F67+F79+F91+F104+F117+F131+F144+F157+F170+F184+F201</f>
        <v>1200</v>
      </c>
      <c r="G29">
        <v>1000</v>
      </c>
      <c r="H29">
        <f>12*100</f>
        <v>1200</v>
      </c>
    </row>
    <row r="30" spans="1:9">
      <c r="A30" t="s">
        <v>153</v>
      </c>
      <c r="C30" t="s">
        <v>153</v>
      </c>
      <c r="F30">
        <f>F55+F68+F80+F92+F105+F118+F132+F145+F158+F171+F185+F202</f>
        <v>1800</v>
      </c>
      <c r="H30">
        <f>12*150</f>
        <v>1800</v>
      </c>
    </row>
    <row r="31" spans="1:9">
      <c r="A31" t="s">
        <v>154</v>
      </c>
      <c r="C31" t="s">
        <v>155</v>
      </c>
      <c r="F31">
        <f>F56+F69+F81+F93+F106+F119+F133+F146+F159+F172+F186+F203</f>
        <v>600</v>
      </c>
      <c r="H31">
        <f>12*50</f>
        <v>600</v>
      </c>
    </row>
    <row r="32" spans="1:9">
      <c r="A32" t="s">
        <v>154</v>
      </c>
      <c r="C32" t="s">
        <v>864</v>
      </c>
      <c r="F32">
        <f>F173+F187+F204</f>
        <v>300</v>
      </c>
    </row>
    <row r="33" spans="1:8">
      <c r="A33" t="s">
        <v>156</v>
      </c>
      <c r="C33" t="s">
        <v>157</v>
      </c>
      <c r="F33">
        <f t="shared" ref="F33:F39" si="6">F57+F70+F82+F94+F107+F120+F134+F147+F160+F174+F188+F205</f>
        <v>300</v>
      </c>
      <c r="H33">
        <f>6*50</f>
        <v>300</v>
      </c>
    </row>
    <row r="34" spans="1:8">
      <c r="A34" t="s">
        <v>158</v>
      </c>
      <c r="C34" t="s">
        <v>159</v>
      </c>
      <c r="F34">
        <f t="shared" si="6"/>
        <v>1000</v>
      </c>
      <c r="H34">
        <v>1000</v>
      </c>
    </row>
    <row r="35" spans="1:8">
      <c r="A35" t="s">
        <v>158</v>
      </c>
      <c r="C35" t="s">
        <v>160</v>
      </c>
      <c r="F35">
        <f t="shared" si="6"/>
        <v>120</v>
      </c>
      <c r="H35">
        <v>120</v>
      </c>
    </row>
    <row r="36" spans="1:8">
      <c r="A36" t="s">
        <v>161</v>
      </c>
      <c r="C36" t="s">
        <v>162</v>
      </c>
      <c r="F36">
        <f t="shared" si="6"/>
        <v>800</v>
      </c>
      <c r="H36">
        <v>800</v>
      </c>
    </row>
    <row r="37" spans="1:8">
      <c r="A37" t="s">
        <v>163</v>
      </c>
      <c r="C37" s="22"/>
      <c r="F37">
        <f t="shared" si="6"/>
        <v>0</v>
      </c>
      <c r="H37">
        <v>0</v>
      </c>
    </row>
    <row r="38" spans="1:8">
      <c r="A38" t="s">
        <v>164</v>
      </c>
      <c r="C38" s="22"/>
      <c r="F38">
        <f t="shared" si="6"/>
        <v>400</v>
      </c>
      <c r="H38">
        <v>0</v>
      </c>
    </row>
    <row r="39" spans="1:8">
      <c r="A39" t="s">
        <v>165</v>
      </c>
      <c r="F39">
        <f t="shared" si="6"/>
        <v>450</v>
      </c>
      <c r="H39">
        <f>12*37.5</f>
        <v>450</v>
      </c>
    </row>
    <row r="40" spans="1:8">
      <c r="A40" t="s">
        <v>951</v>
      </c>
      <c r="F40">
        <v>1500</v>
      </c>
      <c r="H40">
        <v>0</v>
      </c>
    </row>
    <row r="41" spans="1:8">
      <c r="A41" t="s">
        <v>956</v>
      </c>
      <c r="C41" t="s">
        <v>991</v>
      </c>
      <c r="F41">
        <v>1050</v>
      </c>
      <c r="H41">
        <v>0</v>
      </c>
    </row>
    <row r="42" spans="1:8">
      <c r="A42" t="s">
        <v>963</v>
      </c>
      <c r="C42" t="s">
        <v>992</v>
      </c>
      <c r="F42">
        <v>28.24</v>
      </c>
      <c r="H42">
        <v>0</v>
      </c>
    </row>
    <row r="43" spans="1:8">
      <c r="H43">
        <v>0</v>
      </c>
    </row>
    <row r="44" spans="1:8">
      <c r="H44">
        <v>0</v>
      </c>
    </row>
    <row r="45" spans="1:8">
      <c r="H45">
        <v>0</v>
      </c>
    </row>
    <row r="46" spans="1:8">
      <c r="F46" s="23">
        <f>SUM(F27:F45)</f>
        <v>13528.24</v>
      </c>
      <c r="H46" s="23">
        <f>SUM(H27:H45)</f>
        <v>8670</v>
      </c>
    </row>
    <row r="47" spans="1:8">
      <c r="H47" s="24"/>
    </row>
    <row r="48" spans="1:8">
      <c r="A48">
        <f>SUM(H39:H45)</f>
        <v>450</v>
      </c>
      <c r="B48" t="s">
        <v>166</v>
      </c>
      <c r="F48" t="s">
        <v>167</v>
      </c>
      <c r="H48" s="25">
        <f>H46/12</f>
        <v>722.5</v>
      </c>
    </row>
    <row r="49" spans="1:10">
      <c r="B49" t="s">
        <v>168</v>
      </c>
      <c r="H49" s="25">
        <f>H46/52</f>
        <v>166.73076923076923</v>
      </c>
    </row>
    <row r="51" spans="1:10">
      <c r="A51" s="26" t="s">
        <v>169</v>
      </c>
    </row>
    <row r="52" spans="1:10">
      <c r="B52" s="5" t="s">
        <v>71</v>
      </c>
      <c r="D52" t="s">
        <v>170</v>
      </c>
      <c r="E52" t="s">
        <v>171</v>
      </c>
      <c r="F52" t="s">
        <v>172</v>
      </c>
      <c r="G52" t="s">
        <v>173</v>
      </c>
    </row>
    <row r="53" spans="1:10">
      <c r="A53" s="2" t="s">
        <v>7</v>
      </c>
      <c r="B53" s="27">
        <f>SUM(F53:F64)</f>
        <v>870</v>
      </c>
      <c r="C53" t="s">
        <v>150</v>
      </c>
      <c r="D53">
        <v>1777</v>
      </c>
      <c r="E53" s="28">
        <v>41292</v>
      </c>
      <c r="F53">
        <v>240</v>
      </c>
    </row>
    <row r="54" spans="1:10">
      <c r="A54" s="2"/>
      <c r="B54" s="27"/>
      <c r="C54" t="s">
        <v>151</v>
      </c>
      <c r="D54" t="s">
        <v>530</v>
      </c>
      <c r="E54" s="28">
        <v>41276</v>
      </c>
      <c r="F54">
        <v>100</v>
      </c>
      <c r="G54" t="s">
        <v>152</v>
      </c>
      <c r="I54" t="s">
        <v>174</v>
      </c>
    </row>
    <row r="55" spans="1:10">
      <c r="A55" s="2"/>
      <c r="B55" s="27"/>
      <c r="C55" t="s">
        <v>153</v>
      </c>
      <c r="D55">
        <v>1774</v>
      </c>
      <c r="E55" s="28">
        <v>41277</v>
      </c>
      <c r="F55">
        <v>150</v>
      </c>
      <c r="G55" t="s">
        <v>153</v>
      </c>
      <c r="I55" t="s">
        <v>934</v>
      </c>
    </row>
    <row r="56" spans="1:10">
      <c r="C56" t="s">
        <v>154</v>
      </c>
      <c r="D56" s="238" t="s">
        <v>529</v>
      </c>
      <c r="E56" s="22">
        <v>41281</v>
      </c>
      <c r="F56">
        <v>50</v>
      </c>
      <c r="G56" t="s">
        <v>155</v>
      </c>
      <c r="I56" t="s">
        <v>935</v>
      </c>
    </row>
    <row r="57" spans="1:10">
      <c r="C57" t="s">
        <v>156</v>
      </c>
      <c r="D57" t="s">
        <v>529</v>
      </c>
      <c r="E57" s="28">
        <v>41281</v>
      </c>
      <c r="F57">
        <v>50</v>
      </c>
      <c r="G57" t="s">
        <v>157</v>
      </c>
      <c r="I57" t="s">
        <v>175</v>
      </c>
    </row>
    <row r="58" spans="1:10">
      <c r="C58" t="s">
        <v>158</v>
      </c>
      <c r="D58">
        <v>1776</v>
      </c>
      <c r="E58" s="28">
        <v>41284</v>
      </c>
      <c r="F58">
        <v>250</v>
      </c>
      <c r="G58" t="s">
        <v>867</v>
      </c>
      <c r="I58" t="s">
        <v>176</v>
      </c>
      <c r="J58" t="s">
        <v>177</v>
      </c>
    </row>
    <row r="59" spans="1:10">
      <c r="C59" t="s">
        <v>158</v>
      </c>
      <c r="D59">
        <v>1776</v>
      </c>
      <c r="E59" s="28">
        <v>41284</v>
      </c>
      <c r="F59">
        <v>30</v>
      </c>
      <c r="G59" t="s">
        <v>160</v>
      </c>
    </row>
    <row r="60" spans="1:10">
      <c r="C60" t="s">
        <v>161</v>
      </c>
      <c r="E60" s="22"/>
      <c r="F60">
        <v>0</v>
      </c>
      <c r="G60" t="s">
        <v>162</v>
      </c>
      <c r="I60" t="s">
        <v>178</v>
      </c>
    </row>
    <row r="61" spans="1:10">
      <c r="C61" t="s">
        <v>163</v>
      </c>
      <c r="E61" s="22"/>
      <c r="F61">
        <v>0</v>
      </c>
    </row>
    <row r="62" spans="1:10">
      <c r="C62" t="s">
        <v>164</v>
      </c>
      <c r="E62" s="22"/>
      <c r="F62">
        <v>0</v>
      </c>
      <c r="G62" t="s">
        <v>179</v>
      </c>
      <c r="I62" t="s">
        <v>180</v>
      </c>
    </row>
    <row r="63" spans="1:10">
      <c r="C63" t="s">
        <v>165</v>
      </c>
      <c r="E63" s="28"/>
      <c r="F63">
        <v>0</v>
      </c>
      <c r="G63" t="s">
        <v>181</v>
      </c>
    </row>
    <row r="64" spans="1:10">
      <c r="E64" s="22"/>
    </row>
    <row r="65" spans="1:10">
      <c r="E65" s="22"/>
    </row>
    <row r="66" spans="1:10">
      <c r="A66" s="2" t="s">
        <v>8</v>
      </c>
      <c r="B66" s="2">
        <f>SUM(F66:F76)</f>
        <v>350</v>
      </c>
      <c r="C66" t="s">
        <v>150</v>
      </c>
      <c r="E66" s="28"/>
      <c r="F66">
        <v>0</v>
      </c>
    </row>
    <row r="67" spans="1:10">
      <c r="A67" s="2"/>
      <c r="B67" s="2"/>
      <c r="C67" t="s">
        <v>151</v>
      </c>
      <c r="D67" t="s">
        <v>530</v>
      </c>
      <c r="E67" s="28">
        <v>41306</v>
      </c>
      <c r="F67">
        <v>100</v>
      </c>
      <c r="G67" t="s">
        <v>152</v>
      </c>
      <c r="I67" t="s">
        <v>174</v>
      </c>
    </row>
    <row r="68" spans="1:10">
      <c r="A68" s="2"/>
      <c r="B68" s="2"/>
      <c r="C68" t="s">
        <v>153</v>
      </c>
      <c r="D68">
        <v>1783</v>
      </c>
      <c r="E68" s="28">
        <v>41306</v>
      </c>
      <c r="F68">
        <v>150</v>
      </c>
      <c r="G68" t="s">
        <v>153</v>
      </c>
      <c r="I68" t="s">
        <v>934</v>
      </c>
    </row>
    <row r="69" spans="1:10">
      <c r="A69" s="2"/>
      <c r="B69" s="2"/>
      <c r="C69" t="s">
        <v>154</v>
      </c>
      <c r="D69" s="238" t="s">
        <v>529</v>
      </c>
      <c r="E69" s="28">
        <v>41310</v>
      </c>
      <c r="F69">
        <v>50</v>
      </c>
      <c r="G69" t="s">
        <v>155</v>
      </c>
      <c r="I69" t="s">
        <v>935</v>
      </c>
    </row>
    <row r="70" spans="1:10">
      <c r="A70" s="2"/>
      <c r="B70" s="2"/>
      <c r="C70" t="s">
        <v>156</v>
      </c>
      <c r="D70" t="s">
        <v>529</v>
      </c>
      <c r="E70" s="28">
        <v>41312</v>
      </c>
      <c r="F70">
        <v>50</v>
      </c>
      <c r="G70" t="s">
        <v>157</v>
      </c>
      <c r="I70" t="s">
        <v>175</v>
      </c>
    </row>
    <row r="71" spans="1:10">
      <c r="A71" s="2"/>
      <c r="B71" s="2"/>
      <c r="C71" t="s">
        <v>158</v>
      </c>
      <c r="E71" s="22"/>
      <c r="F71">
        <v>0</v>
      </c>
      <c r="G71" t="s">
        <v>867</v>
      </c>
      <c r="I71" t="s">
        <v>176</v>
      </c>
      <c r="J71" t="s">
        <v>177</v>
      </c>
    </row>
    <row r="72" spans="1:10">
      <c r="A72" s="2"/>
      <c r="B72" s="2"/>
      <c r="C72" t="s">
        <v>158</v>
      </c>
      <c r="E72" s="22"/>
      <c r="F72">
        <v>0</v>
      </c>
      <c r="G72" t="s">
        <v>160</v>
      </c>
    </row>
    <row r="73" spans="1:10">
      <c r="A73" s="2"/>
      <c r="B73" s="2"/>
      <c r="C73" t="s">
        <v>161</v>
      </c>
      <c r="E73" s="22"/>
      <c r="F73">
        <v>0</v>
      </c>
      <c r="G73" t="s">
        <v>162</v>
      </c>
      <c r="I73" t="s">
        <v>178</v>
      </c>
    </row>
    <row r="74" spans="1:10">
      <c r="A74" s="2"/>
      <c r="B74" s="2"/>
      <c r="C74" t="s">
        <v>163</v>
      </c>
      <c r="E74" s="22"/>
      <c r="F74">
        <v>0</v>
      </c>
    </row>
    <row r="75" spans="1:10">
      <c r="A75" s="2"/>
      <c r="B75" s="2"/>
      <c r="C75" t="s">
        <v>164</v>
      </c>
      <c r="E75" s="22"/>
      <c r="F75">
        <v>0</v>
      </c>
      <c r="G75" t="s">
        <v>179</v>
      </c>
      <c r="I75" t="s">
        <v>180</v>
      </c>
    </row>
    <row r="76" spans="1:10">
      <c r="A76" s="2"/>
      <c r="B76" s="2"/>
      <c r="C76" t="s">
        <v>165</v>
      </c>
      <c r="F76">
        <v>0</v>
      </c>
    </row>
    <row r="77" spans="1:10">
      <c r="E77" s="22"/>
    </row>
    <row r="78" spans="1:10">
      <c r="A78" s="2" t="s">
        <v>9</v>
      </c>
      <c r="B78" s="2">
        <f>SUM(F78:F89)</f>
        <v>550</v>
      </c>
      <c r="E78" s="28"/>
      <c r="F78">
        <v>0</v>
      </c>
    </row>
    <row r="79" spans="1:10">
      <c r="A79" s="2"/>
      <c r="B79" s="2"/>
      <c r="C79" t="s">
        <v>151</v>
      </c>
      <c r="D79" t="s">
        <v>530</v>
      </c>
      <c r="E79" s="28">
        <v>41334</v>
      </c>
      <c r="F79">
        <v>100</v>
      </c>
      <c r="G79" t="s">
        <v>152</v>
      </c>
      <c r="I79" t="s">
        <v>174</v>
      </c>
    </row>
    <row r="80" spans="1:10">
      <c r="A80" s="2"/>
      <c r="B80" s="2"/>
      <c r="C80" t="s">
        <v>153</v>
      </c>
      <c r="D80" t="s">
        <v>529</v>
      </c>
      <c r="E80" s="28">
        <v>41334</v>
      </c>
      <c r="F80">
        <v>150</v>
      </c>
      <c r="G80" t="s">
        <v>153</v>
      </c>
      <c r="I80" t="s">
        <v>934</v>
      </c>
    </row>
    <row r="81" spans="1:10">
      <c r="A81" s="2"/>
      <c r="B81" s="2"/>
      <c r="C81" t="s">
        <v>154</v>
      </c>
      <c r="D81" t="s">
        <v>529</v>
      </c>
      <c r="E81" s="28">
        <v>41338</v>
      </c>
      <c r="F81">
        <v>50</v>
      </c>
      <c r="G81" t="s">
        <v>155</v>
      </c>
      <c r="I81" t="s">
        <v>935</v>
      </c>
    </row>
    <row r="82" spans="1:10">
      <c r="C82" t="s">
        <v>156</v>
      </c>
      <c r="D82" t="s">
        <v>529</v>
      </c>
      <c r="E82" s="22">
        <v>41340</v>
      </c>
      <c r="F82">
        <v>50</v>
      </c>
      <c r="G82" t="s">
        <v>157</v>
      </c>
      <c r="I82" t="s">
        <v>175</v>
      </c>
    </row>
    <row r="83" spans="1:10">
      <c r="C83" t="s">
        <v>158</v>
      </c>
      <c r="E83" s="22"/>
      <c r="F83">
        <v>0</v>
      </c>
      <c r="G83" t="s">
        <v>159</v>
      </c>
      <c r="I83" t="s">
        <v>176</v>
      </c>
      <c r="J83" t="s">
        <v>177</v>
      </c>
    </row>
    <row r="84" spans="1:10">
      <c r="C84" t="s">
        <v>158</v>
      </c>
      <c r="E84" s="22"/>
      <c r="F84">
        <v>0</v>
      </c>
      <c r="G84" t="s">
        <v>160</v>
      </c>
    </row>
    <row r="85" spans="1:10">
      <c r="C85" t="s">
        <v>161</v>
      </c>
      <c r="D85">
        <v>1795</v>
      </c>
      <c r="E85" s="22">
        <v>41334</v>
      </c>
      <c r="F85">
        <v>200</v>
      </c>
      <c r="G85" t="s">
        <v>162</v>
      </c>
      <c r="I85" t="s">
        <v>178</v>
      </c>
    </row>
    <row r="86" spans="1:10">
      <c r="C86" t="s">
        <v>163</v>
      </c>
      <c r="E86" s="22"/>
      <c r="F86">
        <v>0</v>
      </c>
    </row>
    <row r="87" spans="1:10">
      <c r="C87" t="s">
        <v>164</v>
      </c>
      <c r="E87" s="22"/>
      <c r="F87">
        <v>0</v>
      </c>
      <c r="G87" t="s">
        <v>179</v>
      </c>
      <c r="I87" t="s">
        <v>180</v>
      </c>
    </row>
    <row r="88" spans="1:10">
      <c r="C88" t="s">
        <v>165</v>
      </c>
      <c r="E88" s="28"/>
      <c r="F88">
        <v>0</v>
      </c>
      <c r="G88" t="s">
        <v>182</v>
      </c>
    </row>
    <row r="89" spans="1:10">
      <c r="A89" s="2"/>
      <c r="B89" s="2"/>
      <c r="E89" s="22"/>
    </row>
    <row r="90" spans="1:10">
      <c r="A90" s="2" t="s">
        <v>10</v>
      </c>
      <c r="B90" s="2">
        <f>SUM(F90:F101)</f>
        <v>670</v>
      </c>
      <c r="C90" t="s">
        <v>150</v>
      </c>
      <c r="D90">
        <v>1808</v>
      </c>
      <c r="E90" s="28" t="s">
        <v>685</v>
      </c>
      <c r="F90">
        <v>40</v>
      </c>
      <c r="G90" t="s">
        <v>686</v>
      </c>
      <c r="J90" t="s">
        <v>687</v>
      </c>
    </row>
    <row r="91" spans="1:10">
      <c r="C91" t="s">
        <v>151</v>
      </c>
      <c r="D91" t="s">
        <v>530</v>
      </c>
      <c r="E91" s="28">
        <v>41278</v>
      </c>
      <c r="F91">
        <v>100</v>
      </c>
      <c r="G91" t="s">
        <v>152</v>
      </c>
      <c r="I91" t="s">
        <v>174</v>
      </c>
    </row>
    <row r="92" spans="1:10">
      <c r="C92" t="s">
        <v>153</v>
      </c>
      <c r="D92" t="s">
        <v>529</v>
      </c>
      <c r="E92" s="28">
        <v>41278</v>
      </c>
      <c r="F92">
        <v>150</v>
      </c>
      <c r="G92" t="s">
        <v>153</v>
      </c>
      <c r="I92" t="s">
        <v>934</v>
      </c>
    </row>
    <row r="93" spans="1:10">
      <c r="C93" t="s">
        <v>154</v>
      </c>
      <c r="D93" t="s">
        <v>529</v>
      </c>
      <c r="E93" s="28">
        <v>41398</v>
      </c>
      <c r="F93">
        <v>50</v>
      </c>
      <c r="G93" t="s">
        <v>155</v>
      </c>
      <c r="I93" t="s">
        <v>935</v>
      </c>
    </row>
    <row r="94" spans="1:10">
      <c r="C94" t="s">
        <v>156</v>
      </c>
      <c r="D94" t="s">
        <v>529</v>
      </c>
      <c r="E94" s="28">
        <v>41459</v>
      </c>
      <c r="F94">
        <v>50</v>
      </c>
      <c r="G94" t="s">
        <v>157</v>
      </c>
      <c r="I94" t="s">
        <v>175</v>
      </c>
    </row>
    <row r="95" spans="1:10">
      <c r="C95" t="s">
        <v>158</v>
      </c>
      <c r="D95">
        <v>1800</v>
      </c>
      <c r="E95" s="28">
        <v>41278</v>
      </c>
      <c r="F95">
        <v>250</v>
      </c>
      <c r="G95" t="s">
        <v>159</v>
      </c>
      <c r="I95" t="s">
        <v>176</v>
      </c>
    </row>
    <row r="96" spans="1:10">
      <c r="C96" t="s">
        <v>158</v>
      </c>
      <c r="D96">
        <v>1800</v>
      </c>
      <c r="E96" s="28">
        <v>41278</v>
      </c>
      <c r="F96">
        <v>30</v>
      </c>
      <c r="G96" t="s">
        <v>160</v>
      </c>
    </row>
    <row r="97" spans="1:9">
      <c r="C97" t="s">
        <v>161</v>
      </c>
      <c r="E97" s="22"/>
      <c r="F97">
        <v>0</v>
      </c>
      <c r="G97" t="s">
        <v>162</v>
      </c>
      <c r="I97" t="s">
        <v>178</v>
      </c>
    </row>
    <row r="98" spans="1:9">
      <c r="C98" t="s">
        <v>163</v>
      </c>
      <c r="E98" s="22"/>
      <c r="F98">
        <v>0</v>
      </c>
    </row>
    <row r="99" spans="1:9">
      <c r="C99" t="s">
        <v>164</v>
      </c>
      <c r="E99" s="22"/>
      <c r="F99">
        <v>0</v>
      </c>
    </row>
    <row r="100" spans="1:9">
      <c r="C100" t="s">
        <v>165</v>
      </c>
      <c r="F100">
        <v>0</v>
      </c>
    </row>
    <row r="101" spans="1:9">
      <c r="C101" t="s">
        <v>183</v>
      </c>
      <c r="E101" s="22"/>
      <c r="F101">
        <v>0</v>
      </c>
    </row>
    <row r="102" spans="1:9">
      <c r="E102" s="22"/>
    </row>
    <row r="103" spans="1:9">
      <c r="A103" s="2" t="s">
        <v>11</v>
      </c>
      <c r="B103" s="2">
        <f>SUM(F103:F115)</f>
        <v>550</v>
      </c>
      <c r="E103" s="22"/>
      <c r="F103">
        <v>0</v>
      </c>
    </row>
    <row r="104" spans="1:9">
      <c r="A104" s="2"/>
      <c r="B104" s="2"/>
      <c r="C104" t="s">
        <v>151</v>
      </c>
      <c r="D104" t="s">
        <v>530</v>
      </c>
      <c r="E104" s="22">
        <v>41279</v>
      </c>
      <c r="F104">
        <v>100</v>
      </c>
      <c r="G104" t="s">
        <v>152</v>
      </c>
      <c r="I104" t="s">
        <v>174</v>
      </c>
    </row>
    <row r="105" spans="1:9">
      <c r="A105" s="2"/>
      <c r="B105" s="2"/>
      <c r="C105" t="s">
        <v>153</v>
      </c>
      <c r="D105" t="s">
        <v>529</v>
      </c>
      <c r="E105" s="22">
        <v>41279</v>
      </c>
      <c r="F105">
        <v>150</v>
      </c>
      <c r="G105" t="s">
        <v>153</v>
      </c>
      <c r="I105" t="s">
        <v>174</v>
      </c>
    </row>
    <row r="106" spans="1:9">
      <c r="A106" s="2"/>
      <c r="B106" s="2"/>
      <c r="C106" t="s">
        <v>154</v>
      </c>
      <c r="D106" t="s">
        <v>529</v>
      </c>
      <c r="E106" s="22">
        <v>41399</v>
      </c>
      <c r="F106">
        <v>50</v>
      </c>
      <c r="G106" t="s">
        <v>155</v>
      </c>
      <c r="I106" t="s">
        <v>935</v>
      </c>
    </row>
    <row r="107" spans="1:9">
      <c r="A107" s="2"/>
      <c r="B107" s="2"/>
      <c r="C107" t="s">
        <v>156</v>
      </c>
      <c r="D107" t="s">
        <v>529</v>
      </c>
      <c r="E107" s="22">
        <v>41460</v>
      </c>
      <c r="F107">
        <v>50</v>
      </c>
      <c r="G107" t="s">
        <v>157</v>
      </c>
      <c r="I107" t="s">
        <v>175</v>
      </c>
    </row>
    <row r="108" spans="1:9">
      <c r="A108" s="2"/>
      <c r="B108" s="2"/>
      <c r="C108" t="s">
        <v>158</v>
      </c>
      <c r="E108" s="22"/>
      <c r="F108">
        <v>0</v>
      </c>
      <c r="G108" t="s">
        <v>159</v>
      </c>
      <c r="I108" t="s">
        <v>176</v>
      </c>
    </row>
    <row r="109" spans="1:9">
      <c r="A109" s="2"/>
      <c r="B109" s="2"/>
      <c r="C109" t="s">
        <v>158</v>
      </c>
      <c r="E109" s="22"/>
      <c r="F109">
        <v>0</v>
      </c>
      <c r="G109" t="s">
        <v>160</v>
      </c>
    </row>
    <row r="110" spans="1:9">
      <c r="A110" s="2"/>
      <c r="B110" s="2"/>
      <c r="C110" t="s">
        <v>161</v>
      </c>
      <c r="E110" s="22"/>
      <c r="F110">
        <v>0</v>
      </c>
      <c r="G110" t="s">
        <v>162</v>
      </c>
      <c r="I110" t="s">
        <v>178</v>
      </c>
    </row>
    <row r="111" spans="1:9">
      <c r="A111" s="2"/>
      <c r="B111" s="2"/>
      <c r="C111" t="s">
        <v>163</v>
      </c>
      <c r="E111" s="22"/>
      <c r="F111">
        <v>0</v>
      </c>
    </row>
    <row r="112" spans="1:9">
      <c r="A112" s="2"/>
      <c r="B112" s="2"/>
      <c r="C112" t="s">
        <v>164</v>
      </c>
      <c r="E112" s="22"/>
      <c r="F112">
        <v>0</v>
      </c>
    </row>
    <row r="113" spans="1:9">
      <c r="A113" s="2"/>
      <c r="B113" s="2"/>
      <c r="C113" t="s">
        <v>165</v>
      </c>
      <c r="F113">
        <v>0</v>
      </c>
    </row>
    <row r="114" spans="1:9">
      <c r="A114" s="2"/>
      <c r="B114" s="2"/>
      <c r="C114" t="s">
        <v>762</v>
      </c>
      <c r="D114">
        <v>1826</v>
      </c>
      <c r="E114" s="247" t="s">
        <v>769</v>
      </c>
      <c r="F114">
        <v>200</v>
      </c>
    </row>
    <row r="115" spans="1:9">
      <c r="A115" s="2"/>
      <c r="B115" s="2"/>
    </row>
    <row r="116" spans="1:9">
      <c r="A116" s="2" t="s">
        <v>12</v>
      </c>
      <c r="B116" s="2">
        <f>SUM(F116:F128)</f>
        <v>750</v>
      </c>
      <c r="C116" t="s">
        <v>150</v>
      </c>
      <c r="E116" s="28"/>
      <c r="F116">
        <v>0</v>
      </c>
    </row>
    <row r="117" spans="1:9">
      <c r="A117" s="2"/>
      <c r="B117" s="2"/>
      <c r="C117" t="s">
        <v>151</v>
      </c>
      <c r="E117" s="28">
        <v>41280</v>
      </c>
      <c r="F117">
        <v>100</v>
      </c>
      <c r="G117" t="s">
        <v>152</v>
      </c>
      <c r="I117" t="s">
        <v>174</v>
      </c>
    </row>
    <row r="118" spans="1:9">
      <c r="A118" s="2"/>
      <c r="B118" s="2"/>
      <c r="C118" t="s">
        <v>153</v>
      </c>
      <c r="D118" t="s">
        <v>799</v>
      </c>
      <c r="E118" s="28">
        <v>41280</v>
      </c>
      <c r="F118">
        <v>150</v>
      </c>
      <c r="G118" t="s">
        <v>153</v>
      </c>
      <c r="I118" t="s">
        <v>174</v>
      </c>
    </row>
    <row r="119" spans="1:9">
      <c r="A119" s="2"/>
      <c r="B119" s="2"/>
      <c r="C119" t="s">
        <v>154</v>
      </c>
      <c r="D119" t="s">
        <v>799</v>
      </c>
      <c r="E119" s="28">
        <v>41400</v>
      </c>
      <c r="F119">
        <v>50</v>
      </c>
      <c r="G119" t="s">
        <v>155</v>
      </c>
      <c r="I119" t="s">
        <v>935</v>
      </c>
    </row>
    <row r="120" spans="1:9">
      <c r="A120" s="2"/>
      <c r="B120" s="2"/>
      <c r="C120" t="s">
        <v>156</v>
      </c>
      <c r="D120" t="s">
        <v>799</v>
      </c>
      <c r="E120" s="22">
        <v>41461</v>
      </c>
      <c r="F120">
        <v>50</v>
      </c>
      <c r="G120" t="s">
        <v>157</v>
      </c>
      <c r="I120" t="s">
        <v>175</v>
      </c>
    </row>
    <row r="121" spans="1:9">
      <c r="A121" s="2"/>
      <c r="B121" s="2"/>
      <c r="C121" t="s">
        <v>158</v>
      </c>
      <c r="E121" s="22"/>
      <c r="F121">
        <v>0</v>
      </c>
      <c r="G121" t="s">
        <v>159</v>
      </c>
      <c r="I121" t="s">
        <v>176</v>
      </c>
    </row>
    <row r="122" spans="1:9">
      <c r="A122" s="2"/>
      <c r="B122" s="2"/>
      <c r="C122" t="s">
        <v>158</v>
      </c>
      <c r="E122" s="22"/>
      <c r="F122">
        <v>0</v>
      </c>
      <c r="G122" t="s">
        <v>160</v>
      </c>
    </row>
    <row r="123" spans="1:9">
      <c r="A123" s="2"/>
      <c r="B123" s="2"/>
      <c r="C123" t="s">
        <v>161</v>
      </c>
      <c r="D123">
        <v>1824</v>
      </c>
      <c r="E123" s="22">
        <v>41280</v>
      </c>
      <c r="F123">
        <v>200</v>
      </c>
      <c r="G123" t="s">
        <v>162</v>
      </c>
      <c r="I123" t="s">
        <v>178</v>
      </c>
    </row>
    <row r="124" spans="1:9">
      <c r="A124" s="2"/>
      <c r="B124" s="2"/>
      <c r="C124" t="s">
        <v>163</v>
      </c>
      <c r="E124" s="22"/>
      <c r="F124">
        <v>0</v>
      </c>
    </row>
    <row r="125" spans="1:9">
      <c r="A125" s="2"/>
      <c r="B125" s="2"/>
      <c r="C125" t="s">
        <v>164</v>
      </c>
      <c r="E125" s="22"/>
      <c r="F125">
        <v>0</v>
      </c>
    </row>
    <row r="126" spans="1:9">
      <c r="A126" s="2"/>
      <c r="B126" s="2"/>
      <c r="C126" t="s">
        <v>165</v>
      </c>
      <c r="F126">
        <v>0</v>
      </c>
      <c r="G126" t="s">
        <v>181</v>
      </c>
    </row>
    <row r="127" spans="1:9">
      <c r="A127" s="2"/>
      <c r="B127" s="2"/>
      <c r="C127" t="s">
        <v>762</v>
      </c>
      <c r="D127">
        <v>1831</v>
      </c>
      <c r="E127" t="s">
        <v>784</v>
      </c>
      <c r="F127">
        <v>200</v>
      </c>
    </row>
    <row r="128" spans="1:9">
      <c r="A128" s="2"/>
      <c r="B128" s="2"/>
    </row>
    <row r="129" spans="1:9">
      <c r="A129" s="2"/>
      <c r="B129" s="2"/>
    </row>
    <row r="130" spans="1:9">
      <c r="A130" s="2" t="s">
        <v>13</v>
      </c>
      <c r="B130" s="2">
        <f>SUM(F130:F142)</f>
        <v>880</v>
      </c>
      <c r="C130" t="s">
        <v>150</v>
      </c>
      <c r="E130" s="28"/>
      <c r="F130">
        <v>0</v>
      </c>
    </row>
    <row r="131" spans="1:9">
      <c r="A131" s="2"/>
      <c r="B131" s="2"/>
      <c r="C131" t="s">
        <v>151</v>
      </c>
      <c r="D131" t="s">
        <v>800</v>
      </c>
      <c r="E131" s="28">
        <v>41281</v>
      </c>
      <c r="F131">
        <v>100</v>
      </c>
      <c r="G131" t="s">
        <v>152</v>
      </c>
      <c r="I131" t="s">
        <v>174</v>
      </c>
    </row>
    <row r="132" spans="1:9">
      <c r="A132" s="2"/>
      <c r="B132" s="2"/>
      <c r="C132" t="s">
        <v>153</v>
      </c>
      <c r="D132" t="s">
        <v>799</v>
      </c>
      <c r="E132" s="28">
        <v>41281</v>
      </c>
      <c r="F132">
        <v>150</v>
      </c>
      <c r="G132" t="s">
        <v>153</v>
      </c>
      <c r="I132" t="s">
        <v>934</v>
      </c>
    </row>
    <row r="133" spans="1:9">
      <c r="A133" s="2"/>
      <c r="B133" s="2"/>
      <c r="C133" t="s">
        <v>154</v>
      </c>
      <c r="D133" t="s">
        <v>799</v>
      </c>
      <c r="E133" s="28">
        <v>41401</v>
      </c>
      <c r="F133">
        <v>50</v>
      </c>
      <c r="G133" t="s">
        <v>155</v>
      </c>
      <c r="I133" t="s">
        <v>935</v>
      </c>
    </row>
    <row r="134" spans="1:9">
      <c r="A134" s="2"/>
      <c r="B134" s="2"/>
      <c r="C134" t="s">
        <v>156</v>
      </c>
      <c r="E134" s="22"/>
      <c r="F134">
        <v>0</v>
      </c>
      <c r="G134" t="s">
        <v>157</v>
      </c>
      <c r="I134" t="s">
        <v>175</v>
      </c>
    </row>
    <row r="135" spans="1:9">
      <c r="A135" s="2"/>
      <c r="B135" s="2"/>
      <c r="C135" t="s">
        <v>158</v>
      </c>
      <c r="D135">
        <v>1837</v>
      </c>
      <c r="E135" s="22">
        <v>41281</v>
      </c>
      <c r="F135">
        <v>250</v>
      </c>
      <c r="G135" t="s">
        <v>159</v>
      </c>
      <c r="I135" t="s">
        <v>176</v>
      </c>
    </row>
    <row r="136" spans="1:9">
      <c r="A136" s="2"/>
      <c r="B136" s="2"/>
      <c r="C136" t="s">
        <v>158</v>
      </c>
      <c r="D136">
        <v>1837</v>
      </c>
      <c r="E136" s="22">
        <v>41281</v>
      </c>
      <c r="F136">
        <v>30</v>
      </c>
      <c r="G136" t="s">
        <v>160</v>
      </c>
    </row>
    <row r="137" spans="1:9">
      <c r="A137" s="2"/>
      <c r="B137" s="2"/>
      <c r="C137" t="s">
        <v>161</v>
      </c>
      <c r="E137" s="22"/>
      <c r="F137">
        <v>0</v>
      </c>
      <c r="G137" t="s">
        <v>162</v>
      </c>
      <c r="I137" t="s">
        <v>178</v>
      </c>
    </row>
    <row r="138" spans="1:9">
      <c r="A138" s="2"/>
      <c r="B138" s="2"/>
      <c r="C138" t="s">
        <v>163</v>
      </c>
      <c r="E138" s="22"/>
      <c r="F138">
        <v>0</v>
      </c>
    </row>
    <row r="139" spans="1:9">
      <c r="A139" s="2"/>
      <c r="B139" s="2"/>
      <c r="C139" t="s">
        <v>164</v>
      </c>
      <c r="E139" s="22"/>
      <c r="F139">
        <v>0</v>
      </c>
    </row>
    <row r="140" spans="1:9">
      <c r="A140" s="2"/>
      <c r="B140" s="2"/>
      <c r="C140" t="s">
        <v>165</v>
      </c>
      <c r="F140">
        <v>0</v>
      </c>
      <c r="G140" t="s">
        <v>181</v>
      </c>
    </row>
    <row r="141" spans="1:9">
      <c r="A141" s="2"/>
      <c r="B141" s="2"/>
      <c r="C141" t="s">
        <v>762</v>
      </c>
      <c r="D141">
        <v>1839</v>
      </c>
      <c r="E141" s="28" t="s">
        <v>801</v>
      </c>
      <c r="F141">
        <v>300</v>
      </c>
    </row>
    <row r="142" spans="1:9">
      <c r="A142" s="2"/>
      <c r="B142" s="2"/>
      <c r="E142" s="22"/>
    </row>
    <row r="143" spans="1:9">
      <c r="A143" s="2" t="s">
        <v>14</v>
      </c>
      <c r="B143" s="2">
        <f>SUM(F143:F154)</f>
        <v>800</v>
      </c>
      <c r="C143" t="s">
        <v>150</v>
      </c>
      <c r="E143" s="125"/>
      <c r="F143">
        <v>0</v>
      </c>
    </row>
    <row r="144" spans="1:9">
      <c r="A144" s="2"/>
      <c r="B144" s="2"/>
      <c r="C144" t="s">
        <v>151</v>
      </c>
      <c r="D144" s="247" t="s">
        <v>800</v>
      </c>
      <c r="E144" s="127">
        <v>41282</v>
      </c>
      <c r="F144">
        <v>100</v>
      </c>
      <c r="G144" t="s">
        <v>152</v>
      </c>
      <c r="I144" t="s">
        <v>174</v>
      </c>
    </row>
    <row r="145" spans="1:9">
      <c r="A145" s="2"/>
      <c r="B145" s="2"/>
      <c r="C145" t="s">
        <v>153</v>
      </c>
      <c r="D145" t="s">
        <v>799</v>
      </c>
      <c r="E145" s="127">
        <v>41282</v>
      </c>
      <c r="F145">
        <v>150</v>
      </c>
      <c r="G145" t="s">
        <v>153</v>
      </c>
      <c r="I145" t="s">
        <v>934</v>
      </c>
    </row>
    <row r="146" spans="1:9">
      <c r="A146" s="2"/>
      <c r="B146" s="2"/>
      <c r="C146" t="s">
        <v>154</v>
      </c>
      <c r="D146" t="s">
        <v>799</v>
      </c>
      <c r="E146" s="127">
        <v>41402</v>
      </c>
      <c r="F146">
        <v>50</v>
      </c>
      <c r="G146" t="s">
        <v>155</v>
      </c>
      <c r="I146" t="s">
        <v>935</v>
      </c>
    </row>
    <row r="147" spans="1:9">
      <c r="A147" s="2"/>
      <c r="B147" s="2"/>
      <c r="C147" t="s">
        <v>156</v>
      </c>
      <c r="E147" s="127"/>
      <c r="F147">
        <v>0</v>
      </c>
      <c r="G147" t="s">
        <v>157</v>
      </c>
      <c r="I147" t="s">
        <v>175</v>
      </c>
    </row>
    <row r="148" spans="1:9">
      <c r="A148" s="2"/>
      <c r="B148" s="2"/>
      <c r="C148" t="s">
        <v>158</v>
      </c>
      <c r="E148" s="22"/>
      <c r="F148">
        <v>0</v>
      </c>
      <c r="G148" t="s">
        <v>159</v>
      </c>
      <c r="I148" t="s">
        <v>176</v>
      </c>
    </row>
    <row r="149" spans="1:9">
      <c r="A149" s="2"/>
      <c r="B149" s="2"/>
      <c r="C149" t="s">
        <v>158</v>
      </c>
      <c r="E149" s="22"/>
      <c r="F149">
        <v>0</v>
      </c>
      <c r="G149" t="s">
        <v>160</v>
      </c>
    </row>
    <row r="150" spans="1:9">
      <c r="A150" s="2"/>
      <c r="B150" s="2"/>
      <c r="C150" t="s">
        <v>161</v>
      </c>
      <c r="E150" s="22"/>
      <c r="F150">
        <v>0</v>
      </c>
      <c r="G150" t="s">
        <v>162</v>
      </c>
      <c r="I150" t="s">
        <v>178</v>
      </c>
    </row>
    <row r="151" spans="1:9">
      <c r="C151" t="s">
        <v>359</v>
      </c>
      <c r="E151" s="125"/>
      <c r="F151">
        <v>0</v>
      </c>
    </row>
    <row r="152" spans="1:9">
      <c r="C152" t="s">
        <v>164</v>
      </c>
      <c r="E152" s="125"/>
      <c r="F152">
        <v>0</v>
      </c>
    </row>
    <row r="153" spans="1:9">
      <c r="C153" t="s">
        <v>165</v>
      </c>
      <c r="E153" s="125"/>
      <c r="F153">
        <v>0</v>
      </c>
      <c r="G153" t="s">
        <v>181</v>
      </c>
    </row>
    <row r="154" spans="1:9">
      <c r="C154" t="s">
        <v>762</v>
      </c>
      <c r="D154">
        <v>1854</v>
      </c>
      <c r="E154" s="247">
        <v>41283</v>
      </c>
      <c r="F154">
        <v>500</v>
      </c>
    </row>
    <row r="155" spans="1:9">
      <c r="E155" s="22"/>
    </row>
    <row r="156" spans="1:9">
      <c r="A156" s="2" t="s">
        <v>15</v>
      </c>
      <c r="B156" s="2">
        <f>SUM(F156:F167)</f>
        <v>1000</v>
      </c>
      <c r="C156" t="s">
        <v>150</v>
      </c>
      <c r="E156" s="29"/>
      <c r="F156">
        <v>0</v>
      </c>
    </row>
    <row r="157" spans="1:9">
      <c r="A157" s="2"/>
      <c r="B157" s="2"/>
      <c r="C157" t="s">
        <v>151</v>
      </c>
      <c r="D157" t="s">
        <v>800</v>
      </c>
      <c r="E157" s="247">
        <v>41283</v>
      </c>
      <c r="F157">
        <v>100</v>
      </c>
      <c r="G157" t="s">
        <v>152</v>
      </c>
      <c r="I157" t="s">
        <v>174</v>
      </c>
    </row>
    <row r="158" spans="1:9">
      <c r="A158" s="2"/>
      <c r="B158" s="2"/>
      <c r="C158" t="s">
        <v>153</v>
      </c>
      <c r="D158" t="s">
        <v>799</v>
      </c>
      <c r="E158" s="247">
        <v>41283</v>
      </c>
      <c r="F158">
        <v>150</v>
      </c>
      <c r="G158" t="s">
        <v>153</v>
      </c>
      <c r="I158" t="s">
        <v>934</v>
      </c>
    </row>
    <row r="159" spans="1:9">
      <c r="A159" s="2"/>
      <c r="B159" s="2"/>
      <c r="C159" t="s">
        <v>154</v>
      </c>
      <c r="D159" t="s">
        <v>799</v>
      </c>
      <c r="E159" s="247">
        <v>41403</v>
      </c>
      <c r="F159">
        <v>50</v>
      </c>
      <c r="G159" t="s">
        <v>155</v>
      </c>
      <c r="I159" t="s">
        <v>935</v>
      </c>
    </row>
    <row r="160" spans="1:9">
      <c r="A160" s="2"/>
      <c r="B160" s="2"/>
      <c r="C160" t="s">
        <v>156</v>
      </c>
      <c r="E160" s="22"/>
      <c r="F160">
        <v>0</v>
      </c>
      <c r="G160" t="s">
        <v>157</v>
      </c>
      <c r="I160" t="s">
        <v>175</v>
      </c>
    </row>
    <row r="161" spans="1:10">
      <c r="A161" s="2"/>
      <c r="B161" s="2"/>
      <c r="C161" t="s">
        <v>158</v>
      </c>
      <c r="E161" s="22"/>
      <c r="F161">
        <v>0</v>
      </c>
      <c r="G161" t="s">
        <v>159</v>
      </c>
      <c r="I161" t="s">
        <v>176</v>
      </c>
    </row>
    <row r="162" spans="1:10">
      <c r="A162" s="2"/>
      <c r="B162" s="2"/>
      <c r="C162" t="s">
        <v>158</v>
      </c>
      <c r="E162" s="22"/>
      <c r="F162">
        <v>0</v>
      </c>
      <c r="G162" t="s">
        <v>160</v>
      </c>
    </row>
    <row r="163" spans="1:10">
      <c r="A163" s="2"/>
      <c r="B163" s="2"/>
      <c r="C163" t="s">
        <v>161</v>
      </c>
      <c r="D163">
        <v>1856</v>
      </c>
      <c r="E163" s="22">
        <v>41283</v>
      </c>
      <c r="F163">
        <v>200</v>
      </c>
      <c r="G163" t="s">
        <v>162</v>
      </c>
      <c r="I163" t="s">
        <v>178</v>
      </c>
    </row>
    <row r="164" spans="1:10">
      <c r="A164" s="2"/>
      <c r="B164" s="2"/>
      <c r="C164" t="s">
        <v>163</v>
      </c>
      <c r="E164" s="22"/>
      <c r="F164">
        <v>0</v>
      </c>
    </row>
    <row r="165" spans="1:10">
      <c r="A165" s="2"/>
      <c r="B165" s="2"/>
      <c r="C165" t="s">
        <v>164</v>
      </c>
      <c r="E165" s="22"/>
      <c r="F165">
        <v>0</v>
      </c>
      <c r="J165" t="s">
        <v>184</v>
      </c>
    </row>
    <row r="166" spans="1:10">
      <c r="A166" s="2"/>
      <c r="B166" s="2"/>
      <c r="C166" t="s">
        <v>165</v>
      </c>
      <c r="F166">
        <v>0</v>
      </c>
      <c r="G166" t="s">
        <v>181</v>
      </c>
    </row>
    <row r="167" spans="1:10">
      <c r="C167" t="s">
        <v>762</v>
      </c>
      <c r="D167" s="22">
        <v>1865</v>
      </c>
      <c r="E167" s="247" t="s">
        <v>863</v>
      </c>
      <c r="F167">
        <v>500</v>
      </c>
    </row>
    <row r="168" spans="1:10">
      <c r="A168" s="2"/>
      <c r="B168" s="2"/>
    </row>
    <row r="169" spans="1:10">
      <c r="A169" s="2" t="s">
        <v>16</v>
      </c>
      <c r="B169" s="2">
        <f>SUM(F169:F181)</f>
        <v>1180</v>
      </c>
      <c r="C169" t="s">
        <v>150</v>
      </c>
      <c r="E169" s="29"/>
      <c r="F169">
        <v>0</v>
      </c>
    </row>
    <row r="170" spans="1:10">
      <c r="A170" s="2"/>
      <c r="B170" s="2"/>
      <c r="C170" t="s">
        <v>151</v>
      </c>
      <c r="D170" t="s">
        <v>530</v>
      </c>
      <c r="E170" s="247">
        <v>41284</v>
      </c>
      <c r="F170">
        <v>100</v>
      </c>
      <c r="G170" t="s">
        <v>152</v>
      </c>
      <c r="I170" t="s">
        <v>174</v>
      </c>
    </row>
    <row r="171" spans="1:10">
      <c r="A171" s="2"/>
      <c r="B171" s="2"/>
      <c r="C171" t="s">
        <v>153</v>
      </c>
      <c r="D171" t="s">
        <v>529</v>
      </c>
      <c r="E171" s="247">
        <v>41284</v>
      </c>
      <c r="F171">
        <v>150</v>
      </c>
      <c r="G171" t="s">
        <v>153</v>
      </c>
      <c r="I171" t="s">
        <v>934</v>
      </c>
    </row>
    <row r="172" spans="1:10">
      <c r="A172" s="2"/>
      <c r="B172" s="2"/>
      <c r="C172" t="s">
        <v>154</v>
      </c>
      <c r="D172" t="s">
        <v>529</v>
      </c>
      <c r="E172" s="247">
        <v>41404</v>
      </c>
      <c r="F172">
        <v>50</v>
      </c>
      <c r="G172" t="s">
        <v>155</v>
      </c>
      <c r="I172" t="s">
        <v>935</v>
      </c>
    </row>
    <row r="173" spans="1:10">
      <c r="A173" s="2"/>
      <c r="B173" s="2"/>
      <c r="C173" t="s">
        <v>154</v>
      </c>
      <c r="D173">
        <v>1868</v>
      </c>
      <c r="E173" s="247">
        <v>41284</v>
      </c>
      <c r="F173">
        <v>100</v>
      </c>
      <c r="G173" t="s">
        <v>864</v>
      </c>
      <c r="I173" t="s">
        <v>865</v>
      </c>
    </row>
    <row r="174" spans="1:10">
      <c r="A174" s="2"/>
      <c r="B174" s="2"/>
      <c r="C174" t="s">
        <v>156</v>
      </c>
      <c r="E174" s="22"/>
      <c r="F174">
        <v>0</v>
      </c>
      <c r="G174" t="s">
        <v>157</v>
      </c>
      <c r="I174" t="s">
        <v>175</v>
      </c>
    </row>
    <row r="175" spans="1:10">
      <c r="A175" s="2"/>
      <c r="B175" s="2"/>
      <c r="C175" t="s">
        <v>158</v>
      </c>
      <c r="D175">
        <v>1867</v>
      </c>
      <c r="E175" s="22">
        <v>41404</v>
      </c>
      <c r="F175">
        <v>250</v>
      </c>
      <c r="G175" t="s">
        <v>159</v>
      </c>
      <c r="I175" t="s">
        <v>176</v>
      </c>
    </row>
    <row r="176" spans="1:10">
      <c r="A176" s="2"/>
      <c r="B176" s="2"/>
      <c r="C176" t="s">
        <v>158</v>
      </c>
      <c r="D176">
        <v>1867</v>
      </c>
      <c r="E176" s="22">
        <v>41404</v>
      </c>
      <c r="F176">
        <v>30</v>
      </c>
      <c r="G176" t="s">
        <v>160</v>
      </c>
    </row>
    <row r="177" spans="1:10">
      <c r="A177" s="2"/>
      <c r="B177" s="2"/>
      <c r="C177" t="s">
        <v>161</v>
      </c>
      <c r="E177" s="22"/>
      <c r="F177">
        <v>0</v>
      </c>
      <c r="G177" t="s">
        <v>162</v>
      </c>
      <c r="I177" t="s">
        <v>178</v>
      </c>
    </row>
    <row r="178" spans="1:10">
      <c r="A178" s="2"/>
      <c r="B178" s="2"/>
      <c r="C178" t="s">
        <v>163</v>
      </c>
      <c r="E178" s="22"/>
      <c r="F178">
        <v>0</v>
      </c>
    </row>
    <row r="179" spans="1:10">
      <c r="A179" s="2"/>
      <c r="B179" s="2"/>
      <c r="C179" t="s">
        <v>164</v>
      </c>
      <c r="E179" s="22"/>
      <c r="F179">
        <v>0</v>
      </c>
    </row>
    <row r="180" spans="1:10">
      <c r="C180" t="s">
        <v>165</v>
      </c>
      <c r="F180">
        <v>0</v>
      </c>
      <c r="G180" t="s">
        <v>185</v>
      </c>
    </row>
    <row r="181" spans="1:10">
      <c r="A181" s="2"/>
      <c r="B181" s="2"/>
      <c r="C181" t="s">
        <v>762</v>
      </c>
      <c r="D181">
        <v>1870</v>
      </c>
      <c r="E181" t="s">
        <v>868</v>
      </c>
      <c r="F181">
        <v>500</v>
      </c>
    </row>
    <row r="182" spans="1:10">
      <c r="A182" s="2"/>
      <c r="B182" s="2"/>
      <c r="E182" s="22"/>
      <c r="J182" t="s">
        <v>177</v>
      </c>
    </row>
    <row r="183" spans="1:10">
      <c r="A183" s="2" t="s">
        <v>17</v>
      </c>
      <c r="B183" s="2">
        <f>SUM(F183:F196)</f>
        <v>2550</v>
      </c>
      <c r="C183" t="s">
        <v>150</v>
      </c>
      <c r="E183" s="29"/>
      <c r="F183">
        <v>0</v>
      </c>
    </row>
    <row r="184" spans="1:10">
      <c r="A184" s="2"/>
      <c r="B184" s="2"/>
      <c r="C184" t="s">
        <v>151</v>
      </c>
      <c r="D184" t="s">
        <v>800</v>
      </c>
      <c r="E184" s="247">
        <v>41285</v>
      </c>
      <c r="F184">
        <v>100</v>
      </c>
      <c r="G184" t="s">
        <v>152</v>
      </c>
      <c r="I184" t="s">
        <v>174</v>
      </c>
    </row>
    <row r="185" spans="1:10">
      <c r="A185" s="2"/>
      <c r="B185" s="2"/>
      <c r="C185" t="s">
        <v>153</v>
      </c>
      <c r="D185" t="s">
        <v>799</v>
      </c>
      <c r="E185" s="247">
        <v>41285</v>
      </c>
      <c r="F185">
        <v>150</v>
      </c>
      <c r="G185" t="s">
        <v>153</v>
      </c>
      <c r="I185" t="s">
        <v>934</v>
      </c>
    </row>
    <row r="186" spans="1:10">
      <c r="A186" s="2"/>
      <c r="B186" s="2"/>
      <c r="C186" t="s">
        <v>154</v>
      </c>
      <c r="D186" t="s">
        <v>799</v>
      </c>
      <c r="E186" s="247">
        <v>41405</v>
      </c>
      <c r="F186">
        <v>50</v>
      </c>
      <c r="G186" t="s">
        <v>155</v>
      </c>
      <c r="I186" t="s">
        <v>935</v>
      </c>
    </row>
    <row r="187" spans="1:10">
      <c r="A187" s="2"/>
      <c r="B187" s="2"/>
      <c r="C187" t="s">
        <v>154</v>
      </c>
      <c r="D187" t="s">
        <v>799</v>
      </c>
      <c r="E187" s="247">
        <v>41405</v>
      </c>
      <c r="F187">
        <v>100</v>
      </c>
      <c r="G187" t="s">
        <v>864</v>
      </c>
      <c r="I187" t="s">
        <v>865</v>
      </c>
    </row>
    <row r="188" spans="1:10">
      <c r="A188" s="2"/>
      <c r="B188" s="2"/>
      <c r="C188" t="s">
        <v>156</v>
      </c>
      <c r="E188" s="22"/>
      <c r="F188">
        <v>0</v>
      </c>
      <c r="G188" t="s">
        <v>157</v>
      </c>
      <c r="I188" t="s">
        <v>175</v>
      </c>
    </row>
    <row r="189" spans="1:10">
      <c r="A189" s="2"/>
      <c r="B189" s="2"/>
      <c r="C189" t="s">
        <v>158</v>
      </c>
      <c r="E189" s="22"/>
      <c r="F189">
        <v>0</v>
      </c>
      <c r="G189" t="s">
        <v>159</v>
      </c>
      <c r="I189" t="s">
        <v>176</v>
      </c>
    </row>
    <row r="190" spans="1:10">
      <c r="A190" s="2"/>
      <c r="B190" s="2"/>
      <c r="C190" t="s">
        <v>158</v>
      </c>
      <c r="E190" s="22"/>
      <c r="F190">
        <v>0</v>
      </c>
      <c r="G190" t="s">
        <v>160</v>
      </c>
    </row>
    <row r="191" spans="1:10">
      <c r="C191" t="s">
        <v>161</v>
      </c>
      <c r="E191" s="22"/>
      <c r="F191">
        <v>0</v>
      </c>
      <c r="G191" t="s">
        <v>162</v>
      </c>
      <c r="I191" t="s">
        <v>178</v>
      </c>
    </row>
    <row r="192" spans="1:10">
      <c r="C192" t="s">
        <v>163</v>
      </c>
      <c r="E192" s="22"/>
      <c r="F192">
        <v>0</v>
      </c>
    </row>
    <row r="193" spans="1:9">
      <c r="C193" t="s">
        <v>164</v>
      </c>
      <c r="E193" s="22"/>
      <c r="F193">
        <v>0</v>
      </c>
    </row>
    <row r="194" spans="1:9">
      <c r="C194" t="s">
        <v>165</v>
      </c>
      <c r="D194">
        <v>1879</v>
      </c>
      <c r="E194" t="s">
        <v>949</v>
      </c>
      <c r="F194">
        <v>150</v>
      </c>
      <c r="G194" t="s">
        <v>185</v>
      </c>
    </row>
    <row r="195" spans="1:9">
      <c r="C195" t="s">
        <v>762</v>
      </c>
      <c r="D195">
        <v>1873</v>
      </c>
      <c r="E195" t="s">
        <v>936</v>
      </c>
      <c r="F195">
        <v>500</v>
      </c>
    </row>
    <row r="196" spans="1:9">
      <c r="C196" t="s">
        <v>951</v>
      </c>
      <c r="D196">
        <v>1880</v>
      </c>
      <c r="E196" t="s">
        <v>952</v>
      </c>
      <c r="F196">
        <v>1500</v>
      </c>
      <c r="G196" t="s">
        <v>975</v>
      </c>
    </row>
    <row r="199" spans="1:9">
      <c r="E199" s="22"/>
    </row>
    <row r="200" spans="1:9">
      <c r="A200" s="2" t="s">
        <v>18</v>
      </c>
      <c r="B200" s="2">
        <f>SUM(F200:F215)</f>
        <v>3378.24</v>
      </c>
      <c r="C200" t="s">
        <v>150</v>
      </c>
      <c r="E200" s="29"/>
      <c r="F200">
        <v>0</v>
      </c>
    </row>
    <row r="201" spans="1:9">
      <c r="C201" t="s">
        <v>151</v>
      </c>
      <c r="D201" t="s">
        <v>530</v>
      </c>
      <c r="F201">
        <v>100</v>
      </c>
      <c r="G201" t="s">
        <v>152</v>
      </c>
      <c r="I201" t="s">
        <v>174</v>
      </c>
    </row>
    <row r="202" spans="1:9">
      <c r="C202" t="s">
        <v>153</v>
      </c>
      <c r="D202" t="s">
        <v>529</v>
      </c>
      <c r="E202" s="247">
        <v>41286</v>
      </c>
      <c r="F202">
        <v>150</v>
      </c>
      <c r="G202" t="s">
        <v>153</v>
      </c>
      <c r="I202" t="s">
        <v>934</v>
      </c>
    </row>
    <row r="203" spans="1:9">
      <c r="C203" t="s">
        <v>154</v>
      </c>
      <c r="D203" t="s">
        <v>529</v>
      </c>
      <c r="E203" s="247">
        <v>41467</v>
      </c>
      <c r="F203">
        <v>50</v>
      </c>
      <c r="G203" t="s">
        <v>155</v>
      </c>
      <c r="I203" t="s">
        <v>935</v>
      </c>
    </row>
    <row r="204" spans="1:9">
      <c r="C204" t="s">
        <v>154</v>
      </c>
      <c r="D204" t="s">
        <v>529</v>
      </c>
      <c r="E204" s="247">
        <v>41467</v>
      </c>
      <c r="F204">
        <v>100</v>
      </c>
      <c r="G204" t="s">
        <v>864</v>
      </c>
      <c r="I204" t="s">
        <v>865</v>
      </c>
    </row>
    <row r="205" spans="1:9">
      <c r="C205" t="s">
        <v>156</v>
      </c>
      <c r="E205" s="22"/>
      <c r="F205">
        <v>0</v>
      </c>
      <c r="G205" t="s">
        <v>157</v>
      </c>
      <c r="I205" t="s">
        <v>175</v>
      </c>
    </row>
    <row r="206" spans="1:9">
      <c r="C206" t="s">
        <v>158</v>
      </c>
      <c r="E206" s="22"/>
      <c r="F206">
        <v>0</v>
      </c>
      <c r="G206" t="s">
        <v>159</v>
      </c>
      <c r="I206" t="s">
        <v>176</v>
      </c>
    </row>
    <row r="207" spans="1:9">
      <c r="C207" t="s">
        <v>158</v>
      </c>
      <c r="E207" s="22"/>
      <c r="F207">
        <v>0</v>
      </c>
      <c r="G207" t="s">
        <v>160</v>
      </c>
    </row>
    <row r="208" spans="1:9">
      <c r="C208" t="s">
        <v>161</v>
      </c>
      <c r="D208">
        <v>1876</v>
      </c>
      <c r="E208" s="22">
        <v>41286</v>
      </c>
      <c r="F208">
        <v>200</v>
      </c>
      <c r="G208" t="s">
        <v>162</v>
      </c>
      <c r="I208" t="s">
        <v>178</v>
      </c>
    </row>
    <row r="209" spans="3:10">
      <c r="C209" t="s">
        <v>163</v>
      </c>
      <c r="E209" s="22"/>
      <c r="F209">
        <v>0</v>
      </c>
      <c r="J209" t="s">
        <v>184</v>
      </c>
    </row>
    <row r="210" spans="3:10">
      <c r="C210" t="s">
        <v>164</v>
      </c>
      <c r="D210">
        <v>1883</v>
      </c>
      <c r="E210" s="247" t="s">
        <v>990</v>
      </c>
      <c r="F210">
        <v>400</v>
      </c>
      <c r="G210" t="s">
        <v>965</v>
      </c>
    </row>
    <row r="211" spans="3:10">
      <c r="C211" t="s">
        <v>165</v>
      </c>
      <c r="D211">
        <v>1884</v>
      </c>
      <c r="E211" t="s">
        <v>990</v>
      </c>
      <c r="F211">
        <v>300</v>
      </c>
      <c r="G211" t="s">
        <v>181</v>
      </c>
    </row>
    <row r="212" spans="3:10">
      <c r="C212" t="s">
        <v>956</v>
      </c>
      <c r="D212" t="s">
        <v>530</v>
      </c>
      <c r="E212" s="247">
        <v>41406</v>
      </c>
      <c r="F212">
        <v>50</v>
      </c>
      <c r="G212" t="s">
        <v>957</v>
      </c>
    </row>
    <row r="213" spans="3:10">
      <c r="C213" t="s">
        <v>963</v>
      </c>
      <c r="D213" t="s">
        <v>530</v>
      </c>
      <c r="E213" t="s">
        <v>952</v>
      </c>
      <c r="F213">
        <v>28.24</v>
      </c>
      <c r="G213" t="s">
        <v>964</v>
      </c>
    </row>
    <row r="214" spans="3:10">
      <c r="C214" t="s">
        <v>956</v>
      </c>
      <c r="D214" t="s">
        <v>530</v>
      </c>
      <c r="E214" t="s">
        <v>954</v>
      </c>
      <c r="F214">
        <v>1000</v>
      </c>
      <c r="G214" t="s">
        <v>955</v>
      </c>
    </row>
    <row r="215" spans="3:10">
      <c r="C215" t="s">
        <v>762</v>
      </c>
      <c r="D215">
        <v>1875</v>
      </c>
      <c r="E215" s="247">
        <v>41286</v>
      </c>
      <c r="F215">
        <v>1000</v>
      </c>
    </row>
    <row r="216" spans="3:10">
      <c r="E216" s="22"/>
      <c r="F216" s="30">
        <f>SUM(F53:F215)</f>
        <v>13528.24</v>
      </c>
    </row>
  </sheetData>
  <sheetProtection selectLockedCells="1" selectUnlockedCells="1"/>
  <pageMargins left="0.74803149606299213" right="0.74803149606299213" top="0.98425196850393704" bottom="0.98425196850393704" header="0.51181102362204722" footer="0.51181102362204722"/>
  <pageSetup firstPageNumber="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65532"/>
  <sheetViews>
    <sheetView topLeftCell="AB1" zoomScaleNormal="100" workbookViewId="0">
      <pane ySplit="315" topLeftCell="A97" activePane="bottomLeft"/>
      <selection activeCell="BC1" sqref="BC1:BD1048576"/>
      <selection pane="bottomLeft" activeCell="AV106" sqref="AV106"/>
    </sheetView>
  </sheetViews>
  <sheetFormatPr defaultRowHeight="12.75"/>
  <cols>
    <col min="3" max="3" width="3.5703125" customWidth="1"/>
    <col min="5" max="5" width="3.5703125" customWidth="1"/>
    <col min="7" max="7" width="3.42578125" customWidth="1"/>
    <col min="9" max="9" width="2.42578125" customWidth="1"/>
    <col min="10" max="10" width="10.5703125" customWidth="1"/>
    <col min="11" max="11" width="2.7109375" customWidth="1"/>
    <col min="12" max="12" width="10.5703125" customWidth="1"/>
    <col min="13" max="13" width="3.28515625" customWidth="1"/>
    <col min="14" max="14" width="10" customWidth="1"/>
    <col min="15" max="15" width="2.140625" customWidth="1"/>
    <col min="16" max="16" width="10" customWidth="1"/>
    <col min="17" max="17" width="3.140625" customWidth="1"/>
    <col min="18" max="18" width="9.85546875" customWidth="1"/>
    <col min="19" max="19" width="3.140625" customWidth="1"/>
    <col min="20" max="21" width="12.140625" customWidth="1"/>
    <col min="22" max="22" width="13" customWidth="1"/>
    <col min="23" max="23" width="12.7109375" customWidth="1"/>
    <col min="29" max="30" width="9" style="31" customWidth="1"/>
    <col min="31" max="31" width="1.7109375" style="31" customWidth="1"/>
    <col min="32" max="32" width="9" style="31" customWidth="1"/>
    <col min="33" max="33" width="1.7109375" style="31" customWidth="1"/>
    <col min="34" max="34" width="9.140625" style="31"/>
    <col min="35" max="35" width="3" style="31" customWidth="1"/>
    <col min="36" max="36" width="9" style="31" customWidth="1"/>
    <col min="37" max="37" width="3" style="31" customWidth="1"/>
    <col min="38" max="38" width="10.28515625" style="31" customWidth="1"/>
    <col min="39" max="39" width="2.85546875" style="31" customWidth="1"/>
    <col min="40" max="40" width="10.28515625" style="31" customWidth="1"/>
    <col min="41" max="41" width="3" style="31" customWidth="1"/>
    <col min="42" max="42" width="9.28515625" style="31" customWidth="1"/>
    <col min="43" max="43" width="3.7109375" style="31" customWidth="1"/>
    <col min="44" max="44" width="8" style="31" customWidth="1"/>
    <col min="45" max="45" width="2.85546875" style="31" customWidth="1"/>
    <col min="46" max="46" width="9.42578125" style="31" customWidth="1"/>
    <col min="47" max="47" width="2.7109375" style="31" customWidth="1"/>
    <col min="48" max="48" width="7.42578125" style="31" customWidth="1"/>
    <col min="49" max="49" width="4" style="31" customWidth="1"/>
    <col min="50" max="50" width="7.5703125" style="31" customWidth="1"/>
    <col min="51" max="51" width="4.140625" style="31" customWidth="1"/>
    <col min="52" max="52" width="10.5703125" style="31" customWidth="1"/>
    <col min="53" max="53" width="1.85546875" style="31" customWidth="1"/>
    <col min="54" max="54" width="10.140625" style="31" customWidth="1"/>
    <col min="55" max="55" width="4" style="31" customWidth="1"/>
    <col min="56" max="56" width="9.85546875" style="31" customWidth="1"/>
    <col min="57" max="57" width="3.7109375" style="31" customWidth="1"/>
    <col min="58" max="58" width="10.140625" style="31" customWidth="1"/>
    <col min="59" max="59" width="3" style="31" customWidth="1"/>
    <col min="60" max="60" width="1.85546875" style="31" customWidth="1"/>
    <col min="61" max="69" width="9" style="31" customWidth="1"/>
  </cols>
  <sheetData>
    <row r="1" spans="1:87" ht="15.75">
      <c r="A1" s="32" t="s">
        <v>186</v>
      </c>
      <c r="AC1" s="33" t="s">
        <v>187</v>
      </c>
      <c r="AH1" s="34" t="s">
        <v>919</v>
      </c>
    </row>
    <row r="2" spans="1:87">
      <c r="A2" s="4"/>
      <c r="B2" s="35" t="s">
        <v>476</v>
      </c>
      <c r="AC2" s="31" t="s">
        <v>188</v>
      </c>
      <c r="AV2" s="31" t="s">
        <v>189</v>
      </c>
      <c r="AX2" s="36"/>
      <c r="AY2" s="36"/>
    </row>
    <row r="3" spans="1:87">
      <c r="AC3" s="31" t="s">
        <v>921</v>
      </c>
      <c r="BI3" s="37"/>
    </row>
    <row r="4" spans="1:87">
      <c r="A4" t="s">
        <v>191</v>
      </c>
      <c r="AC4" s="31" t="s">
        <v>190</v>
      </c>
      <c r="AL4" s="31" t="s">
        <v>922</v>
      </c>
    </row>
    <row r="5" spans="1:87">
      <c r="A5" t="s">
        <v>193</v>
      </c>
      <c r="H5" s="35" t="s">
        <v>475</v>
      </c>
      <c r="AC5" s="31" t="s">
        <v>192</v>
      </c>
    </row>
    <row r="6" spans="1:87">
      <c r="A6" t="s">
        <v>194</v>
      </c>
      <c r="H6" t="s">
        <v>195</v>
      </c>
      <c r="AC6" s="31" t="s">
        <v>198</v>
      </c>
    </row>
    <row r="7" spans="1:87">
      <c r="A7" t="s">
        <v>197</v>
      </c>
      <c r="H7" s="126" t="s">
        <v>360</v>
      </c>
      <c r="AC7" s="31" t="s">
        <v>196</v>
      </c>
    </row>
    <row r="8" spans="1:87">
      <c r="A8" t="s">
        <v>198</v>
      </c>
      <c r="AC8" s="31" t="s">
        <v>577</v>
      </c>
    </row>
    <row r="9" spans="1:87">
      <c r="A9" t="s">
        <v>200</v>
      </c>
      <c r="AC9" s="38" t="s">
        <v>199</v>
      </c>
    </row>
    <row r="10" spans="1:87" s="5" customFormat="1">
      <c r="A10" s="217" t="s">
        <v>506</v>
      </c>
      <c r="B10"/>
      <c r="C10"/>
      <c r="D10"/>
      <c r="E10"/>
      <c r="F10"/>
      <c r="G10"/>
      <c r="H10"/>
      <c r="I10"/>
      <c r="J10" s="39"/>
      <c r="K10"/>
      <c r="L10"/>
      <c r="M10"/>
      <c r="N10"/>
      <c r="O10"/>
      <c r="P10"/>
      <c r="Q10"/>
      <c r="R10"/>
      <c r="S10"/>
      <c r="T10"/>
      <c r="U10"/>
      <c r="V10"/>
      <c r="W10"/>
      <c r="X10"/>
      <c r="Y10"/>
      <c r="Z10"/>
      <c r="AC10" s="38"/>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7" t="s">
        <v>201</v>
      </c>
      <c r="BJ10" s="31"/>
      <c r="BK10" s="36"/>
      <c r="BL10" s="31"/>
      <c r="BM10" s="31"/>
      <c r="BN10" s="31"/>
      <c r="BO10" s="31"/>
      <c r="BP10" s="31"/>
      <c r="BQ10" s="31"/>
      <c r="BR10"/>
      <c r="BS10"/>
      <c r="BT10"/>
      <c r="BU10"/>
      <c r="BV10"/>
      <c r="BW10"/>
      <c r="BX10"/>
      <c r="BY10"/>
      <c r="BZ10"/>
      <c r="CA10"/>
      <c r="CB10"/>
      <c r="CC10"/>
      <c r="CD10"/>
      <c r="CE10"/>
      <c r="CF10"/>
      <c r="CG10"/>
      <c r="CH10"/>
      <c r="CI10"/>
    </row>
    <row r="11" spans="1:87">
      <c r="T11" t="s">
        <v>202</v>
      </c>
      <c r="BI11" s="37" t="s">
        <v>203</v>
      </c>
      <c r="BK11" s="36" t="s">
        <v>204</v>
      </c>
    </row>
    <row r="12" spans="1:87">
      <c r="A12" s="203" t="s">
        <v>205</v>
      </c>
      <c r="B12" s="203">
        <v>2005</v>
      </c>
      <c r="C12" s="203"/>
      <c r="D12" s="203">
        <v>2006</v>
      </c>
      <c r="E12" s="203"/>
      <c r="F12" s="203">
        <v>2007</v>
      </c>
      <c r="G12" s="203"/>
      <c r="H12" s="203">
        <v>2008</v>
      </c>
      <c r="I12" s="203"/>
      <c r="J12" s="203">
        <v>2009</v>
      </c>
      <c r="K12" s="203" t="s">
        <v>206</v>
      </c>
      <c r="L12" s="203">
        <v>2010</v>
      </c>
      <c r="M12" s="203"/>
      <c r="N12" s="203">
        <v>2011</v>
      </c>
      <c r="O12" s="204"/>
      <c r="P12" s="203">
        <v>2012</v>
      </c>
      <c r="Q12" s="203"/>
      <c r="R12" s="203">
        <v>2013</v>
      </c>
      <c r="S12" s="245" t="s">
        <v>206</v>
      </c>
      <c r="T12" s="203" t="s">
        <v>207</v>
      </c>
      <c r="U12" s="203" t="s">
        <v>208</v>
      </c>
      <c r="V12" s="203" t="s">
        <v>209</v>
      </c>
      <c r="AC12" s="40"/>
      <c r="AD12" s="41">
        <v>2005</v>
      </c>
      <c r="AE12" s="42"/>
      <c r="AF12" s="42">
        <v>2006</v>
      </c>
      <c r="AG12" s="42"/>
      <c r="AH12" s="42">
        <v>2007</v>
      </c>
      <c r="AI12" s="42"/>
      <c r="AJ12" s="42">
        <v>2008</v>
      </c>
      <c r="AK12" s="42"/>
      <c r="AL12" s="42">
        <v>2009</v>
      </c>
      <c r="AM12" s="42"/>
      <c r="AN12" s="42">
        <v>2010</v>
      </c>
      <c r="AO12" s="43"/>
      <c r="AP12" s="41"/>
      <c r="AQ12" s="42"/>
      <c r="AR12" s="44">
        <v>2011</v>
      </c>
      <c r="AS12" s="42" t="s">
        <v>268</v>
      </c>
      <c r="AT12" s="42"/>
      <c r="AU12" s="43"/>
      <c r="AV12" s="41"/>
      <c r="AW12" s="42"/>
      <c r="AX12" s="44">
        <v>2012</v>
      </c>
      <c r="AY12" s="42"/>
      <c r="AZ12" s="45" t="s">
        <v>890</v>
      </c>
      <c r="BA12" s="43"/>
      <c r="BB12" s="41"/>
      <c r="BC12" s="42"/>
      <c r="BD12" s="205">
        <v>2013</v>
      </c>
      <c r="BE12" s="48"/>
      <c r="BF12" s="45" t="s">
        <v>920</v>
      </c>
      <c r="BG12" s="43"/>
      <c r="BH12" s="46"/>
      <c r="BI12" s="37"/>
      <c r="BK12" s="36"/>
    </row>
    <row r="13" spans="1:87">
      <c r="A13" t="s">
        <v>210</v>
      </c>
      <c r="B13">
        <v>167.72</v>
      </c>
      <c r="D13">
        <v>102.62</v>
      </c>
      <c r="F13">
        <v>97.68</v>
      </c>
      <c r="H13">
        <v>91.56</v>
      </c>
      <c r="I13" t="s">
        <v>211</v>
      </c>
      <c r="J13">
        <v>104.87</v>
      </c>
      <c r="K13" t="s">
        <v>212</v>
      </c>
      <c r="L13">
        <v>48.23</v>
      </c>
      <c r="M13" t="s">
        <v>211</v>
      </c>
      <c r="N13">
        <v>99.75</v>
      </c>
      <c r="P13">
        <v>84.51</v>
      </c>
      <c r="R13">
        <v>111.5</v>
      </c>
      <c r="S13" t="s">
        <v>507</v>
      </c>
      <c r="T13">
        <f>(674+616+657+253+556+471+669)/7</f>
        <v>556.57142857142856</v>
      </c>
      <c r="U13">
        <v>674</v>
      </c>
      <c r="V13">
        <v>471</v>
      </c>
      <c r="AC13" s="40"/>
      <c r="AD13" s="47"/>
      <c r="AE13" s="48"/>
      <c r="AF13" s="48"/>
      <c r="AG13" s="48"/>
      <c r="AH13" s="48"/>
      <c r="AI13" s="48"/>
      <c r="AJ13" s="49" t="s">
        <v>213</v>
      </c>
      <c r="AK13" s="48"/>
      <c r="AL13" s="48"/>
      <c r="AM13" s="48"/>
      <c r="AN13" s="48"/>
      <c r="AO13" s="50"/>
      <c r="AP13" s="51" t="s">
        <v>214</v>
      </c>
      <c r="AQ13" s="52"/>
      <c r="AR13" s="51" t="s">
        <v>215</v>
      </c>
      <c r="AS13" s="52"/>
      <c r="AT13" s="51" t="s">
        <v>216</v>
      </c>
      <c r="AU13" s="53"/>
      <c r="AV13" s="51" t="s">
        <v>214</v>
      </c>
      <c r="AW13" s="50"/>
      <c r="AX13" s="51" t="s">
        <v>215</v>
      </c>
      <c r="AY13" s="52"/>
      <c r="AZ13" s="51" t="s">
        <v>216</v>
      </c>
      <c r="BA13" s="50"/>
      <c r="BB13" s="51" t="s">
        <v>214</v>
      </c>
      <c r="BC13" s="48"/>
      <c r="BD13" s="206" t="s">
        <v>215</v>
      </c>
      <c r="BE13" s="207"/>
      <c r="BF13" s="49" t="s">
        <v>216</v>
      </c>
      <c r="BG13" s="50"/>
      <c r="BH13" s="46"/>
      <c r="BI13" s="37"/>
      <c r="BK13" s="36"/>
    </row>
    <row r="14" spans="1:87">
      <c r="A14" t="s">
        <v>217</v>
      </c>
      <c r="B14">
        <v>143.57</v>
      </c>
      <c r="D14">
        <v>88.5</v>
      </c>
      <c r="F14">
        <v>93.15</v>
      </c>
      <c r="H14">
        <v>124.37</v>
      </c>
      <c r="J14">
        <v>205.96</v>
      </c>
      <c r="K14" t="s">
        <v>212</v>
      </c>
      <c r="L14">
        <v>121.21</v>
      </c>
      <c r="N14">
        <v>136.62</v>
      </c>
      <c r="O14" t="s">
        <v>267</v>
      </c>
      <c r="P14">
        <v>146.86000000000001</v>
      </c>
      <c r="Q14" t="s">
        <v>212</v>
      </c>
      <c r="R14">
        <v>128.13</v>
      </c>
      <c r="S14" t="s">
        <v>507</v>
      </c>
      <c r="T14">
        <f>(633+843+(584+730)+(392+343)+(421+371)+(501+383)+(400+352))/7</f>
        <v>850.42857142857144</v>
      </c>
      <c r="U14">
        <v>1314</v>
      </c>
      <c r="V14">
        <v>633</v>
      </c>
      <c r="AC14" s="54"/>
      <c r="AD14" s="55"/>
      <c r="AE14" s="56"/>
      <c r="AF14" s="56"/>
      <c r="AG14" s="56"/>
      <c r="AH14" s="56"/>
      <c r="AI14" s="56"/>
      <c r="AJ14" s="56"/>
      <c r="AK14" s="56"/>
      <c r="AL14" s="56"/>
      <c r="AM14" s="56"/>
      <c r="AN14" s="56"/>
      <c r="AO14" s="57"/>
      <c r="AP14" s="55"/>
      <c r="AQ14" s="58"/>
      <c r="AR14" s="59" t="s">
        <v>218</v>
      </c>
      <c r="AS14" s="60"/>
      <c r="AT14" s="55"/>
      <c r="AU14" s="57"/>
      <c r="AV14" s="61" t="s">
        <v>219</v>
      </c>
      <c r="AW14" s="62" t="s">
        <v>220</v>
      </c>
      <c r="AX14" s="249" t="s">
        <v>589</v>
      </c>
      <c r="AY14" s="60"/>
      <c r="AZ14" s="55"/>
      <c r="BA14" s="57"/>
      <c r="BB14" s="211"/>
      <c r="BC14" s="101" t="s">
        <v>220</v>
      </c>
      <c r="BD14" s="208" t="s">
        <v>590</v>
      </c>
      <c r="BE14" s="209"/>
      <c r="BF14" s="56"/>
      <c r="BG14" s="57"/>
      <c r="BH14" s="46"/>
      <c r="BI14" s="36" t="s">
        <v>221</v>
      </c>
      <c r="BK14" s="31" t="s">
        <v>222</v>
      </c>
      <c r="BL14" s="31" t="s">
        <v>223</v>
      </c>
      <c r="BM14" s="31" t="s">
        <v>221</v>
      </c>
    </row>
    <row r="15" spans="1:87">
      <c r="A15" t="s">
        <v>224</v>
      </c>
      <c r="B15">
        <v>0</v>
      </c>
      <c r="D15">
        <v>79.930000000000007</v>
      </c>
      <c r="F15">
        <v>73.63</v>
      </c>
      <c r="H15">
        <v>101.93</v>
      </c>
      <c r="J15">
        <v>133.68</v>
      </c>
      <c r="K15" t="s">
        <v>212</v>
      </c>
      <c r="L15">
        <v>107.63</v>
      </c>
      <c r="N15">
        <v>116.84</v>
      </c>
      <c r="O15" t="s">
        <v>267</v>
      </c>
      <c r="P15">
        <v>125.86</v>
      </c>
      <c r="Q15" t="s">
        <v>212</v>
      </c>
      <c r="R15">
        <v>112.71</v>
      </c>
      <c r="S15" t="s">
        <v>507</v>
      </c>
      <c r="T15">
        <f>(488+679+815+646+670+759+626)/7</f>
        <v>669</v>
      </c>
      <c r="U15">
        <v>815</v>
      </c>
      <c r="V15">
        <v>488</v>
      </c>
      <c r="AC15" s="63" t="s">
        <v>210</v>
      </c>
      <c r="AD15" s="47"/>
      <c r="AE15" s="48"/>
      <c r="AF15" s="48">
        <v>229.43</v>
      </c>
      <c r="AG15" s="48"/>
      <c r="AH15" s="48">
        <v>291.18</v>
      </c>
      <c r="AI15" s="48"/>
      <c r="AJ15" s="48">
        <v>313.17</v>
      </c>
      <c r="AK15" s="48" t="s">
        <v>225</v>
      </c>
      <c r="AL15" s="48">
        <v>449.99</v>
      </c>
      <c r="AM15" s="48"/>
      <c r="AN15" s="48">
        <v>325.88</v>
      </c>
      <c r="AO15" s="50"/>
      <c r="AP15" s="46">
        <v>359.66</v>
      </c>
      <c r="AQ15" s="64"/>
      <c r="AR15" s="47">
        <v>0</v>
      </c>
      <c r="AS15" s="52"/>
      <c r="AT15" s="47">
        <f t="shared" ref="AT15:AT26" si="0">AP15+AR15</f>
        <v>359.66</v>
      </c>
      <c r="AU15" s="50"/>
      <c r="AV15" s="47"/>
      <c r="AW15" s="52"/>
      <c r="AX15" s="47">
        <f>5.4*AY15</f>
        <v>226.8</v>
      </c>
      <c r="AY15" s="52">
        <v>42</v>
      </c>
      <c r="AZ15" s="47">
        <f t="shared" ref="AZ15:AZ26" si="1">AV15+AX15</f>
        <v>226.8</v>
      </c>
      <c r="BA15" s="48"/>
      <c r="BB15" s="212">
        <f>BB30*BC15</f>
        <v>0</v>
      </c>
      <c r="BC15" s="207"/>
      <c r="BD15" s="46">
        <f>4.818*BE15</f>
        <v>173.44799999999998</v>
      </c>
      <c r="BE15" s="68">
        <v>36</v>
      </c>
      <c r="BF15" s="47">
        <f t="shared" ref="BF15:BF26" si="2">BB15+BD15</f>
        <v>173.44799999999998</v>
      </c>
      <c r="BG15" s="50"/>
      <c r="BH15" s="46"/>
      <c r="BK15" s="31">
        <v>165.5</v>
      </c>
      <c r="BL15" s="31">
        <v>122.1</v>
      </c>
      <c r="BM15" s="31">
        <f>(122.1+149.4+149.2+165.5+144.9+141.1)/6</f>
        <v>145.36666666666667</v>
      </c>
    </row>
    <row r="16" spans="1:87">
      <c r="A16" t="s">
        <v>226</v>
      </c>
      <c r="B16">
        <v>210.42</v>
      </c>
      <c r="D16">
        <v>93.91</v>
      </c>
      <c r="F16">
        <v>75.92</v>
      </c>
      <c r="H16">
        <v>85.76</v>
      </c>
      <c r="J16">
        <v>144.54</v>
      </c>
      <c r="K16" t="s">
        <v>212</v>
      </c>
      <c r="L16">
        <v>104.92</v>
      </c>
      <c r="N16">
        <v>106.94</v>
      </c>
      <c r="P16">
        <v>94.68</v>
      </c>
      <c r="Q16" t="s">
        <v>267</v>
      </c>
      <c r="R16">
        <v>110.94</v>
      </c>
      <c r="S16" t="s">
        <v>507</v>
      </c>
      <c r="T16">
        <f>(505+561+886+628+607+552+615)/7</f>
        <v>622</v>
      </c>
      <c r="U16">
        <v>886</v>
      </c>
      <c r="V16">
        <v>505</v>
      </c>
      <c r="AC16" s="65" t="s">
        <v>217</v>
      </c>
      <c r="AD16" s="66"/>
      <c r="AE16" s="46"/>
      <c r="AF16" s="46">
        <v>268.13</v>
      </c>
      <c r="AG16" s="46"/>
      <c r="AH16" s="46">
        <v>391.36</v>
      </c>
      <c r="AI16" s="46"/>
      <c r="AJ16" s="46">
        <v>309.60000000000002</v>
      </c>
      <c r="AK16" s="46" t="s">
        <v>225</v>
      </c>
      <c r="AL16" s="46">
        <v>360.54</v>
      </c>
      <c r="AM16" s="46"/>
      <c r="AN16" s="46">
        <v>262.45999999999998</v>
      </c>
      <c r="AO16" s="67"/>
      <c r="AP16" s="46">
        <v>331.88</v>
      </c>
      <c r="AQ16" s="64"/>
      <c r="AR16" s="66">
        <v>0</v>
      </c>
      <c r="AS16" s="68"/>
      <c r="AT16" s="66">
        <f t="shared" si="0"/>
        <v>331.88</v>
      </c>
      <c r="AU16" s="67"/>
      <c r="AV16" s="69">
        <v>338.81</v>
      </c>
      <c r="AW16" s="68">
        <v>102.7</v>
      </c>
      <c r="AX16" s="66">
        <f>5.4*AY16</f>
        <v>156.60000000000002</v>
      </c>
      <c r="AY16" s="68">
        <v>29</v>
      </c>
      <c r="AZ16" s="66">
        <f t="shared" si="1"/>
        <v>495.41</v>
      </c>
      <c r="BA16" s="46" t="s">
        <v>227</v>
      </c>
      <c r="BB16" s="213">
        <f>AV30*BC16</f>
        <v>0</v>
      </c>
      <c r="BC16" s="214"/>
      <c r="BD16" s="46">
        <f>4.818*BE16</f>
        <v>149.35799999999998</v>
      </c>
      <c r="BE16" s="68">
        <v>31</v>
      </c>
      <c r="BF16" s="66">
        <f t="shared" si="2"/>
        <v>149.35799999999998</v>
      </c>
      <c r="BG16" s="67" t="s">
        <v>227</v>
      </c>
      <c r="BH16" s="46"/>
      <c r="BI16" s="31">
        <f>AW16</f>
        <v>102.7</v>
      </c>
      <c r="BK16" s="31">
        <v>200.8</v>
      </c>
      <c r="BL16" s="31">
        <v>116.7</v>
      </c>
      <c r="BM16" s="31">
        <f>(142.7+200.8+147.5+132.6+116.7+130.2)/6</f>
        <v>145.08333333333334</v>
      </c>
    </row>
    <row r="17" spans="1:66">
      <c r="A17" t="s">
        <v>11</v>
      </c>
      <c r="B17">
        <v>111.63</v>
      </c>
      <c r="D17">
        <v>88.03</v>
      </c>
      <c r="F17">
        <v>72.42</v>
      </c>
      <c r="H17">
        <v>84.95</v>
      </c>
      <c r="J17">
        <v>120.2</v>
      </c>
      <c r="K17" t="s">
        <v>212</v>
      </c>
      <c r="L17">
        <v>94.63</v>
      </c>
      <c r="N17">
        <v>89.2</v>
      </c>
      <c r="P17">
        <v>64.27</v>
      </c>
      <c r="R17">
        <v>123.81</v>
      </c>
      <c r="S17" t="s">
        <v>507</v>
      </c>
      <c r="T17">
        <f>(479+555+727+560+494+350+695)/7</f>
        <v>551.42857142857144</v>
      </c>
      <c r="U17">
        <v>727</v>
      </c>
      <c r="V17">
        <v>350</v>
      </c>
      <c r="AC17" s="65" t="s">
        <v>224</v>
      </c>
      <c r="AD17" s="66"/>
      <c r="AE17" s="46"/>
      <c r="AF17" s="46">
        <v>222.29</v>
      </c>
      <c r="AG17" s="46"/>
      <c r="AH17" s="46">
        <v>205.23</v>
      </c>
      <c r="AI17" s="46"/>
      <c r="AJ17" s="46">
        <v>258.81</v>
      </c>
      <c r="AK17" s="46"/>
      <c r="AL17" s="46">
        <v>246.89</v>
      </c>
      <c r="AM17" s="46"/>
      <c r="AN17" s="46">
        <v>188.92</v>
      </c>
      <c r="AO17" s="67"/>
      <c r="AP17" s="46">
        <v>217.17</v>
      </c>
      <c r="AQ17" s="64"/>
      <c r="AR17" s="66">
        <v>0</v>
      </c>
      <c r="AS17" s="68"/>
      <c r="AT17" s="66">
        <f t="shared" si="0"/>
        <v>217.17</v>
      </c>
      <c r="AU17" s="67"/>
      <c r="AV17" s="66"/>
      <c r="AW17" s="68"/>
      <c r="AX17" s="66">
        <f>5.4*AY17</f>
        <v>97.2</v>
      </c>
      <c r="AY17" s="68">
        <f>18</f>
        <v>18</v>
      </c>
      <c r="AZ17" s="66">
        <f t="shared" si="1"/>
        <v>97.2</v>
      </c>
      <c r="BA17" s="46"/>
      <c r="BB17" s="215"/>
      <c r="BC17" s="214"/>
      <c r="BD17" s="46">
        <f>4.818*3+56+54</f>
        <v>124.45399999999999</v>
      </c>
      <c r="BE17" s="68">
        <v>23</v>
      </c>
      <c r="BF17" s="66">
        <f t="shared" si="2"/>
        <v>124.45399999999999</v>
      </c>
      <c r="BG17" s="67"/>
      <c r="BH17" s="46"/>
      <c r="BK17" s="31">
        <v>123.3</v>
      </c>
      <c r="BL17" s="31">
        <v>84</v>
      </c>
      <c r="BM17" s="31">
        <f>(118.3+105.3+123.3+90.8+84+85.2)/6</f>
        <v>101.15000000000002</v>
      </c>
    </row>
    <row r="18" spans="1:66">
      <c r="A18" t="s">
        <v>228</v>
      </c>
      <c r="B18">
        <v>63.07</v>
      </c>
      <c r="D18">
        <v>75.489999999999995</v>
      </c>
      <c r="F18">
        <v>77.400000000000006</v>
      </c>
      <c r="H18">
        <v>79.87</v>
      </c>
      <c r="J18">
        <v>87.61</v>
      </c>
      <c r="L18">
        <v>103.09</v>
      </c>
      <c r="M18" t="s">
        <v>361</v>
      </c>
      <c r="N18">
        <v>99.4</v>
      </c>
      <c r="P18">
        <v>57.5</v>
      </c>
      <c r="R18">
        <v>90.35</v>
      </c>
      <c r="T18">
        <f>(516+518+514+616+559+297+487)/7</f>
        <v>501</v>
      </c>
      <c r="U18">
        <v>616</v>
      </c>
      <c r="V18">
        <v>297</v>
      </c>
      <c r="AC18" s="65" t="s">
        <v>226</v>
      </c>
      <c r="AD18" s="66"/>
      <c r="AE18" s="46"/>
      <c r="AF18" s="46">
        <v>98.46</v>
      </c>
      <c r="AG18" s="46"/>
      <c r="AH18" s="46">
        <v>184.38</v>
      </c>
      <c r="AI18" s="46"/>
      <c r="AJ18" s="46">
        <v>183.4</v>
      </c>
      <c r="AK18" s="46"/>
      <c r="AL18" s="46">
        <v>106.86</v>
      </c>
      <c r="AM18" s="46"/>
      <c r="AN18" s="46">
        <v>79.16</v>
      </c>
      <c r="AO18" s="67"/>
      <c r="AP18" s="46">
        <v>104.51</v>
      </c>
      <c r="AQ18" s="64"/>
      <c r="AR18" s="66">
        <v>0</v>
      </c>
      <c r="AS18" s="68"/>
      <c r="AT18" s="66">
        <f t="shared" si="0"/>
        <v>104.51</v>
      </c>
      <c r="AU18" s="67"/>
      <c r="AV18" s="70">
        <v>124.21</v>
      </c>
      <c r="AW18" s="68">
        <v>35.5</v>
      </c>
      <c r="AX18" s="66">
        <f>5.4*AY18+5.3</f>
        <v>43.1</v>
      </c>
      <c r="AY18" s="68">
        <f>7</f>
        <v>7</v>
      </c>
      <c r="AZ18" s="66">
        <f t="shared" si="1"/>
        <v>167.31</v>
      </c>
      <c r="BA18" s="46"/>
      <c r="BB18" s="256">
        <f>AV30*BC18</f>
        <v>573.13620000000003</v>
      </c>
      <c r="BC18" s="214">
        <v>163.80000000000001</v>
      </c>
      <c r="BD18" s="46">
        <v>112</v>
      </c>
      <c r="BE18" s="68">
        <v>20</v>
      </c>
      <c r="BF18" s="66">
        <f t="shared" si="2"/>
        <v>685.13620000000003</v>
      </c>
      <c r="BG18" s="67"/>
      <c r="BH18" s="46"/>
      <c r="BI18" s="31">
        <f>AW18</f>
        <v>35.5</v>
      </c>
      <c r="BK18" s="31">
        <v>94.6</v>
      </c>
      <c r="BL18" s="31">
        <v>35.200000000000003</v>
      </c>
      <c r="BM18" s="31">
        <f>(52.4+94.6+74.2+39.3+35.2+41)/6</f>
        <v>56.116666666666667</v>
      </c>
    </row>
    <row r="19" spans="1:66">
      <c r="A19" t="s">
        <v>229</v>
      </c>
      <c r="B19">
        <v>61.91</v>
      </c>
      <c r="D19">
        <v>61.04</v>
      </c>
      <c r="F19">
        <v>79.28</v>
      </c>
      <c r="H19">
        <v>95.91</v>
      </c>
      <c r="J19">
        <v>107.35</v>
      </c>
      <c r="L19">
        <v>87.36</v>
      </c>
      <c r="N19">
        <v>113.08</v>
      </c>
      <c r="O19" t="s">
        <v>230</v>
      </c>
      <c r="P19">
        <v>84.71</v>
      </c>
      <c r="R19">
        <v>124.94</v>
      </c>
      <c r="S19" t="s">
        <v>227</v>
      </c>
      <c r="T19">
        <f>(530+635+643+512+646+472+702)/7</f>
        <v>591.42857142857144</v>
      </c>
      <c r="U19">
        <v>702</v>
      </c>
      <c r="V19">
        <v>472</v>
      </c>
      <c r="AC19" s="65" t="s">
        <v>11</v>
      </c>
      <c r="AD19" s="66"/>
      <c r="AE19" s="46"/>
      <c r="AF19" s="46"/>
      <c r="AG19" s="46"/>
      <c r="AH19" s="46"/>
      <c r="AI19" s="46"/>
      <c r="AJ19" s="46"/>
      <c r="AK19" s="46"/>
      <c r="AL19" s="46"/>
      <c r="AM19" s="46"/>
      <c r="AN19" s="46"/>
      <c r="AO19" s="67"/>
      <c r="AP19" s="46"/>
      <c r="AQ19" s="64"/>
      <c r="AR19" s="66">
        <v>0</v>
      </c>
      <c r="AS19" s="68"/>
      <c r="AT19" s="66">
        <f t="shared" si="0"/>
        <v>0</v>
      </c>
      <c r="AU19" s="67"/>
      <c r="AV19" s="66"/>
      <c r="AW19" s="68"/>
      <c r="AX19" s="66">
        <v>0</v>
      </c>
      <c r="AY19" s="68">
        <v>0</v>
      </c>
      <c r="AZ19" s="66">
        <f t="shared" si="1"/>
        <v>0</v>
      </c>
      <c r="BA19" s="46"/>
      <c r="BB19" s="215"/>
      <c r="BC19" s="214"/>
      <c r="BD19" s="46">
        <v>0</v>
      </c>
      <c r="BE19" s="68">
        <v>0</v>
      </c>
      <c r="BF19" s="66">
        <f t="shared" si="2"/>
        <v>0</v>
      </c>
      <c r="BG19" s="67"/>
      <c r="BH19" s="46"/>
    </row>
    <row r="20" spans="1:66">
      <c r="A20" t="s">
        <v>231</v>
      </c>
      <c r="B20">
        <v>56.34</v>
      </c>
      <c r="C20" t="s">
        <v>225</v>
      </c>
      <c r="D20">
        <v>62.68</v>
      </c>
      <c r="F20">
        <v>93.98</v>
      </c>
      <c r="G20" t="s">
        <v>239</v>
      </c>
      <c r="H20">
        <v>76.989999999999995</v>
      </c>
      <c r="J20">
        <v>90.51</v>
      </c>
      <c r="K20" t="s">
        <v>227</v>
      </c>
      <c r="L20">
        <v>98.91</v>
      </c>
      <c r="N20">
        <v>126.63</v>
      </c>
      <c r="O20" t="s">
        <v>230</v>
      </c>
      <c r="P20">
        <v>117.91</v>
      </c>
      <c r="Q20" t="s">
        <v>227</v>
      </c>
      <c r="R20">
        <v>162.68</v>
      </c>
      <c r="T20">
        <f>(634+467+533+568+737+697+966)/7</f>
        <v>657.42857142857144</v>
      </c>
      <c r="U20">
        <v>966</v>
      </c>
      <c r="V20">
        <v>467</v>
      </c>
      <c r="AC20" s="65" t="s">
        <v>228</v>
      </c>
      <c r="AD20" s="66">
        <v>559.53</v>
      </c>
      <c r="AE20" s="46"/>
      <c r="AF20" s="46"/>
      <c r="AG20" s="46"/>
      <c r="AH20" s="46"/>
      <c r="AI20" s="46"/>
      <c r="AJ20" s="46"/>
      <c r="AK20" s="46"/>
      <c r="AL20" s="46"/>
      <c r="AM20" s="46"/>
      <c r="AN20" s="46"/>
      <c r="AO20" s="67"/>
      <c r="AP20" s="46"/>
      <c r="AQ20" s="64"/>
      <c r="AR20" s="66">
        <v>0</v>
      </c>
      <c r="AS20" s="68"/>
      <c r="AT20" s="66">
        <f t="shared" si="0"/>
        <v>0</v>
      </c>
      <c r="AU20" s="67" t="s">
        <v>232</v>
      </c>
      <c r="AV20" s="66"/>
      <c r="AW20" s="68"/>
      <c r="AX20" s="66">
        <v>0</v>
      </c>
      <c r="AY20" s="68">
        <v>0</v>
      </c>
      <c r="AZ20" s="66">
        <f t="shared" si="1"/>
        <v>0</v>
      </c>
      <c r="BA20" s="46"/>
      <c r="BB20" s="215"/>
      <c r="BC20" s="214"/>
      <c r="BD20" s="46">
        <v>0</v>
      </c>
      <c r="BE20" s="68">
        <v>0</v>
      </c>
      <c r="BF20" s="66">
        <f t="shared" si="2"/>
        <v>0</v>
      </c>
      <c r="BG20" s="67" t="s">
        <v>227</v>
      </c>
      <c r="BH20" s="46"/>
    </row>
    <row r="21" spans="1:66">
      <c r="A21" t="s">
        <v>233</v>
      </c>
      <c r="B21">
        <v>66.83</v>
      </c>
      <c r="D21">
        <v>95.69</v>
      </c>
      <c r="F21">
        <v>92.9</v>
      </c>
      <c r="G21" t="s">
        <v>227</v>
      </c>
      <c r="H21">
        <v>75.099999999999994</v>
      </c>
      <c r="J21">
        <v>98.06</v>
      </c>
      <c r="K21" t="s">
        <v>227</v>
      </c>
      <c r="L21">
        <v>130.33000000000001</v>
      </c>
      <c r="M21" t="s">
        <v>362</v>
      </c>
      <c r="N21">
        <v>166.33</v>
      </c>
      <c r="O21" t="s">
        <v>234</v>
      </c>
      <c r="P21">
        <v>140.66</v>
      </c>
      <c r="Q21" t="s">
        <v>227</v>
      </c>
      <c r="R21">
        <v>136.38</v>
      </c>
      <c r="S21" t="s">
        <v>227</v>
      </c>
      <c r="T21">
        <f>(659+626+454+582+749+999+865+823)/8</f>
        <v>719.625</v>
      </c>
      <c r="U21">
        <v>999</v>
      </c>
      <c r="V21">
        <v>454</v>
      </c>
      <c r="AC21" s="65" t="s">
        <v>229</v>
      </c>
      <c r="AD21" s="66">
        <v>31.95</v>
      </c>
      <c r="AE21" s="46"/>
      <c r="AF21" s="46"/>
      <c r="AG21" s="46"/>
      <c r="AH21" s="46"/>
      <c r="AI21" s="46" t="s">
        <v>227</v>
      </c>
      <c r="AJ21" s="46"/>
      <c r="AK21" s="46"/>
      <c r="AL21" s="46"/>
      <c r="AM21" s="46"/>
      <c r="AN21" s="46"/>
      <c r="AO21" s="67"/>
      <c r="AP21" s="46"/>
      <c r="AQ21" s="64"/>
      <c r="AR21" s="66">
        <v>0</v>
      </c>
      <c r="AS21" s="68"/>
      <c r="AT21" s="66">
        <f t="shared" si="0"/>
        <v>0</v>
      </c>
      <c r="AU21" s="67"/>
      <c r="AV21" s="66"/>
      <c r="AW21" s="68"/>
      <c r="AX21" s="66">
        <v>0</v>
      </c>
      <c r="AY21" s="68">
        <v>0</v>
      </c>
      <c r="AZ21" s="66">
        <f t="shared" si="1"/>
        <v>0</v>
      </c>
      <c r="BA21" s="46" t="s">
        <v>227</v>
      </c>
      <c r="BB21" s="215"/>
      <c r="BC21" s="214"/>
      <c r="BD21" s="46">
        <v>0</v>
      </c>
      <c r="BE21" s="68">
        <v>0</v>
      </c>
      <c r="BF21" s="66">
        <f t="shared" si="2"/>
        <v>0</v>
      </c>
      <c r="BG21" s="67"/>
      <c r="BH21" s="46"/>
    </row>
    <row r="22" spans="1:66">
      <c r="A22" t="s">
        <v>235</v>
      </c>
      <c r="B22">
        <v>68.069999999999993</v>
      </c>
      <c r="D22">
        <v>75.33</v>
      </c>
      <c r="F22">
        <v>95.85</v>
      </c>
      <c r="G22" t="s">
        <v>225</v>
      </c>
      <c r="H22">
        <v>104.25</v>
      </c>
      <c r="J22">
        <v>88.4</v>
      </c>
      <c r="K22" t="s">
        <v>236</v>
      </c>
      <c r="L22">
        <v>110.36</v>
      </c>
      <c r="N22">
        <v>124.33</v>
      </c>
      <c r="O22" t="s">
        <v>225</v>
      </c>
      <c r="P22">
        <v>108.82</v>
      </c>
      <c r="Q22" t="s">
        <v>267</v>
      </c>
      <c r="R22">
        <v>123.75</v>
      </c>
      <c r="T22">
        <f>(506+648+654+518+623+728+651+739)/8</f>
        <v>633.375</v>
      </c>
      <c r="U22">
        <v>739</v>
      </c>
      <c r="V22">
        <v>506</v>
      </c>
      <c r="AC22" s="65" t="s">
        <v>231</v>
      </c>
      <c r="AD22" s="66"/>
      <c r="AE22" s="46"/>
      <c r="AF22" s="46"/>
      <c r="AG22" s="46"/>
      <c r="AH22" s="46"/>
      <c r="AI22" s="46" t="s">
        <v>227</v>
      </c>
      <c r="AJ22" s="46"/>
      <c r="AK22" s="46"/>
      <c r="AL22" s="46"/>
      <c r="AM22" s="46"/>
      <c r="AN22" s="46"/>
      <c r="AO22" s="67"/>
      <c r="AP22" s="46"/>
      <c r="AQ22" s="64"/>
      <c r="AR22" s="66">
        <v>0</v>
      </c>
      <c r="AS22" s="68"/>
      <c r="AT22" s="66">
        <f t="shared" si="0"/>
        <v>0</v>
      </c>
      <c r="AU22" s="67" t="s">
        <v>227</v>
      </c>
      <c r="AV22" s="66"/>
      <c r="AW22" s="68"/>
      <c r="AX22" s="66">
        <v>0</v>
      </c>
      <c r="AY22" s="68">
        <v>0</v>
      </c>
      <c r="AZ22" s="66">
        <f t="shared" si="1"/>
        <v>0</v>
      </c>
      <c r="BA22" s="46" t="s">
        <v>227</v>
      </c>
      <c r="BB22" s="215"/>
      <c r="BC22" s="214"/>
      <c r="BD22" s="46">
        <v>0</v>
      </c>
      <c r="BE22" s="68">
        <v>0</v>
      </c>
      <c r="BF22" s="66">
        <f t="shared" si="2"/>
        <v>0</v>
      </c>
      <c r="BG22" s="67" t="s">
        <v>227</v>
      </c>
      <c r="BH22" s="46"/>
    </row>
    <row r="23" spans="1:66">
      <c r="A23" t="s">
        <v>237</v>
      </c>
      <c r="B23">
        <v>77.17</v>
      </c>
      <c r="D23">
        <v>71.59</v>
      </c>
      <c r="F23">
        <v>87.66</v>
      </c>
      <c r="G23" s="71"/>
      <c r="H23">
        <v>99.19</v>
      </c>
      <c r="I23" t="s">
        <v>212</v>
      </c>
      <c r="J23">
        <v>92.35</v>
      </c>
      <c r="L23">
        <v>115.11</v>
      </c>
      <c r="N23">
        <v>108.07</v>
      </c>
      <c r="O23" t="s">
        <v>225</v>
      </c>
      <c r="P23">
        <v>98.85</v>
      </c>
      <c r="R23">
        <v>110.79</v>
      </c>
      <c r="T23">
        <f>(478+587+618+544+653+623+584+653)/8</f>
        <v>592.5</v>
      </c>
      <c r="U23">
        <v>653</v>
      </c>
      <c r="V23">
        <v>478</v>
      </c>
      <c r="AC23" s="65" t="s">
        <v>233</v>
      </c>
      <c r="AD23" s="66">
        <v>133.6</v>
      </c>
      <c r="AE23" s="46"/>
      <c r="AF23" s="46">
        <v>166.05</v>
      </c>
      <c r="AG23" s="46"/>
      <c r="AH23" s="46">
        <v>277.91000000000003</v>
      </c>
      <c r="AI23" s="46" t="s">
        <v>225</v>
      </c>
      <c r="AJ23" s="46">
        <v>280.06</v>
      </c>
      <c r="AK23" s="46"/>
      <c r="AL23" s="46">
        <v>245.82</v>
      </c>
      <c r="AM23" s="46"/>
      <c r="AN23" s="46">
        <v>254.65</v>
      </c>
      <c r="AO23" s="67"/>
      <c r="AP23" s="46">
        <v>214.53</v>
      </c>
      <c r="AQ23" s="72">
        <v>74</v>
      </c>
      <c r="AR23" s="66">
        <v>0</v>
      </c>
      <c r="AS23" s="68"/>
      <c r="AT23" s="66">
        <f t="shared" si="0"/>
        <v>214.53</v>
      </c>
      <c r="AU23" s="67" t="s">
        <v>225</v>
      </c>
      <c r="AV23" s="66"/>
      <c r="AW23" s="68"/>
      <c r="AX23" s="66">
        <v>0</v>
      </c>
      <c r="AY23" s="68">
        <v>0</v>
      </c>
      <c r="AZ23" s="66">
        <f t="shared" si="1"/>
        <v>0</v>
      </c>
      <c r="BA23" s="46" t="s">
        <v>267</v>
      </c>
      <c r="BB23" s="215"/>
      <c r="BC23" s="214"/>
      <c r="BD23" s="46">
        <v>0</v>
      </c>
      <c r="BE23" s="68">
        <v>0</v>
      </c>
      <c r="BF23" s="66">
        <f t="shared" si="2"/>
        <v>0</v>
      </c>
      <c r="BG23" s="67" t="s">
        <v>267</v>
      </c>
      <c r="BH23" s="46"/>
      <c r="BK23" s="31">
        <v>132.4</v>
      </c>
      <c r="BL23" s="31">
        <v>71.099999999999994</v>
      </c>
      <c r="BM23" s="31">
        <f>(71.1+85.2+132.4+103+109.3+99.9+74)/7</f>
        <v>96.414285714285725</v>
      </c>
    </row>
    <row r="24" spans="1:66">
      <c r="A24" t="s">
        <v>238</v>
      </c>
      <c r="B24">
        <v>89.35</v>
      </c>
      <c r="C24" t="s">
        <v>227</v>
      </c>
      <c r="D24">
        <v>73.33</v>
      </c>
      <c r="F24">
        <v>88.47</v>
      </c>
      <c r="G24" s="73"/>
      <c r="H24">
        <v>101.38</v>
      </c>
      <c r="I24" t="s">
        <v>212</v>
      </c>
      <c r="J24">
        <v>100.99</v>
      </c>
      <c r="L24">
        <v>107.81</v>
      </c>
      <c r="N24">
        <v>81.88</v>
      </c>
      <c r="O24" t="s">
        <v>267</v>
      </c>
      <c r="P24" s="74">
        <v>82.04</v>
      </c>
      <c r="R24">
        <v>115.17</v>
      </c>
      <c r="S24" t="s">
        <v>507</v>
      </c>
      <c r="T24">
        <f>(491+593+633+601+607+454+471+682)/8</f>
        <v>566.5</v>
      </c>
      <c r="U24">
        <v>682</v>
      </c>
      <c r="V24">
        <v>454</v>
      </c>
      <c r="AC24" s="65" t="s">
        <v>235</v>
      </c>
      <c r="AD24" s="66">
        <v>0</v>
      </c>
      <c r="AE24" s="46"/>
      <c r="AF24" s="46"/>
      <c r="AG24" s="46"/>
      <c r="AH24" s="46"/>
      <c r="AI24" s="46" t="s">
        <v>225</v>
      </c>
      <c r="AJ24" s="46"/>
      <c r="AK24" s="46"/>
      <c r="AL24" s="46"/>
      <c r="AM24" s="46"/>
      <c r="AN24" s="46"/>
      <c r="AO24" s="67"/>
      <c r="AP24" s="46"/>
      <c r="AQ24" s="64"/>
      <c r="AR24" s="66">
        <f>5.4*AS24</f>
        <v>43.2</v>
      </c>
      <c r="AS24" s="68">
        <v>8</v>
      </c>
      <c r="AT24" s="66">
        <f t="shared" si="0"/>
        <v>43.2</v>
      </c>
      <c r="AU24" s="67" t="s">
        <v>225</v>
      </c>
      <c r="AV24" s="66"/>
      <c r="AW24" s="68"/>
      <c r="AX24" s="66">
        <f>5.4*AY24</f>
        <v>43.2</v>
      </c>
      <c r="AY24" s="68">
        <v>8</v>
      </c>
      <c r="AZ24" s="66">
        <f t="shared" si="1"/>
        <v>43.2</v>
      </c>
      <c r="BA24" s="46"/>
      <c r="BB24" s="215"/>
      <c r="BC24" s="214"/>
      <c r="BD24" s="46">
        <f>5.015*BE24</f>
        <v>65.194999999999993</v>
      </c>
      <c r="BE24" s="68">
        <v>13</v>
      </c>
      <c r="BF24" s="66">
        <f t="shared" si="2"/>
        <v>65.194999999999993</v>
      </c>
      <c r="BG24" s="67"/>
      <c r="BH24" s="46"/>
      <c r="BI24" s="31">
        <f>AW24</f>
        <v>0</v>
      </c>
    </row>
    <row r="25" spans="1:66" ht="13.5" thickBot="1">
      <c r="A25" s="75" t="s">
        <v>144</v>
      </c>
      <c r="B25" s="75">
        <f>SUM(B13:B24)</f>
        <v>1116.08</v>
      </c>
      <c r="C25" s="75"/>
      <c r="D25" s="75">
        <f>SUM(D13:D24)</f>
        <v>968.14</v>
      </c>
      <c r="E25" s="75"/>
      <c r="F25" s="75">
        <f>SUM(F13:F24)</f>
        <v>1028.3399999999999</v>
      </c>
      <c r="G25" s="75"/>
      <c r="H25" s="75">
        <f>SUM(H13:H24)</f>
        <v>1121.2600000000002</v>
      </c>
      <c r="I25" s="75"/>
      <c r="J25" s="75">
        <f>SUM(J13:J24)</f>
        <v>1374.5200000000002</v>
      </c>
      <c r="K25" s="75"/>
      <c r="L25" s="75">
        <f>SUM(L13:L24)</f>
        <v>1229.5899999999999</v>
      </c>
      <c r="M25" s="75"/>
      <c r="N25" s="75">
        <f>SUM(N13:N24)</f>
        <v>1369.0699999999997</v>
      </c>
      <c r="O25" s="75"/>
      <c r="P25" s="199">
        <f>SUM(P13:P24)</f>
        <v>1206.6699999999998</v>
      </c>
      <c r="Q25" s="199"/>
      <c r="R25" s="199">
        <f>SUM(R13:R24)</f>
        <v>1451.15</v>
      </c>
      <c r="S25" s="199"/>
      <c r="T25" s="199">
        <f>SUM(T13:T24)</f>
        <v>7511.2857142857147</v>
      </c>
      <c r="U25" s="75">
        <f>SUM(U13:U24)</f>
        <v>9773</v>
      </c>
      <c r="V25" s="75">
        <f>SUM(V13:V24)</f>
        <v>5575</v>
      </c>
      <c r="AC25" s="65" t="s">
        <v>237</v>
      </c>
      <c r="AD25" s="66">
        <v>394.59</v>
      </c>
      <c r="AE25" s="46"/>
      <c r="AF25" s="46">
        <v>251.03</v>
      </c>
      <c r="AG25" s="46"/>
      <c r="AH25" s="46">
        <v>354.1</v>
      </c>
      <c r="AI25" s="46" t="s">
        <v>239</v>
      </c>
      <c r="AJ25" s="46">
        <v>397.25</v>
      </c>
      <c r="AK25" s="46"/>
      <c r="AL25" s="46">
        <v>285.62</v>
      </c>
      <c r="AM25" s="46"/>
      <c r="AN25" s="46">
        <v>321.43</v>
      </c>
      <c r="AO25" s="67"/>
      <c r="AP25" s="46">
        <v>276.81</v>
      </c>
      <c r="AQ25" s="72">
        <v>92.3</v>
      </c>
      <c r="AR25" s="66">
        <f>5.4*AS25</f>
        <v>91.800000000000011</v>
      </c>
      <c r="AS25" s="68">
        <v>17</v>
      </c>
      <c r="AT25" s="66">
        <f t="shared" si="0"/>
        <v>368.61</v>
      </c>
      <c r="AU25" s="67" t="s">
        <v>225</v>
      </c>
      <c r="AV25" s="66"/>
      <c r="AW25" s="68"/>
      <c r="AX25" s="66">
        <f>5.4*AY25</f>
        <v>183.60000000000002</v>
      </c>
      <c r="AY25" s="68">
        <v>34</v>
      </c>
      <c r="AZ25" s="66">
        <f t="shared" si="1"/>
        <v>183.60000000000002</v>
      </c>
      <c r="BA25" s="46"/>
      <c r="BB25" s="215"/>
      <c r="BC25" s="214"/>
      <c r="BD25" s="46">
        <f>5.015*BE25</f>
        <v>140.41999999999999</v>
      </c>
      <c r="BE25" s="68">
        <v>28</v>
      </c>
      <c r="BF25" s="66">
        <f t="shared" si="2"/>
        <v>140.41999999999999</v>
      </c>
      <c r="BG25" s="67"/>
      <c r="BH25" s="46"/>
      <c r="BK25" s="31">
        <v>210</v>
      </c>
      <c r="BL25" s="31">
        <v>126.1</v>
      </c>
      <c r="BM25" s="31">
        <f>(210+128.8+168.7+146.1+127+126.1+92.3)/7</f>
        <v>142.71428571428572</v>
      </c>
    </row>
    <row r="26" spans="1:66" ht="13.5" thickTop="1">
      <c r="A26" t="s">
        <v>145</v>
      </c>
      <c r="B26">
        <f>B25/12</f>
        <v>93.006666666666661</v>
      </c>
      <c r="D26">
        <f>D25/12</f>
        <v>80.678333333333327</v>
      </c>
      <c r="F26">
        <f>F25/12</f>
        <v>85.694999999999993</v>
      </c>
      <c r="H26">
        <f>H25/12</f>
        <v>93.438333333333347</v>
      </c>
      <c r="J26">
        <f>J25/12</f>
        <v>114.54333333333335</v>
      </c>
      <c r="L26">
        <f>L25/12</f>
        <v>102.46583333333332</v>
      </c>
      <c r="N26">
        <f>N25/12</f>
        <v>114.08916666666664</v>
      </c>
      <c r="P26">
        <f>P25/12</f>
        <v>100.55583333333333</v>
      </c>
      <c r="R26">
        <f>R25/12</f>
        <v>120.92916666666667</v>
      </c>
      <c r="AC26" s="65" t="s">
        <v>238</v>
      </c>
      <c r="AD26" s="66">
        <v>312.10000000000002</v>
      </c>
      <c r="AE26" s="46"/>
      <c r="AF26" s="46">
        <v>210.88</v>
      </c>
      <c r="AG26" s="46"/>
      <c r="AH26" s="46">
        <v>264.89</v>
      </c>
      <c r="AI26" s="46" t="s">
        <v>225</v>
      </c>
      <c r="AJ26" s="46">
        <v>336.07</v>
      </c>
      <c r="AK26" s="46"/>
      <c r="AL26" s="46">
        <v>226.02</v>
      </c>
      <c r="AM26" s="46"/>
      <c r="AN26" s="46">
        <v>351.51</v>
      </c>
      <c r="AO26" s="67"/>
      <c r="AP26" s="46">
        <v>205.43</v>
      </c>
      <c r="AQ26" s="72">
        <v>68.5</v>
      </c>
      <c r="AR26" s="66">
        <f>5.4*AS26</f>
        <v>199.8</v>
      </c>
      <c r="AS26" s="68">
        <f>32+5</f>
        <v>37</v>
      </c>
      <c r="AT26" s="76">
        <f t="shared" si="0"/>
        <v>405.23</v>
      </c>
      <c r="AU26" s="77"/>
      <c r="AV26" s="70">
        <f>AW26*AV30</f>
        <v>611.62520000000006</v>
      </c>
      <c r="AW26" s="78">
        <v>174.8</v>
      </c>
      <c r="AX26" s="66">
        <f>4.818*AY26</f>
        <v>192.71999999999997</v>
      </c>
      <c r="AY26" s="78">
        <v>40</v>
      </c>
      <c r="AZ26" s="76">
        <f t="shared" si="1"/>
        <v>804.34519999999998</v>
      </c>
      <c r="BA26" s="210"/>
      <c r="BB26" s="258">
        <f>BC26*BB30</f>
        <v>710.49789999999996</v>
      </c>
      <c r="BC26" s="216">
        <v>222.1</v>
      </c>
      <c r="BD26" s="46">
        <f>5.015*BE26</f>
        <v>215.64499999999998</v>
      </c>
      <c r="BE26" s="78">
        <v>43</v>
      </c>
      <c r="BF26" s="76">
        <f t="shared" si="2"/>
        <v>926.14289999999994</v>
      </c>
      <c r="BG26" s="77"/>
      <c r="BH26" s="46"/>
      <c r="BI26" s="31">
        <f>AW26</f>
        <v>174.8</v>
      </c>
      <c r="BK26" s="31">
        <v>166.1</v>
      </c>
      <c r="BL26" s="31">
        <v>100.5</v>
      </c>
      <c r="BM26" s="31">
        <f>(166.1+108.2+126.2+123.6+100.5+137.9+68.5)/7</f>
        <v>118.71428571428571</v>
      </c>
    </row>
    <row r="27" spans="1:66" ht="13.5" thickBot="1">
      <c r="A27" t="s">
        <v>240</v>
      </c>
      <c r="D27">
        <f>659+506+478+491</f>
        <v>2134</v>
      </c>
      <c r="F27">
        <f>674+633+488+505+479+516+530+634+626+648+587+593</f>
        <v>6913</v>
      </c>
      <c r="H27">
        <f>616+843+679+561+555+518+635+476+454+654+618+633</f>
        <v>7242</v>
      </c>
      <c r="J27">
        <f>657+1314+815+886+727+514+643+533+582+518+544+601</f>
        <v>8334</v>
      </c>
      <c r="L27">
        <f>253+735+646+628+560+616+512+568+749+623+653+607</f>
        <v>7150</v>
      </c>
      <c r="N27">
        <f>556+792+670+607+494+559+646+737+999+728+623+454</f>
        <v>7865</v>
      </c>
      <c r="P27">
        <f>471+884+759+552+350+297+472+697+865+651+584+471</f>
        <v>7053</v>
      </c>
      <c r="R27">
        <f>669+752+626+615+695+487+702+966+823+739+653+682</f>
        <v>8409</v>
      </c>
      <c r="T27">
        <f>SUM(T13:T24)</f>
        <v>7511.2857142857147</v>
      </c>
      <c r="U27">
        <f>SUM(U13:U24)</f>
        <v>9773</v>
      </c>
      <c r="V27">
        <f>SUM(V13:V24)</f>
        <v>5575</v>
      </c>
      <c r="AC27" s="79"/>
      <c r="AD27" s="80">
        <f>SUM(AD15:AD26)</f>
        <v>1431.77</v>
      </c>
      <c r="AE27" s="81"/>
      <c r="AF27" s="81">
        <f>SUM(AF15:AF26)</f>
        <v>1446.27</v>
      </c>
      <c r="AG27" s="81"/>
      <c r="AH27" s="81">
        <f>SUM(AH15:AH26)</f>
        <v>1969.0500000000002</v>
      </c>
      <c r="AI27" s="81"/>
      <c r="AJ27" s="81">
        <f>SUM(AJ15:AJ26)</f>
        <v>2078.36</v>
      </c>
      <c r="AK27" s="81"/>
      <c r="AL27" s="81">
        <f>SUM(AL15:AL26)</f>
        <v>1921.7399999999998</v>
      </c>
      <c r="AM27" s="81"/>
      <c r="AN27" s="81">
        <f>SUM(AN15:AN26)</f>
        <v>1784.01</v>
      </c>
      <c r="AO27" s="82"/>
      <c r="AP27" s="83">
        <f>SUM(AP15:AP26)</f>
        <v>1709.99</v>
      </c>
      <c r="AQ27" s="332">
        <f>SUM(AQ15:AQ26)</f>
        <v>234.8</v>
      </c>
      <c r="AR27" s="80">
        <f>SUM(AR15:AR26)</f>
        <v>334.8</v>
      </c>
      <c r="AS27" s="84">
        <f>SUM(AS15:AS26)</f>
        <v>62</v>
      </c>
      <c r="AT27" s="80">
        <f>SUM(AT15:AT26)</f>
        <v>2044.79</v>
      </c>
      <c r="AU27" s="82"/>
      <c r="AV27" s="80">
        <f>SUM(AV15:AV26)+150</f>
        <v>1224.6451999999999</v>
      </c>
      <c r="AW27" s="80">
        <f>SUM(AW15:AW26)</f>
        <v>313</v>
      </c>
      <c r="AX27" s="80">
        <f>SUM(AX15:AX26)</f>
        <v>943.22</v>
      </c>
      <c r="AY27" s="84">
        <f>SUM(AY15:AY26)</f>
        <v>178</v>
      </c>
      <c r="AZ27" s="80">
        <f>SUM(AZ15:AZ26)</f>
        <v>2017.8652</v>
      </c>
      <c r="BA27" s="82"/>
      <c r="BB27" s="257">
        <f>SUM(BB15:BB26)+150</f>
        <v>1433.6341</v>
      </c>
      <c r="BC27" s="55">
        <f>SUM(BC15:BC26)</f>
        <v>385.9</v>
      </c>
      <c r="BD27" s="80">
        <f>SUM(BD15:BD26)</f>
        <v>980.51999999999987</v>
      </c>
      <c r="BE27" s="84">
        <f>SUM(BE15:BE26)</f>
        <v>194</v>
      </c>
      <c r="BF27" s="80">
        <f>SUM(BF15:BF26)</f>
        <v>2264.1540999999997</v>
      </c>
      <c r="BG27" s="82"/>
      <c r="BH27" s="46"/>
      <c r="BI27" s="83">
        <f>SUM(BI15:BI26)</f>
        <v>313</v>
      </c>
      <c r="BK27" s="83">
        <f>SUM(BK15:BK26)</f>
        <v>1092.7</v>
      </c>
      <c r="BL27" s="83">
        <f>SUM(BL15:BL26)</f>
        <v>655.7</v>
      </c>
      <c r="BM27" s="83">
        <f>SUM(BM15:BM26)</f>
        <v>805.55952380952397</v>
      </c>
      <c r="BN27" s="31" t="s">
        <v>241</v>
      </c>
    </row>
    <row r="28" spans="1:66" ht="13.5" thickTop="1">
      <c r="A28" t="s">
        <v>242</v>
      </c>
      <c r="D28">
        <f>D27/4</f>
        <v>533.5</v>
      </c>
      <c r="F28">
        <f>F27/12</f>
        <v>576.08333333333337</v>
      </c>
      <c r="H28">
        <f>H27/12</f>
        <v>603.5</v>
      </c>
      <c r="J28">
        <f>J27/12</f>
        <v>694.5</v>
      </c>
      <c r="L28">
        <f>L27/12</f>
        <v>595.83333333333337</v>
      </c>
      <c r="N28">
        <f>N27/12</f>
        <v>655.41666666666663</v>
      </c>
      <c r="P28">
        <f>P27/12</f>
        <v>587.75</v>
      </c>
      <c r="R28">
        <f>R27/12</f>
        <v>700.75</v>
      </c>
      <c r="AC28" s="31" t="s">
        <v>243</v>
      </c>
      <c r="AD28" s="31">
        <f>AD27/7</f>
        <v>204.53857142857143</v>
      </c>
      <c r="AF28" s="31">
        <f>AF27/12</f>
        <v>120.52249999999999</v>
      </c>
      <c r="AH28" s="31">
        <f>AH27/12</f>
        <v>164.08750000000001</v>
      </c>
      <c r="AJ28" s="31">
        <f>AJ27/12</f>
        <v>173.19666666666669</v>
      </c>
      <c r="AL28" s="31">
        <f>AL27/12</f>
        <v>160.14499999999998</v>
      </c>
      <c r="AN28" s="31">
        <f>AN27/12</f>
        <v>148.66749999999999</v>
      </c>
      <c r="AP28" s="31">
        <f>AP27/12</f>
        <v>142.49916666666667</v>
      </c>
      <c r="AV28" s="31">
        <f>AV27/12</f>
        <v>102.05376666666666</v>
      </c>
      <c r="BB28" s="31">
        <f>BB27/12</f>
        <v>119.46950833333334</v>
      </c>
      <c r="BJ28" s="31" t="s">
        <v>244</v>
      </c>
      <c r="BK28" s="31">
        <f>BK27/12</f>
        <v>91.058333333333337</v>
      </c>
      <c r="BL28" s="31">
        <f>BL27/12</f>
        <v>54.641666666666673</v>
      </c>
      <c r="BM28" s="31">
        <f>BM27/12</f>
        <v>67.129960317460331</v>
      </c>
    </row>
    <row r="29" spans="1:66">
      <c r="AC29" s="31" t="s">
        <v>245</v>
      </c>
      <c r="AD29" s="31">
        <f>316.3+71.1+210+166.1</f>
        <v>763.5</v>
      </c>
      <c r="AF29" s="31">
        <f>122.1+142.7+118.3+52.4+85.2+128.8+108.2</f>
        <v>757.7</v>
      </c>
      <c r="AH29" s="31">
        <f>149.4+200.8+105.3+94.6+132.4+168.7+126.2</f>
        <v>977.40000000000009</v>
      </c>
      <c r="AJ29" s="31">
        <f>149.2+147.5+123.3+74.2+103+146.1+123.6</f>
        <v>866.90000000000009</v>
      </c>
      <c r="AL29" s="31">
        <f>165.5+132.6+90.8+39.3+109.3+127+100.5</f>
        <v>765</v>
      </c>
      <c r="AN29" s="31">
        <f>144.9+116.7+84+35.2+99.9+126.1+137.9</f>
        <v>744.7</v>
      </c>
      <c r="AP29" s="31">
        <f>141.1+130.2+85.2+41+74+92.3+68.5</f>
        <v>632.29999999999995</v>
      </c>
      <c r="AV29" s="31">
        <f>102.7+35.5+174.8</f>
        <v>313</v>
      </c>
      <c r="BB29" s="31">
        <f>163.8+222.1</f>
        <v>385.9</v>
      </c>
      <c r="BJ29" s="31" t="s">
        <v>246</v>
      </c>
      <c r="BK29" s="31">
        <f>BK28*BK30</f>
        <v>213.89602500000004</v>
      </c>
      <c r="BL29" s="31">
        <f>BL28*BL30</f>
        <v>128.35327500000002</v>
      </c>
      <c r="BM29" s="31">
        <f>BM28*BM30</f>
        <v>157.68827678571432</v>
      </c>
    </row>
    <row r="30" spans="1:66">
      <c r="AC30" s="31" t="s">
        <v>247</v>
      </c>
      <c r="AD30" s="31">
        <v>1.879</v>
      </c>
      <c r="AF30" s="31">
        <v>1.9490000000000001</v>
      </c>
      <c r="AH30" s="31">
        <v>2.0990000000000002</v>
      </c>
      <c r="AJ30" s="31">
        <v>2.7189999999999999</v>
      </c>
      <c r="AL30" s="31">
        <v>2.2490000000000001</v>
      </c>
      <c r="AN30" s="31">
        <v>2.5489999999999999</v>
      </c>
      <c r="AP30" s="31">
        <v>2.9990000000000001</v>
      </c>
      <c r="AQ30" s="259" t="s">
        <v>693</v>
      </c>
      <c r="AV30" s="31">
        <v>3.4990000000000001</v>
      </c>
      <c r="BB30" s="31">
        <v>3.1989999999999998</v>
      </c>
      <c r="BJ30" s="31" t="s">
        <v>248</v>
      </c>
      <c r="BK30" s="31">
        <f>SUM(AD30:AP30)/7</f>
        <v>2.3490000000000002</v>
      </c>
      <c r="BL30" s="31">
        <f>BK30</f>
        <v>2.3490000000000002</v>
      </c>
      <c r="BM30" s="31">
        <f>BK30</f>
        <v>2.3490000000000002</v>
      </c>
    </row>
    <row r="31" spans="1:66" ht="15.75">
      <c r="A31" s="32" t="s">
        <v>249</v>
      </c>
      <c r="AC31" s="31" t="s">
        <v>250</v>
      </c>
      <c r="AD31" s="31">
        <f>AD27/AD29</f>
        <v>1.8752717747216765</v>
      </c>
      <c r="AF31" s="31">
        <f>AF27/AF29</f>
        <v>1.9087633628084992</v>
      </c>
      <c r="AH31" s="31">
        <f>AH27/AH29</f>
        <v>2.0145794966236954</v>
      </c>
      <c r="AJ31" s="31">
        <f>AJ27/AJ29</f>
        <v>2.3974622217095396</v>
      </c>
      <c r="AL31" s="31">
        <f>AL27/AL29</f>
        <v>2.5120784313725486</v>
      </c>
      <c r="AN31" s="31">
        <f>AN27/AN29</f>
        <v>2.3956089700550556</v>
      </c>
      <c r="AP31" s="31">
        <f>AP27/AP29</f>
        <v>2.704396647161158</v>
      </c>
      <c r="AV31" s="31">
        <f>AV27/AV29</f>
        <v>3.9126044728434501</v>
      </c>
      <c r="BB31" s="31">
        <f>BB27/BB29</f>
        <v>3.7150404249805651</v>
      </c>
    </row>
    <row r="32" spans="1:66">
      <c r="A32" s="85"/>
    </row>
    <row r="33" spans="1:64">
      <c r="A33" s="85"/>
      <c r="B33" t="s">
        <v>251</v>
      </c>
    </row>
    <row r="34" spans="1:64" ht="15.75">
      <c r="A34" s="85"/>
      <c r="B34" t="s">
        <v>252</v>
      </c>
      <c r="AC34" s="86" t="s">
        <v>537</v>
      </c>
      <c r="BL34" s="38"/>
    </row>
    <row r="35" spans="1:64">
      <c r="A35" s="85"/>
      <c r="B35" t="s">
        <v>253</v>
      </c>
      <c r="AH35" s="87" t="s">
        <v>254</v>
      </c>
      <c r="AL35" s="31">
        <v>2013</v>
      </c>
      <c r="AP35" s="31" t="s">
        <v>536</v>
      </c>
    </row>
    <row r="36" spans="1:64">
      <c r="A36" s="85"/>
      <c r="B36" t="s">
        <v>255</v>
      </c>
      <c r="AH36" s="88" t="s">
        <v>256</v>
      </c>
      <c r="AL36" s="88" t="s">
        <v>257</v>
      </c>
      <c r="AP36" s="88" t="s">
        <v>258</v>
      </c>
    </row>
    <row r="37" spans="1:64">
      <c r="A37" s="85"/>
      <c r="B37" t="s">
        <v>259</v>
      </c>
      <c r="AC37" s="31" t="s">
        <v>260</v>
      </c>
      <c r="AH37" s="31">
        <v>98</v>
      </c>
      <c r="AL37" s="31">
        <v>0</v>
      </c>
      <c r="AP37" s="31">
        <v>100</v>
      </c>
    </row>
    <row r="38" spans="1:64">
      <c r="A38" s="85"/>
      <c r="B38" t="s">
        <v>932</v>
      </c>
      <c r="AC38" s="31" t="s">
        <v>261</v>
      </c>
      <c r="AH38" s="31">
        <v>142</v>
      </c>
      <c r="AL38" s="31">
        <f>8+31</f>
        <v>39</v>
      </c>
      <c r="AP38" s="31">
        <v>40</v>
      </c>
    </row>
    <row r="39" spans="1:64">
      <c r="A39" s="85"/>
      <c r="U39" t="s">
        <v>262</v>
      </c>
      <c r="AC39" s="31" t="s">
        <v>238</v>
      </c>
      <c r="AH39" s="31">
        <v>119</v>
      </c>
      <c r="AL39" s="31">
        <v>40</v>
      </c>
      <c r="AP39" s="31">
        <v>50</v>
      </c>
    </row>
    <row r="40" spans="1:64">
      <c r="A40" s="202" t="s">
        <v>264</v>
      </c>
      <c r="B40" s="203">
        <v>2005</v>
      </c>
      <c r="C40" s="203"/>
      <c r="D40" s="203">
        <v>2006</v>
      </c>
      <c r="E40" s="203"/>
      <c r="F40" s="203">
        <v>2007</v>
      </c>
      <c r="G40" s="203"/>
      <c r="H40" s="203">
        <v>2008</v>
      </c>
      <c r="I40" s="203"/>
      <c r="J40" s="203">
        <v>2009</v>
      </c>
      <c r="K40" s="203"/>
      <c r="L40" s="203">
        <v>2010</v>
      </c>
      <c r="M40" s="203"/>
      <c r="N40" s="203">
        <v>2011</v>
      </c>
      <c r="O40" s="203"/>
      <c r="P40" s="203">
        <v>2012</v>
      </c>
      <c r="Q40" s="245" t="s">
        <v>933</v>
      </c>
      <c r="R40" s="203">
        <v>2013</v>
      </c>
      <c r="S40" s="245" t="s">
        <v>933</v>
      </c>
      <c r="U40" t="s">
        <v>242</v>
      </c>
      <c r="AC40" s="31" t="s">
        <v>210</v>
      </c>
      <c r="AH40" s="31">
        <v>145</v>
      </c>
      <c r="AL40" s="31">
        <v>40</v>
      </c>
      <c r="AP40" s="31">
        <v>40</v>
      </c>
    </row>
    <row r="41" spans="1:64">
      <c r="AC41" s="31" t="s">
        <v>217</v>
      </c>
      <c r="AH41" s="31">
        <v>145</v>
      </c>
      <c r="AL41" s="31">
        <v>30</v>
      </c>
      <c r="AP41" s="31">
        <v>40</v>
      </c>
    </row>
    <row r="42" spans="1:64">
      <c r="A42" t="s">
        <v>210</v>
      </c>
      <c r="AC42" s="31" t="s">
        <v>263</v>
      </c>
      <c r="AH42" s="31">
        <v>157</v>
      </c>
      <c r="AL42" s="31">
        <v>25</v>
      </c>
      <c r="AP42" s="31">
        <v>40</v>
      </c>
      <c r="AQ42" s="38"/>
    </row>
    <row r="43" spans="1:64">
      <c r="A43" t="s">
        <v>217</v>
      </c>
      <c r="AC43" s="36"/>
      <c r="AF43" s="31" t="s">
        <v>71</v>
      </c>
      <c r="AH43" s="89">
        <f>SUM(AH37:AH42)</f>
        <v>806</v>
      </c>
      <c r="AI43" s="31" t="s">
        <v>241</v>
      </c>
      <c r="AL43" s="89">
        <f>SUM(AL37:AL42)</f>
        <v>174</v>
      </c>
      <c r="AM43" s="31" t="s">
        <v>265</v>
      </c>
      <c r="AP43" s="90">
        <f>SUM(AP37:AP42)</f>
        <v>310</v>
      </c>
      <c r="AQ43" s="31" t="s">
        <v>266</v>
      </c>
    </row>
    <row r="44" spans="1:64">
      <c r="A44" t="s">
        <v>224</v>
      </c>
      <c r="D44">
        <v>53.26</v>
      </c>
      <c r="E44" t="s">
        <v>267</v>
      </c>
      <c r="F44">
        <v>53.21</v>
      </c>
      <c r="G44" t="s">
        <v>267</v>
      </c>
      <c r="H44">
        <v>94.8</v>
      </c>
      <c r="I44" t="s">
        <v>268</v>
      </c>
      <c r="J44">
        <v>70.05</v>
      </c>
      <c r="L44">
        <v>43.65</v>
      </c>
      <c r="N44">
        <v>52.7</v>
      </c>
      <c r="P44">
        <v>59</v>
      </c>
      <c r="R44">
        <v>53.15</v>
      </c>
      <c r="U44">
        <f>(1360+1340+4200+2700+1100+1400+1500+1200)/8</f>
        <v>1850</v>
      </c>
      <c r="AC44" s="36"/>
      <c r="AL44" s="31" t="s">
        <v>269</v>
      </c>
      <c r="AP44" s="31" t="s">
        <v>270</v>
      </c>
      <c r="AQ44" s="38"/>
    </row>
    <row r="45" spans="1:64">
      <c r="A45" t="s">
        <v>226</v>
      </c>
      <c r="AC45" s="36"/>
      <c r="AL45" s="91">
        <v>810</v>
      </c>
      <c r="AP45" s="91" t="s">
        <v>271</v>
      </c>
      <c r="AQ45" s="38"/>
    </row>
    <row r="46" spans="1:64">
      <c r="A46" t="s">
        <v>11</v>
      </c>
    </row>
    <row r="47" spans="1:64">
      <c r="A47" t="s">
        <v>228</v>
      </c>
      <c r="D47">
        <v>98.16</v>
      </c>
      <c r="E47" t="s">
        <v>267</v>
      </c>
      <c r="F47">
        <v>48.56</v>
      </c>
      <c r="H47">
        <v>81.599999999999994</v>
      </c>
      <c r="I47" t="s">
        <v>267</v>
      </c>
      <c r="J47">
        <v>81.599999999999994</v>
      </c>
      <c r="L47" s="39">
        <v>126.15</v>
      </c>
      <c r="M47" t="s">
        <v>272</v>
      </c>
      <c r="N47">
        <v>58.1</v>
      </c>
      <c r="P47">
        <v>98</v>
      </c>
      <c r="R47">
        <v>66.8</v>
      </c>
      <c r="U47">
        <f>(5500+1700+3400+3400+6100+1700+3500+1900)/8</f>
        <v>3400</v>
      </c>
    </row>
    <row r="48" spans="1:64" ht="15.75">
      <c r="A48" t="s">
        <v>229</v>
      </c>
      <c r="AC48" s="86" t="s">
        <v>273</v>
      </c>
    </row>
    <row r="49" spans="1:44">
      <c r="A49" t="s">
        <v>231</v>
      </c>
      <c r="AC49" s="92" t="s">
        <v>274</v>
      </c>
      <c r="AJ49" s="31" t="s">
        <v>275</v>
      </c>
    </row>
    <row r="50" spans="1:44">
      <c r="A50" t="s">
        <v>233</v>
      </c>
      <c r="B50">
        <v>192.06</v>
      </c>
      <c r="C50" t="s">
        <v>267</v>
      </c>
      <c r="D50" s="39">
        <v>312.06</v>
      </c>
      <c r="E50" t="s">
        <v>267</v>
      </c>
      <c r="F50">
        <v>157.06</v>
      </c>
      <c r="H50">
        <v>103.05</v>
      </c>
      <c r="J50">
        <v>147.6</v>
      </c>
      <c r="L50">
        <v>187.2</v>
      </c>
      <c r="M50" t="s">
        <v>272</v>
      </c>
      <c r="N50">
        <v>157.1</v>
      </c>
      <c r="P50">
        <v>314.45</v>
      </c>
      <c r="R50">
        <v>220.85</v>
      </c>
      <c r="U50">
        <f>(11700+17500+8700+4700+7400+9800+7200+14600+9800)/9</f>
        <v>10155.555555555555</v>
      </c>
      <c r="AC50" s="93" t="s">
        <v>276</v>
      </c>
    </row>
    <row r="51" spans="1:44">
      <c r="A51" t="s">
        <v>235</v>
      </c>
      <c r="E51" t="s">
        <v>230</v>
      </c>
      <c r="AC51" s="31" t="s">
        <v>277</v>
      </c>
      <c r="AD51" s="31">
        <v>2005</v>
      </c>
      <c r="AF51" s="31">
        <v>2006</v>
      </c>
      <c r="AH51" s="31">
        <v>2007</v>
      </c>
      <c r="AJ51" s="31">
        <v>2008</v>
      </c>
      <c r="AL51" s="31">
        <v>2009</v>
      </c>
      <c r="AN51" s="94">
        <v>2010</v>
      </c>
      <c r="AP51" s="31">
        <v>2011</v>
      </c>
      <c r="AQ51" s="31" t="s">
        <v>230</v>
      </c>
      <c r="AR51" s="31">
        <v>2012</v>
      </c>
    </row>
    <row r="52" spans="1:44">
      <c r="A52" t="s">
        <v>237</v>
      </c>
      <c r="AC52" s="31" t="s">
        <v>89</v>
      </c>
      <c r="AD52" s="31">
        <f>350*AD31+150</f>
        <v>806.34512115258678</v>
      </c>
      <c r="AE52" s="31">
        <f>350*AE31+150</f>
        <v>150</v>
      </c>
      <c r="AF52" s="31">
        <f>350*AF31+150</f>
        <v>818.06717698297473</v>
      </c>
      <c r="AG52" s="31">
        <f>350*AG31+150</f>
        <v>150</v>
      </c>
      <c r="AH52" s="31">
        <f>350*AH31+150</f>
        <v>855.10282381829336</v>
      </c>
      <c r="AJ52" s="31">
        <f>350*AJ31+150</f>
        <v>989.1117775983389</v>
      </c>
      <c r="AL52" s="31">
        <f>350*AL31+150</f>
        <v>1029.2274509803919</v>
      </c>
      <c r="AN52" s="94">
        <f>350*AN31+150</f>
        <v>988.46313951926948</v>
      </c>
      <c r="AP52" s="31">
        <f>350*AP31+150</f>
        <v>1096.5388265064053</v>
      </c>
      <c r="AR52" s="31">
        <f>350*AV31+150</f>
        <v>1519.4115654952075</v>
      </c>
    </row>
    <row r="53" spans="1:44">
      <c r="A53" t="s">
        <v>238</v>
      </c>
      <c r="B53">
        <v>181.11</v>
      </c>
      <c r="C53" t="s">
        <v>267</v>
      </c>
      <c r="D53">
        <v>191.16</v>
      </c>
      <c r="E53" t="s">
        <v>267</v>
      </c>
      <c r="F53">
        <v>190.25</v>
      </c>
      <c r="H53">
        <v>114.6</v>
      </c>
      <c r="J53" s="39">
        <v>312.60000000000002</v>
      </c>
      <c r="K53" t="s">
        <v>272</v>
      </c>
      <c r="L53">
        <v>94.8</v>
      </c>
      <c r="N53">
        <v>131.15</v>
      </c>
      <c r="P53">
        <v>264.85000000000002</v>
      </c>
      <c r="R53">
        <v>240.35</v>
      </c>
      <c r="U53">
        <f>(10900+11500+11500+5400+17400+4200+5200+11800+10800)/9</f>
        <v>9855.5555555555547</v>
      </c>
      <c r="AC53" s="31" t="s">
        <v>87</v>
      </c>
      <c r="AD53" s="31">
        <v>810</v>
      </c>
      <c r="AE53" s="31">
        <v>810</v>
      </c>
      <c r="AF53" s="31">
        <v>810</v>
      </c>
      <c r="AG53" s="31">
        <v>810</v>
      </c>
      <c r="AH53" s="31">
        <v>810</v>
      </c>
      <c r="AJ53" s="31">
        <v>810</v>
      </c>
      <c r="AL53" s="31">
        <v>810</v>
      </c>
      <c r="AN53" s="94">
        <v>810</v>
      </c>
      <c r="AP53" s="31">
        <v>810</v>
      </c>
      <c r="AR53" s="31">
        <v>810</v>
      </c>
    </row>
    <row r="54" spans="1:44">
      <c r="A54" s="30" t="s">
        <v>144</v>
      </c>
      <c r="B54" s="30">
        <f>SUM(B50:B53)</f>
        <v>373.17</v>
      </c>
      <c r="C54" s="30"/>
      <c r="D54" s="30">
        <f>SUM(D42:D53)</f>
        <v>654.64</v>
      </c>
      <c r="E54" s="30"/>
      <c r="F54" s="30">
        <f>SUM(F42:F53)</f>
        <v>449.08000000000004</v>
      </c>
      <c r="G54" s="30"/>
      <c r="H54" s="30">
        <f>SUM(H42:H53)</f>
        <v>394.04999999999995</v>
      </c>
      <c r="I54" s="30"/>
      <c r="J54" s="30">
        <f>SUM(J42:J53)</f>
        <v>611.85</v>
      </c>
      <c r="K54" s="30"/>
      <c r="L54" s="30">
        <f>SUM(L42:L53)</f>
        <v>451.8</v>
      </c>
      <c r="M54" s="30"/>
      <c r="N54" s="30">
        <f>SUM(N42:N53)</f>
        <v>399.04999999999995</v>
      </c>
      <c r="O54" s="30"/>
      <c r="P54" s="128">
        <f>SUM(P42:P53)</f>
        <v>736.3</v>
      </c>
      <c r="Q54" s="128"/>
      <c r="R54" s="128">
        <f>SUM(R42:R53)</f>
        <v>581.15</v>
      </c>
      <c r="S54" s="30"/>
      <c r="T54" s="30"/>
      <c r="U54" s="128">
        <f>SUM(U42:U53)</f>
        <v>25261.111111111109</v>
      </c>
      <c r="AC54" s="31" t="s">
        <v>144</v>
      </c>
      <c r="AD54" s="31">
        <f>SUM(AD52:AD53)</f>
        <v>1616.3451211525867</v>
      </c>
      <c r="AE54" s="31">
        <f>SUM(AE52:AE53)</f>
        <v>960</v>
      </c>
      <c r="AF54" s="31">
        <f>SUM(AF52:AF53)</f>
        <v>1628.0671769829746</v>
      </c>
      <c r="AG54" s="31">
        <f>SUM(AG52:AG53)</f>
        <v>960</v>
      </c>
      <c r="AH54" s="31">
        <f>SUM(AH52:AH53)</f>
        <v>1665.1028238182935</v>
      </c>
      <c r="AJ54" s="31">
        <f>SUM(AJ52:AJ53)</f>
        <v>1799.1117775983389</v>
      </c>
      <c r="AL54" s="31">
        <f>SUM(AL52:AL53)</f>
        <v>1839.2274509803919</v>
      </c>
      <c r="AN54" s="94">
        <f>SUM(AN52:AN53)</f>
        <v>1798.4631395192696</v>
      </c>
      <c r="AP54" s="31">
        <f>SUM(AP52:AP53)</f>
        <v>1906.5388265064053</v>
      </c>
      <c r="AR54" s="31">
        <f>SUM(AR52:AR53)</f>
        <v>2329.4115654952075</v>
      </c>
    </row>
    <row r="55" spans="1:44">
      <c r="A55" t="s">
        <v>278</v>
      </c>
      <c r="B55">
        <f>B54/10</f>
        <v>37.317</v>
      </c>
      <c r="D55">
        <f>D54/12</f>
        <v>54.553333333333335</v>
      </c>
      <c r="F55">
        <f>F54/12</f>
        <v>37.423333333333339</v>
      </c>
      <c r="H55">
        <f>H54/12</f>
        <v>32.837499999999999</v>
      </c>
      <c r="J55">
        <f>J54/12</f>
        <v>50.987500000000004</v>
      </c>
      <c r="L55">
        <f>L54/12</f>
        <v>37.65</v>
      </c>
      <c r="N55">
        <f>N54/12</f>
        <v>33.254166666666663</v>
      </c>
      <c r="P55">
        <f>P54/12</f>
        <v>61.358333333333327</v>
      </c>
      <c r="R55">
        <f>R54/12</f>
        <v>48.429166666666667</v>
      </c>
      <c r="AC55" s="31" t="s">
        <v>279</v>
      </c>
      <c r="AD55" s="31">
        <f>AD27-AD54</f>
        <v>-184.57512115258669</v>
      </c>
      <c r="AE55" s="31">
        <f>AE27-AE54</f>
        <v>-960</v>
      </c>
      <c r="AF55" s="31">
        <f>AF27-AF54</f>
        <v>-181.79717698297463</v>
      </c>
      <c r="AG55" s="31">
        <f>AG27-AG54</f>
        <v>-960</v>
      </c>
      <c r="AH55" s="31">
        <f>AH27-AH54</f>
        <v>303.94717618170671</v>
      </c>
      <c r="AJ55" s="31">
        <f>AJ27-AJ54</f>
        <v>279.24822240166122</v>
      </c>
      <c r="AL55" s="31">
        <f>AL27-AL54</f>
        <v>82.512549019607832</v>
      </c>
      <c r="AN55" s="94">
        <f>AN27-AN54</f>
        <v>-14.453139519269598</v>
      </c>
      <c r="AP55" s="31">
        <f>AT27-AP54</f>
        <v>138.25117349359471</v>
      </c>
    </row>
    <row r="56" spans="1:44">
      <c r="A56" t="s">
        <v>245</v>
      </c>
      <c r="B56">
        <f>11700+10900</f>
        <v>22600</v>
      </c>
      <c r="C56" t="s">
        <v>267</v>
      </c>
      <c r="D56">
        <f>1360+5500+17500+11500</f>
        <v>35860</v>
      </c>
      <c r="E56" t="s">
        <v>267</v>
      </c>
      <c r="F56">
        <f>1340+1700+8700+11500</f>
        <v>23240</v>
      </c>
      <c r="H56">
        <f>4200+3400+4700+5400</f>
        <v>17700</v>
      </c>
      <c r="J56">
        <f>2700+3400+7400+17400</f>
        <v>30900</v>
      </c>
      <c r="L56">
        <f>1100+6100+9800+4200</f>
        <v>21200</v>
      </c>
      <c r="N56">
        <f>1400+1700+7200+5200</f>
        <v>15500</v>
      </c>
      <c r="P56">
        <f>1500+3500+14600+11800</f>
        <v>31400</v>
      </c>
      <c r="R56">
        <f>1200+1900+9800+10800</f>
        <v>23700</v>
      </c>
      <c r="AC56" s="31" t="s">
        <v>280</v>
      </c>
      <c r="AD56" s="87" t="s">
        <v>281</v>
      </c>
      <c r="AE56" s="87"/>
      <c r="AF56" s="87" t="s">
        <v>281</v>
      </c>
      <c r="AG56" s="87"/>
      <c r="AH56" s="87" t="s">
        <v>282</v>
      </c>
      <c r="AI56" s="87"/>
      <c r="AJ56" s="87" t="s">
        <v>282</v>
      </c>
      <c r="AK56" s="87"/>
      <c r="AL56" s="87" t="s">
        <v>282</v>
      </c>
      <c r="AN56" s="95" t="s">
        <v>283</v>
      </c>
      <c r="AP56" s="87" t="s">
        <v>282</v>
      </c>
    </row>
    <row r="58" spans="1:44">
      <c r="AC58" s="31" t="s">
        <v>284</v>
      </c>
      <c r="AD58" s="31">
        <v>1431.77</v>
      </c>
      <c r="AF58" s="31">
        <v>1446.27</v>
      </c>
      <c r="AH58" s="31">
        <v>1969.0500000000002</v>
      </c>
      <c r="AJ58" s="31">
        <v>2078.36</v>
      </c>
      <c r="AL58" s="31">
        <v>1921.7399999999998</v>
      </c>
      <c r="AN58" s="94">
        <v>1784.01</v>
      </c>
      <c r="AP58" s="31">
        <v>2017.79</v>
      </c>
    </row>
    <row r="59" spans="1:44">
      <c r="AC59" s="31" t="s">
        <v>285</v>
      </c>
      <c r="AD59" s="31">
        <f>316.3+71.1+210+166.1</f>
        <v>763.5</v>
      </c>
      <c r="AF59" s="31">
        <f>122.1+142.7+118.3+52.4+85.2+128.8+108.2</f>
        <v>757.7</v>
      </c>
      <c r="AH59" s="31">
        <f>149.4+200.8+105.3+94.6+132.4+168.7+126.2</f>
        <v>977.40000000000009</v>
      </c>
      <c r="AJ59" s="31">
        <f>149.2+147.5+123.3+74.2+103+146.1+123.6</f>
        <v>866.90000000000009</v>
      </c>
      <c r="AL59" s="31">
        <f>165.5+132.6+90.8+39.3+109.3+127+100.5</f>
        <v>765</v>
      </c>
      <c r="AN59" s="94">
        <f>144.9+116.7+84+35.2+99.9+126.1+137.9</f>
        <v>744.7</v>
      </c>
      <c r="AP59" s="31">
        <f>141.1+130.2+85.2+41+74+92.3+68.5</f>
        <v>632.29999999999995</v>
      </c>
    </row>
    <row r="60" spans="1:44">
      <c r="AC60" s="31" t="s">
        <v>286</v>
      </c>
      <c r="AD60" s="31">
        <v>1.8752717747216765</v>
      </c>
      <c r="AF60" s="31">
        <v>1.9087633628084992</v>
      </c>
      <c r="AH60" s="31">
        <v>2.0145794966236954</v>
      </c>
      <c r="AJ60" s="31">
        <v>2.3974622217095396</v>
      </c>
      <c r="AL60" s="31">
        <v>2.5120784313725486</v>
      </c>
      <c r="AN60" s="94">
        <v>2.3956089700550556</v>
      </c>
      <c r="AP60" s="31">
        <v>2.704396647161158</v>
      </c>
      <c r="AR60" s="31">
        <f>AV31</f>
        <v>3.9126044728434501</v>
      </c>
    </row>
    <row r="62" spans="1:44">
      <c r="AC62" s="93" t="s">
        <v>287</v>
      </c>
    </row>
    <row r="63" spans="1:44">
      <c r="AC63" s="31" t="s">
        <v>277</v>
      </c>
      <c r="AD63" s="31">
        <v>2005</v>
      </c>
      <c r="AF63" s="31">
        <v>2006</v>
      </c>
      <c r="AH63" s="31">
        <v>2007</v>
      </c>
      <c r="AJ63" s="31">
        <v>2008</v>
      </c>
      <c r="AL63" s="31">
        <v>2009</v>
      </c>
      <c r="AN63" s="31">
        <v>2010</v>
      </c>
      <c r="AP63" s="31">
        <v>2011</v>
      </c>
      <c r="AR63" s="31">
        <v>2012</v>
      </c>
    </row>
    <row r="64" spans="1:44">
      <c r="AC64" s="31" t="s">
        <v>288</v>
      </c>
      <c r="AD64" s="31">
        <f>806*AD60</f>
        <v>1511.4690504256712</v>
      </c>
      <c r="AE64" s="31">
        <f>806*AE60</f>
        <v>0</v>
      </c>
      <c r="AF64" s="31">
        <f>806*AF60</f>
        <v>1538.4632704236503</v>
      </c>
      <c r="AG64" s="31">
        <f>806*AG60</f>
        <v>0</v>
      </c>
      <c r="AH64" s="31">
        <f>806*AH60</f>
        <v>1623.7510742786985</v>
      </c>
      <c r="AJ64" s="31">
        <f>806*AJ60</f>
        <v>1932.354550697889</v>
      </c>
      <c r="AL64" s="31">
        <f>806*AL60</f>
        <v>2024.7352156862742</v>
      </c>
      <c r="AN64" s="31">
        <f>806*AN60</f>
        <v>1930.8608298643749</v>
      </c>
      <c r="AP64" s="31">
        <f>806*AP60</f>
        <v>2179.7436976118934</v>
      </c>
      <c r="AR64" s="31">
        <f>806*AR60</f>
        <v>3153.559205111821</v>
      </c>
    </row>
    <row r="65" spans="29:44">
      <c r="AC65" s="31" t="s">
        <v>279</v>
      </c>
      <c r="AD65" s="31">
        <f>AD64-AD54</f>
        <v>-104.87607072691549</v>
      </c>
      <c r="AE65" s="31">
        <f>AE64-AE54</f>
        <v>-960</v>
      </c>
      <c r="AF65" s="31">
        <f>AF64-AF54</f>
        <v>-89.603906559324287</v>
      </c>
      <c r="AG65" s="31">
        <f>AG64-AG54</f>
        <v>-960</v>
      </c>
      <c r="AH65" s="31">
        <f>AH64-AH54</f>
        <v>-41.351749539594948</v>
      </c>
      <c r="AJ65" s="31">
        <f>AJ64-AJ54</f>
        <v>133.24277309955005</v>
      </c>
      <c r="AL65" s="31">
        <f>AL64-AL54</f>
        <v>185.50776470588221</v>
      </c>
      <c r="AN65" s="31">
        <f>AN64-AN54</f>
        <v>132.39769034510527</v>
      </c>
      <c r="AP65" s="31">
        <f>AP64-AP54</f>
        <v>273.20487110548811</v>
      </c>
      <c r="AR65" s="31">
        <f>AR64-AR54</f>
        <v>824.14763961661356</v>
      </c>
    </row>
    <row r="66" spans="29:44">
      <c r="AC66" s="31" t="s">
        <v>280</v>
      </c>
      <c r="AD66" s="87" t="s">
        <v>281</v>
      </c>
      <c r="AE66" s="87"/>
      <c r="AF66" s="87" t="s">
        <v>281</v>
      </c>
      <c r="AG66" s="87"/>
      <c r="AH66" s="95" t="s">
        <v>283</v>
      </c>
      <c r="AI66" s="87"/>
      <c r="AJ66" s="87" t="s">
        <v>282</v>
      </c>
      <c r="AK66" s="87"/>
      <c r="AL66" s="87" t="s">
        <v>282</v>
      </c>
      <c r="AM66" s="87"/>
      <c r="AN66" s="87" t="s">
        <v>282</v>
      </c>
      <c r="AO66" s="87"/>
      <c r="AP66" s="87" t="s">
        <v>282</v>
      </c>
    </row>
    <row r="67" spans="29:44">
      <c r="AC67" s="31" t="s">
        <v>286</v>
      </c>
      <c r="AD67" s="31">
        <v>1.8752717747216765</v>
      </c>
      <c r="AF67" s="31">
        <v>1.9087633628084992</v>
      </c>
      <c r="AH67" s="94">
        <v>2.0145794966236954</v>
      </c>
      <c r="AJ67" s="31">
        <v>2.3974622217095396</v>
      </c>
      <c r="AL67" s="31">
        <v>2.5120784313725486</v>
      </c>
      <c r="AN67" s="31">
        <v>2.3956089700550556</v>
      </c>
      <c r="AP67" s="31">
        <v>2.704396647161158</v>
      </c>
      <c r="AR67" s="31">
        <v>3.2990262901655307</v>
      </c>
    </row>
    <row r="70" spans="29:44">
      <c r="AC70" s="92" t="s">
        <v>289</v>
      </c>
      <c r="AJ70" s="31" t="s">
        <v>275</v>
      </c>
    </row>
    <row r="71" spans="29:44">
      <c r="AC71" s="93" t="s">
        <v>276</v>
      </c>
    </row>
    <row r="72" spans="29:44">
      <c r="AC72" s="31" t="s">
        <v>277</v>
      </c>
      <c r="AD72" s="31">
        <v>2005</v>
      </c>
      <c r="AF72" s="31">
        <v>2006</v>
      </c>
      <c r="AH72" s="31">
        <v>2007</v>
      </c>
      <c r="AJ72" s="31">
        <v>2008</v>
      </c>
      <c r="AL72" s="31">
        <v>2009</v>
      </c>
      <c r="AN72" s="94">
        <v>2010</v>
      </c>
      <c r="AP72" s="31">
        <v>2011</v>
      </c>
      <c r="AQ72" s="31" t="s">
        <v>230</v>
      </c>
      <c r="AR72" s="31">
        <v>2012</v>
      </c>
    </row>
    <row r="73" spans="29:44">
      <c r="AC73" s="31" t="s">
        <v>89</v>
      </c>
      <c r="AD73" s="31">
        <f>350*AD30+150</f>
        <v>807.65</v>
      </c>
      <c r="AE73" s="31">
        <f>350*AE30+150</f>
        <v>150</v>
      </c>
      <c r="AF73" s="31">
        <f>350*AF30+150</f>
        <v>832.15</v>
      </c>
      <c r="AG73" s="31">
        <f>350*AG30+150</f>
        <v>150</v>
      </c>
      <c r="AH73" s="31">
        <f>350*AH30+150</f>
        <v>884.65000000000009</v>
      </c>
      <c r="AJ73" s="31">
        <f>350*AJ30+150</f>
        <v>1101.6500000000001</v>
      </c>
      <c r="AL73" s="31">
        <f>350*AL30+150</f>
        <v>937.15000000000009</v>
      </c>
      <c r="AN73" s="94">
        <f>350*AN30+150</f>
        <v>1042.1500000000001</v>
      </c>
      <c r="AP73" s="31">
        <f>350*AP30+150</f>
        <v>1199.6500000000001</v>
      </c>
      <c r="AR73" s="31">
        <f>350*AV30+150</f>
        <v>1374.65</v>
      </c>
    </row>
    <row r="74" spans="29:44">
      <c r="AC74" s="31" t="s">
        <v>87</v>
      </c>
      <c r="AD74" s="31">
        <v>810</v>
      </c>
      <c r="AE74" s="31">
        <v>810</v>
      </c>
      <c r="AF74" s="31">
        <v>810</v>
      </c>
      <c r="AG74" s="31">
        <v>810</v>
      </c>
      <c r="AH74" s="31">
        <v>810</v>
      </c>
      <c r="AJ74" s="31">
        <v>810</v>
      </c>
      <c r="AL74" s="31">
        <v>810</v>
      </c>
      <c r="AN74" s="94">
        <v>810</v>
      </c>
      <c r="AP74" s="31">
        <v>810</v>
      </c>
      <c r="AR74" s="31">
        <v>810</v>
      </c>
    </row>
    <row r="75" spans="29:44">
      <c r="AC75" s="31" t="s">
        <v>144</v>
      </c>
      <c r="AD75" s="31">
        <f>SUM(AD73:AD74)</f>
        <v>1617.65</v>
      </c>
      <c r="AE75" s="31">
        <f>SUM(AE73:AE74)</f>
        <v>960</v>
      </c>
      <c r="AF75" s="31">
        <f>SUM(AF73:AF74)</f>
        <v>1642.15</v>
      </c>
      <c r="AG75" s="31">
        <f>SUM(AG73:AG74)</f>
        <v>960</v>
      </c>
      <c r="AH75" s="31">
        <f>SUM(AH73:AH74)</f>
        <v>1694.65</v>
      </c>
      <c r="AJ75" s="31">
        <f>SUM(AJ73:AJ74)</f>
        <v>1911.65</v>
      </c>
      <c r="AL75" s="31">
        <f>SUM(AL73:AL74)</f>
        <v>1747.15</v>
      </c>
      <c r="AN75" s="94">
        <f>SUM(AN73:AN74)</f>
        <v>1852.15</v>
      </c>
      <c r="AP75" s="31">
        <f>SUM(AP73:AP74)</f>
        <v>2009.65</v>
      </c>
      <c r="AR75" s="31">
        <f>SUM(AR73:AR74)</f>
        <v>2184.65</v>
      </c>
    </row>
    <row r="76" spans="29:44">
      <c r="AC76" s="31" t="s">
        <v>279</v>
      </c>
      <c r="AD76" s="31">
        <f>AD79-AD75</f>
        <v>-185.88000000000011</v>
      </c>
      <c r="AE76" s="31">
        <f>AE27-AE75</f>
        <v>-960</v>
      </c>
      <c r="AF76" s="31">
        <f>AF79-AF75</f>
        <v>-195.88000000000011</v>
      </c>
      <c r="AG76" s="31">
        <f>AG27-AG75</f>
        <v>-960</v>
      </c>
      <c r="AH76" s="31">
        <f>AH79-AH75</f>
        <v>274.40000000000009</v>
      </c>
      <c r="AJ76" s="31">
        <f>AJ79-AJ75</f>
        <v>166.71000000000004</v>
      </c>
      <c r="AL76" s="31">
        <f>AL79-AL75</f>
        <v>174.58999999999969</v>
      </c>
      <c r="AN76" s="31">
        <f>AN79-AN75</f>
        <v>-68.1400000000001</v>
      </c>
      <c r="AP76" s="31">
        <f>AP79-AP75</f>
        <v>8.1399999999998727</v>
      </c>
      <c r="AR76" s="31">
        <f>AR79-AR75</f>
        <v>-2184.65</v>
      </c>
    </row>
    <row r="77" spans="29:44">
      <c r="AC77" s="31" t="s">
        <v>280</v>
      </c>
      <c r="AD77" s="87" t="s">
        <v>281</v>
      </c>
      <c r="AE77" s="87"/>
      <c r="AF77" s="87" t="s">
        <v>281</v>
      </c>
      <c r="AG77" s="87"/>
      <c r="AH77" s="87" t="s">
        <v>282</v>
      </c>
      <c r="AI77" s="87"/>
      <c r="AJ77" s="87" t="s">
        <v>281</v>
      </c>
      <c r="AK77" s="87"/>
      <c r="AL77" s="87" t="s">
        <v>282</v>
      </c>
      <c r="AM77" s="87"/>
      <c r="AN77" s="95" t="s">
        <v>283</v>
      </c>
      <c r="AO77" s="87"/>
      <c r="AP77" s="87" t="s">
        <v>282</v>
      </c>
    </row>
    <row r="79" spans="29:44">
      <c r="AC79" s="31" t="s">
        <v>284</v>
      </c>
      <c r="AD79" s="31">
        <v>1431.77</v>
      </c>
      <c r="AF79" s="31">
        <v>1446.27</v>
      </c>
      <c r="AH79" s="31">
        <v>1969.0500000000002</v>
      </c>
      <c r="AJ79" s="31">
        <v>2078.36</v>
      </c>
      <c r="AL79" s="31">
        <v>1921.7399999999998</v>
      </c>
      <c r="AN79" s="94">
        <v>1784.01</v>
      </c>
      <c r="AP79" s="31">
        <v>2017.79</v>
      </c>
      <c r="AR79" s="31">
        <v>0</v>
      </c>
    </row>
    <row r="80" spans="29:44">
      <c r="AC80" s="31" t="s">
        <v>285</v>
      </c>
      <c r="AD80" s="31">
        <f>316.3+71.1+210+166.1</f>
        <v>763.5</v>
      </c>
      <c r="AF80" s="31">
        <f>122.1+142.7+118.3+52.4+85.2+128.8+108.2</f>
        <v>757.7</v>
      </c>
      <c r="AH80" s="31">
        <f>149.4+200.8+105.3+94.6+132.4+168.7+126.2</f>
        <v>977.40000000000009</v>
      </c>
      <c r="AJ80" s="31">
        <f>149.2+147.5+123.3+74.2+103+146.1+123.6</f>
        <v>866.90000000000009</v>
      </c>
      <c r="AL80" s="31">
        <f>165.5+132.6+90.8+39.3+109.3+127+100.5</f>
        <v>765</v>
      </c>
      <c r="AN80" s="94">
        <f>144.9+116.7+84+35.2+99.9+126.1+137.9</f>
        <v>744.7</v>
      </c>
      <c r="AP80" s="31">
        <f>141.1+130.2+85.2+41+74+92.3+68.5</f>
        <v>632.29999999999995</v>
      </c>
    </row>
    <row r="81" spans="29:44">
      <c r="AC81" s="31" t="s">
        <v>290</v>
      </c>
      <c r="AD81" s="31">
        <v>1.879</v>
      </c>
      <c r="AF81" s="31">
        <v>1.9490000000000001</v>
      </c>
      <c r="AH81" s="31">
        <v>2.0990000000000002</v>
      </c>
      <c r="AJ81" s="31">
        <v>2.7189999999999999</v>
      </c>
      <c r="AL81" s="31">
        <v>2.2490000000000001</v>
      </c>
      <c r="AN81" s="94">
        <v>2.5489999999999999</v>
      </c>
      <c r="AP81" s="31">
        <v>2.9990000000000001</v>
      </c>
      <c r="AR81" s="31">
        <v>3.4998999999999998</v>
      </c>
    </row>
    <row r="83" spans="29:44">
      <c r="AC83" s="93" t="s">
        <v>287</v>
      </c>
    </row>
    <row r="84" spans="29:44">
      <c r="AC84" s="31" t="s">
        <v>277</v>
      </c>
      <c r="AD84" s="31">
        <v>2005</v>
      </c>
      <c r="AF84" s="31">
        <v>2006</v>
      </c>
      <c r="AH84" s="31">
        <v>2007</v>
      </c>
      <c r="AJ84" s="31">
        <v>2008</v>
      </c>
      <c r="AL84" s="31">
        <v>2009</v>
      </c>
      <c r="AN84" s="31">
        <v>2010</v>
      </c>
      <c r="AP84" s="31">
        <v>2011</v>
      </c>
      <c r="AR84" s="31">
        <v>2012</v>
      </c>
    </row>
    <row r="85" spans="29:44">
      <c r="AC85" s="31" t="s">
        <v>288</v>
      </c>
      <c r="AD85" s="31">
        <f>806*AD81</f>
        <v>1514.4739999999999</v>
      </c>
      <c r="AE85" s="31">
        <f>806*AE81</f>
        <v>0</v>
      </c>
      <c r="AF85" s="31">
        <f>806*AF81</f>
        <v>1570.894</v>
      </c>
      <c r="AG85" s="31">
        <f>806*AG81</f>
        <v>0</v>
      </c>
      <c r="AH85" s="31">
        <f>806*AH81</f>
        <v>1691.7940000000001</v>
      </c>
      <c r="AJ85" s="31">
        <f>806*AJ81</f>
        <v>2191.5139999999997</v>
      </c>
      <c r="AL85" s="31">
        <f>806*AL81</f>
        <v>1812.6940000000002</v>
      </c>
      <c r="AN85" s="31">
        <f>806*AN81</f>
        <v>2054.4940000000001</v>
      </c>
      <c r="AP85" s="31">
        <f>806*AP81</f>
        <v>2417.194</v>
      </c>
      <c r="AR85" s="31">
        <f>806*AR81</f>
        <v>2820.9193999999998</v>
      </c>
    </row>
    <row r="86" spans="29:44">
      <c r="AC86" s="31" t="s">
        <v>279</v>
      </c>
      <c r="AD86" s="31">
        <f>AD85-AD75</f>
        <v>-103.17600000000016</v>
      </c>
      <c r="AE86" s="31">
        <f>AE85-AE75</f>
        <v>-960</v>
      </c>
      <c r="AF86" s="31">
        <f>AF85-AF75</f>
        <v>-71.256000000000085</v>
      </c>
      <c r="AG86" s="31">
        <f>AG85-AG75</f>
        <v>-960</v>
      </c>
      <c r="AH86" s="31">
        <f>AH85-AH75</f>
        <v>-2.8559999999999945</v>
      </c>
      <c r="AJ86" s="31">
        <f>AJ85-AJ75</f>
        <v>279.86399999999958</v>
      </c>
      <c r="AL86" s="31">
        <f>AL85-AL75</f>
        <v>65.544000000000096</v>
      </c>
      <c r="AN86" s="31">
        <f>AN85-AN75</f>
        <v>202.34400000000005</v>
      </c>
      <c r="AP86" s="31">
        <f>AP85-AP75</f>
        <v>407.54399999999987</v>
      </c>
      <c r="AR86" s="31">
        <f>AR85-AR75</f>
        <v>636.26939999999968</v>
      </c>
    </row>
    <row r="87" spans="29:44">
      <c r="AC87" s="31" t="s">
        <v>280</v>
      </c>
      <c r="AD87" s="87" t="s">
        <v>281</v>
      </c>
      <c r="AE87" s="87"/>
      <c r="AF87" s="87" t="s">
        <v>281</v>
      </c>
      <c r="AG87" s="87"/>
      <c r="AH87" s="95" t="s">
        <v>283</v>
      </c>
      <c r="AI87" s="87"/>
      <c r="AJ87" s="87" t="s">
        <v>282</v>
      </c>
      <c r="AK87" s="87"/>
      <c r="AL87" s="87" t="s">
        <v>282</v>
      </c>
      <c r="AM87" s="87"/>
      <c r="AN87" s="87" t="s">
        <v>282</v>
      </c>
      <c r="AO87" s="87"/>
      <c r="AP87" s="87" t="s">
        <v>282</v>
      </c>
      <c r="AR87" s="87" t="s">
        <v>282</v>
      </c>
    </row>
    <row r="88" spans="29:44">
      <c r="AC88" s="31" t="s">
        <v>290</v>
      </c>
      <c r="AD88" s="31">
        <v>1.879</v>
      </c>
      <c r="AF88" s="31">
        <v>1.9490000000000001</v>
      </c>
      <c r="AH88" s="94">
        <v>2.0990000000000002</v>
      </c>
      <c r="AJ88" s="31">
        <v>2.7189999999999999</v>
      </c>
      <c r="AL88" s="31">
        <v>2.2490000000000001</v>
      </c>
      <c r="AN88" s="31">
        <v>2.5489999999999999</v>
      </c>
      <c r="AP88" s="31">
        <v>2.9990000000000001</v>
      </c>
      <c r="AR88" s="31">
        <v>3.5998999999999999</v>
      </c>
    </row>
    <row r="91" spans="29:44" ht="15.75">
      <c r="AC91" s="33" t="s">
        <v>291</v>
      </c>
    </row>
    <row r="92" spans="29:44" ht="15.75">
      <c r="AC92" s="33" t="s">
        <v>292</v>
      </c>
    </row>
    <row r="93" spans="29:44" ht="15.75">
      <c r="AC93" s="33" t="s">
        <v>293</v>
      </c>
    </row>
    <row r="96" spans="29:44" ht="16.5" thickBot="1">
      <c r="AC96" s="86" t="s">
        <v>294</v>
      </c>
    </row>
    <row r="97" spans="29:61" ht="13.5" thickBot="1">
      <c r="AC97" s="36" t="s">
        <v>295</v>
      </c>
      <c r="AN97" s="130">
        <v>806</v>
      </c>
      <c r="AO97" s="31" t="s">
        <v>296</v>
      </c>
    </row>
    <row r="98" spans="29:61">
      <c r="AC98" s="31" t="s">
        <v>297</v>
      </c>
    </row>
    <row r="99" spans="29:61">
      <c r="AC99" s="31" t="s">
        <v>298</v>
      </c>
    </row>
    <row r="102" spans="29:61">
      <c r="AD102" s="46"/>
      <c r="AE102" s="46"/>
      <c r="AF102" s="96" t="s">
        <v>299</v>
      </c>
      <c r="AG102" s="46"/>
      <c r="AH102" s="46"/>
      <c r="AI102" s="46"/>
      <c r="AJ102" s="46"/>
      <c r="AK102" s="46"/>
      <c r="AL102" s="46"/>
      <c r="AR102" s="46"/>
      <c r="AS102" s="46"/>
      <c r="AT102" s="96" t="s">
        <v>300</v>
      </c>
      <c r="AU102" s="46"/>
      <c r="AV102" s="46"/>
      <c r="AW102" s="46"/>
      <c r="AX102" s="46"/>
      <c r="AY102" s="46"/>
      <c r="AZ102" s="46"/>
    </row>
    <row r="103" spans="29:61">
      <c r="AC103" s="36"/>
      <c r="AD103" s="97" t="s">
        <v>277</v>
      </c>
      <c r="AE103" s="46"/>
      <c r="AF103" s="98" t="s">
        <v>301</v>
      </c>
      <c r="AG103" s="46"/>
      <c r="AH103" s="98" t="s">
        <v>302</v>
      </c>
      <c r="AI103" s="46"/>
      <c r="AJ103" s="99" t="s">
        <v>303</v>
      </c>
      <c r="AK103" s="46"/>
      <c r="AL103" s="96" t="s">
        <v>279</v>
      </c>
      <c r="AN103" s="31" t="s">
        <v>304</v>
      </c>
      <c r="AR103" s="97" t="s">
        <v>305</v>
      </c>
      <c r="AS103" s="46"/>
      <c r="AT103" s="97" t="s">
        <v>301</v>
      </c>
      <c r="AU103" s="46"/>
      <c r="AV103" s="98" t="s">
        <v>306</v>
      </c>
      <c r="AW103" s="46"/>
      <c r="AX103" s="97" t="s">
        <v>303</v>
      </c>
      <c r="AY103" s="46"/>
      <c r="AZ103" s="97" t="s">
        <v>307</v>
      </c>
      <c r="BB103" s="31" t="s">
        <v>304</v>
      </c>
      <c r="BI103" s="100" t="s">
        <v>304</v>
      </c>
    </row>
    <row r="104" spans="29:61">
      <c r="AC104" s="36"/>
      <c r="AD104" s="98"/>
      <c r="AE104" s="101"/>
      <c r="AF104" s="98"/>
      <c r="AG104" s="46"/>
      <c r="AH104" s="102"/>
      <c r="AI104" s="46"/>
      <c r="AJ104" s="46"/>
      <c r="AK104" s="46"/>
      <c r="AL104" s="46"/>
      <c r="AR104" s="46"/>
      <c r="AS104" s="46"/>
      <c r="AT104" s="46"/>
      <c r="AU104" s="46"/>
      <c r="AV104" s="46"/>
      <c r="AW104" s="46"/>
      <c r="AX104" s="46"/>
      <c r="AY104" s="46"/>
      <c r="AZ104" s="46"/>
    </row>
    <row r="105" spans="29:61">
      <c r="AC105" s="36"/>
      <c r="AD105" s="46"/>
      <c r="AE105" s="46"/>
      <c r="AF105" s="46"/>
      <c r="AG105" s="46"/>
      <c r="AH105" s="46"/>
      <c r="AI105" s="46"/>
      <c r="AJ105" s="46"/>
      <c r="AK105" s="46"/>
      <c r="AL105" s="46"/>
      <c r="AN105" s="103"/>
      <c r="AR105" s="46"/>
      <c r="AS105" s="46"/>
      <c r="AT105" s="46"/>
      <c r="AU105" s="46"/>
      <c r="AV105" s="46"/>
      <c r="AW105" s="46"/>
      <c r="AX105" s="46"/>
      <c r="AY105" s="46"/>
      <c r="AZ105" s="46"/>
      <c r="BI105" s="104">
        <f>BI106+AZ105</f>
        <v>1301.2606050493021</v>
      </c>
    </row>
    <row r="106" spans="29:61">
      <c r="AC106" s="36"/>
      <c r="AD106" s="46">
        <v>2013</v>
      </c>
      <c r="AE106" s="46"/>
      <c r="AF106" s="317">
        <v>3.1989999999999998</v>
      </c>
      <c r="AG106" s="46"/>
      <c r="AH106" s="102">
        <f>$AN$97*AF106</f>
        <v>2578.3939999999998</v>
      </c>
      <c r="AI106" s="46"/>
      <c r="AJ106" s="46">
        <f>BF27</f>
        <v>2264.1540999999997</v>
      </c>
      <c r="AK106" s="46"/>
      <c r="AL106" s="102">
        <f>AH106-AJ106</f>
        <v>314.23990000000003</v>
      </c>
      <c r="AN106" s="103">
        <f>AN107+AL106</f>
        <v>1488.9727</v>
      </c>
      <c r="AR106" s="46">
        <v>2013</v>
      </c>
      <c r="AS106" s="46"/>
      <c r="AT106" s="46">
        <f>(BB27-150)/BB29</f>
        <v>3.3263386887794768</v>
      </c>
      <c r="AU106" s="46"/>
      <c r="AV106" s="106">
        <f>$AN$97*AT106</f>
        <v>2681.0289831562582</v>
      </c>
      <c r="AW106" s="46"/>
      <c r="AX106" s="46">
        <f>BF27</f>
        <v>2264.1540999999997</v>
      </c>
      <c r="AY106" s="46"/>
      <c r="AZ106" s="106">
        <f>AV106-AX106</f>
        <v>416.87488315625842</v>
      </c>
      <c r="BB106" s="104">
        <f>AZ107+AZ106</f>
        <v>1166.3069074374087</v>
      </c>
      <c r="BI106" s="104">
        <f>BI107+AZ106</f>
        <v>1301.2606050493021</v>
      </c>
    </row>
    <row r="107" spans="29:61">
      <c r="AC107" s="36"/>
      <c r="AD107" s="46">
        <v>2012</v>
      </c>
      <c r="AE107" s="101"/>
      <c r="AF107" s="105">
        <v>3.4990000000000001</v>
      </c>
      <c r="AG107" s="46"/>
      <c r="AH107" s="102">
        <f>$AN$97*AF107</f>
        <v>2820.194</v>
      </c>
      <c r="AI107" s="46"/>
      <c r="AJ107" s="46">
        <f>AZ27</f>
        <v>2017.8652</v>
      </c>
      <c r="AK107" s="46"/>
      <c r="AL107" s="102">
        <f>AH107-AJ107</f>
        <v>802.3288</v>
      </c>
      <c r="AN107" s="103">
        <f>AN108+AL107</f>
        <v>1174.7328</v>
      </c>
      <c r="AR107" s="46">
        <v>2012</v>
      </c>
      <c r="AS107" s="46"/>
      <c r="AT107" s="46">
        <f>(AV27-150)/AV29</f>
        <v>3.4333712460063897</v>
      </c>
      <c r="AU107" s="46"/>
      <c r="AV107" s="106">
        <f>$AN$97*AT107</f>
        <v>2767.2972242811502</v>
      </c>
      <c r="AW107" s="46"/>
      <c r="AX107" s="46">
        <f>AZ27</f>
        <v>2017.8652</v>
      </c>
      <c r="AY107" s="46"/>
      <c r="AZ107" s="106">
        <f>AV107-AX107</f>
        <v>749.43202428115023</v>
      </c>
      <c r="BB107" s="104">
        <f>AZ108+AZ107</f>
        <v>884.38572189304364</v>
      </c>
      <c r="BI107" s="104">
        <f>BI108+AZ107</f>
        <v>884.38572189304364</v>
      </c>
    </row>
    <row r="108" spans="29:61">
      <c r="AC108" s="36"/>
      <c r="AD108" s="46">
        <v>2011</v>
      </c>
      <c r="AE108" s="46"/>
      <c r="AF108" s="105">
        <v>2.9990000000000001</v>
      </c>
      <c r="AG108" s="46"/>
      <c r="AH108" s="102">
        <f>$AN$97*AF108</f>
        <v>2417.194</v>
      </c>
      <c r="AI108" s="46"/>
      <c r="AJ108" s="46">
        <f>AT27</f>
        <v>2044.79</v>
      </c>
      <c r="AK108" s="46"/>
      <c r="AL108" s="102">
        <f>AH108-AJ108</f>
        <v>372.404</v>
      </c>
      <c r="AN108" s="107">
        <f>AL108</f>
        <v>372.404</v>
      </c>
      <c r="AR108" s="46">
        <v>2011</v>
      </c>
      <c r="AS108" s="46"/>
      <c r="AT108" s="46">
        <f>AP31</f>
        <v>2.704396647161158</v>
      </c>
      <c r="AU108" s="46"/>
      <c r="AV108" s="106">
        <f>$AN$97*AT108</f>
        <v>2179.7436976118934</v>
      </c>
      <c r="AW108" s="46"/>
      <c r="AX108" s="46">
        <f>AT27</f>
        <v>2044.79</v>
      </c>
      <c r="AY108" s="46"/>
      <c r="AZ108" s="106">
        <f>AV108-AX108</f>
        <v>134.9536976118934</v>
      </c>
      <c r="BB108" s="104">
        <f>AZ108</f>
        <v>134.9536976118934</v>
      </c>
      <c r="BI108" s="104">
        <f>AZ108</f>
        <v>134.9536976118934</v>
      </c>
    </row>
    <row r="109" spans="29:61">
      <c r="AC109" s="36"/>
    </row>
    <row r="112" spans="29:61" ht="15.75">
      <c r="AC112" s="86" t="s">
        <v>308</v>
      </c>
    </row>
    <row r="113" spans="29:51">
      <c r="AC113" s="108" t="s">
        <v>277</v>
      </c>
      <c r="AD113" s="31" t="s">
        <v>309</v>
      </c>
      <c r="AF113" s="31" t="s">
        <v>301</v>
      </c>
      <c r="AH113" s="31" t="s">
        <v>310</v>
      </c>
      <c r="AJ113" s="31" t="s">
        <v>144</v>
      </c>
      <c r="AL113" s="31" t="s">
        <v>311</v>
      </c>
      <c r="AT113" s="31" t="s">
        <v>312</v>
      </c>
      <c r="AV113" s="31" t="s">
        <v>313</v>
      </c>
      <c r="AX113" s="31" t="s">
        <v>591</v>
      </c>
    </row>
    <row r="114" spans="29:51">
      <c r="AC114" s="31">
        <v>2011</v>
      </c>
      <c r="AD114" s="31">
        <v>4</v>
      </c>
      <c r="AF114" s="31">
        <v>259.99</v>
      </c>
      <c r="AH114" s="31">
        <v>40</v>
      </c>
      <c r="AJ114" s="31">
        <f>AD114*AF114+AH114</f>
        <v>1079.96</v>
      </c>
      <c r="AL114" s="31">
        <f>AJ114/(AD114*50)</f>
        <v>5.3997999999999999</v>
      </c>
      <c r="AN114" s="31" t="s">
        <v>314</v>
      </c>
      <c r="AT114" s="31">
        <v>155</v>
      </c>
      <c r="AV114" s="31">
        <f>AL114*AT114</f>
        <v>836.96899999999994</v>
      </c>
      <c r="AX114" s="31">
        <v>45</v>
      </c>
    </row>
    <row r="115" spans="29:51">
      <c r="AC115" s="31">
        <v>2012</v>
      </c>
      <c r="AD115" s="31">
        <v>2</v>
      </c>
      <c r="AF115" s="31">
        <v>249.99</v>
      </c>
      <c r="AH115" s="31">
        <v>30</v>
      </c>
      <c r="AJ115" s="31">
        <f>AD115*AF115+AH115</f>
        <v>529.98</v>
      </c>
      <c r="AL115" s="31">
        <f>AJ115/(AD115*55)</f>
        <v>4.8180000000000005</v>
      </c>
      <c r="AN115" s="31" t="s">
        <v>315</v>
      </c>
      <c r="AT115" s="31">
        <f>45+110</f>
        <v>155</v>
      </c>
      <c r="AV115" s="31">
        <f>45*AL114+100*AL115</f>
        <v>724.79100000000005</v>
      </c>
      <c r="AX115" s="31">
        <v>0</v>
      </c>
      <c r="AY115" s="31" t="s">
        <v>588</v>
      </c>
    </row>
    <row r="116" spans="29:51">
      <c r="AC116" s="248" t="s">
        <v>580</v>
      </c>
      <c r="AJ116" s="31">
        <v>56</v>
      </c>
      <c r="AL116" s="31">
        <v>5.6</v>
      </c>
      <c r="AN116" s="31" t="s">
        <v>315</v>
      </c>
      <c r="AT116" s="31">
        <v>10</v>
      </c>
      <c r="AV116" s="31">
        <v>56</v>
      </c>
    </row>
    <row r="117" spans="29:51">
      <c r="AC117" s="31" t="s">
        <v>592</v>
      </c>
      <c r="AJ117" s="31">
        <v>54</v>
      </c>
      <c r="AL117" s="31">
        <v>5.4</v>
      </c>
      <c r="AN117" s="31" t="s">
        <v>587</v>
      </c>
      <c r="AT117" s="31">
        <v>10</v>
      </c>
      <c r="AV117" s="31">
        <v>54</v>
      </c>
    </row>
    <row r="118" spans="29:51">
      <c r="AJ118" s="31">
        <v>112</v>
      </c>
      <c r="AL118" s="31">
        <v>5.6</v>
      </c>
      <c r="AN118" s="31" t="s">
        <v>606</v>
      </c>
      <c r="AT118" s="31">
        <v>20</v>
      </c>
      <c r="AV118" s="31">
        <v>112</v>
      </c>
    </row>
    <row r="119" spans="29:51">
      <c r="AD119" s="31">
        <v>4</v>
      </c>
      <c r="AF119" s="31">
        <v>242</v>
      </c>
      <c r="AH119" s="31">
        <v>35</v>
      </c>
      <c r="AJ119" s="31">
        <f>AD119*AF119+AH119</f>
        <v>1003</v>
      </c>
      <c r="AL119" s="31">
        <f>AJ119/200</f>
        <v>5.0149999999999997</v>
      </c>
      <c r="AN119" s="31" t="s">
        <v>587</v>
      </c>
    </row>
    <row r="125" spans="29:51">
      <c r="AC125" s="36"/>
      <c r="AP125" s="107"/>
      <c r="AQ125" s="38"/>
    </row>
    <row r="126" spans="29:51">
      <c r="AC126" s="36"/>
      <c r="AP126" s="91"/>
      <c r="AT126" s="109"/>
      <c r="AU126" s="109"/>
    </row>
    <row r="127" spans="29:51">
      <c r="AC127" s="36" t="s">
        <v>316</v>
      </c>
      <c r="AL127" s="31" t="s">
        <v>317</v>
      </c>
      <c r="AN127" s="31" t="s">
        <v>318</v>
      </c>
      <c r="AP127" s="31" t="s">
        <v>270</v>
      </c>
    </row>
    <row r="128" spans="29:51">
      <c r="AC128" s="36"/>
      <c r="AF128" s="31" t="s">
        <v>319</v>
      </c>
      <c r="AL128" s="31">
        <v>110</v>
      </c>
      <c r="AN128" s="31">
        <v>75</v>
      </c>
    </row>
    <row r="129" spans="29:42">
      <c r="AC129" s="36"/>
      <c r="AF129" s="31" t="s">
        <v>320</v>
      </c>
      <c r="AL129" s="110">
        <f>7*AM129</f>
        <v>210</v>
      </c>
      <c r="AM129" s="31">
        <v>30</v>
      </c>
      <c r="AN129" s="110">
        <f>7*AO129</f>
        <v>210</v>
      </c>
      <c r="AO129" s="31">
        <v>30</v>
      </c>
    </row>
    <row r="130" spans="29:42">
      <c r="AC130" s="36"/>
      <c r="AL130" s="110"/>
      <c r="AN130" s="110"/>
    </row>
    <row r="131" spans="29:42">
      <c r="AC131" s="36"/>
      <c r="AL131" s="83">
        <f>AL128+AL129</f>
        <v>320</v>
      </c>
      <c r="AN131" s="83">
        <f>AN128+AN129</f>
        <v>285</v>
      </c>
      <c r="AP131" s="31" t="s">
        <v>321</v>
      </c>
    </row>
    <row r="132" spans="29:42">
      <c r="AC132" s="36"/>
      <c r="AH132" s="31" t="s">
        <v>322</v>
      </c>
      <c r="AL132" s="111">
        <f>3*AL131+150</f>
        <v>1110</v>
      </c>
      <c r="AN132" s="111">
        <f>3*AN131+150</f>
        <v>1005</v>
      </c>
      <c r="AO132" s="31" t="s">
        <v>323</v>
      </c>
    </row>
    <row r="134" spans="29:42">
      <c r="AF134" s="31" t="s">
        <v>324</v>
      </c>
      <c r="AL134" s="111">
        <v>810</v>
      </c>
      <c r="AN134" s="111">
        <v>810</v>
      </c>
      <c r="AP134" s="36" t="s">
        <v>325</v>
      </c>
    </row>
    <row r="135" spans="29:42">
      <c r="AG135" s="38" t="s">
        <v>326</v>
      </c>
      <c r="AH135" s="38"/>
      <c r="AI135" s="38"/>
      <c r="AJ135" s="38"/>
      <c r="AK135" s="38"/>
      <c r="AL135" s="112">
        <f>AL132+AL134</f>
        <v>1920</v>
      </c>
      <c r="AM135" s="38"/>
      <c r="AN135" s="112">
        <f>AN132+AN134</f>
        <v>1815</v>
      </c>
    </row>
    <row r="65532" ht="13.5" customHeight="1"/>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0"/>
  <sheetViews>
    <sheetView topLeftCell="A46" zoomScale="83" zoomScaleNormal="83" workbookViewId="0">
      <pane ySplit="1065" topLeftCell="A7" activePane="bottomLeft"/>
      <selection activeCell="M42" sqref="M42"/>
      <selection pane="bottomLeft" activeCell="G28" sqref="G28"/>
    </sheetView>
  </sheetViews>
  <sheetFormatPr defaultColWidth="9" defaultRowHeight="15.75"/>
  <cols>
    <col min="1" max="1" width="24.42578125" style="165" customWidth="1"/>
    <col min="2" max="2" width="18" style="156" customWidth="1"/>
    <col min="3" max="3" width="17.140625" style="156" customWidth="1"/>
    <col min="4" max="5" width="16.5703125" style="156" customWidth="1"/>
    <col min="6" max="6" width="15.28515625" style="156" customWidth="1"/>
    <col min="7" max="7" width="14.5703125" style="156" customWidth="1"/>
    <col min="8" max="8" width="13.85546875" style="156" customWidth="1"/>
    <col min="9" max="10" width="14" style="156" customWidth="1"/>
    <col min="11" max="11" width="2.28515625" style="172" customWidth="1"/>
    <col min="12" max="12" width="11.5703125" style="156" customWidth="1"/>
    <col min="13" max="13" width="11.85546875" style="156" customWidth="1"/>
    <col min="14" max="15" width="11.5703125" style="156" customWidth="1"/>
    <col min="16" max="16" width="1.7109375" style="156" customWidth="1"/>
    <col min="17" max="17" width="11.7109375" style="156" customWidth="1"/>
    <col min="18" max="18" width="11.5703125" style="156" customWidth="1"/>
    <col min="19" max="16384" width="9" style="156"/>
  </cols>
  <sheetData>
    <row r="1" spans="1:16">
      <c r="A1" s="162" t="s">
        <v>277</v>
      </c>
      <c r="B1" s="163">
        <v>2013</v>
      </c>
      <c r="C1" s="163"/>
      <c r="L1" s="156" t="s">
        <v>519</v>
      </c>
    </row>
    <row r="2" spans="1:16">
      <c r="A2" s="162" t="s">
        <v>264</v>
      </c>
      <c r="B2" s="164" t="s">
        <v>7</v>
      </c>
      <c r="C2" s="164"/>
      <c r="L2" s="164" t="s">
        <v>531</v>
      </c>
    </row>
    <row r="3" spans="1:16">
      <c r="B3" s="156" t="s">
        <v>167</v>
      </c>
      <c r="L3" s="156" t="s">
        <v>538</v>
      </c>
      <c r="O3" s="166"/>
    </row>
    <row r="4" spans="1:16">
      <c r="A4" s="162" t="s">
        <v>4</v>
      </c>
      <c r="B4" s="167">
        <f>SUM(G5:G9)</f>
        <v>6319.48</v>
      </c>
      <c r="C4" s="167"/>
      <c r="G4" s="156" t="s">
        <v>71</v>
      </c>
      <c r="O4" s="166"/>
    </row>
    <row r="5" spans="1:16">
      <c r="B5" s="156" t="s">
        <v>27</v>
      </c>
      <c r="C5" s="232">
        <v>3144.53</v>
      </c>
      <c r="D5" s="233">
        <v>3174.95</v>
      </c>
      <c r="F5" s="156">
        <v>0</v>
      </c>
      <c r="G5" s="232">
        <f>SUM(C5:F5)</f>
        <v>6319.48</v>
      </c>
      <c r="H5" s="168"/>
      <c r="I5" s="168"/>
      <c r="J5" s="168"/>
      <c r="K5" s="173"/>
      <c r="O5" s="166"/>
    </row>
    <row r="6" spans="1:16">
      <c r="B6" s="156" t="s">
        <v>29</v>
      </c>
      <c r="D6" s="166"/>
      <c r="G6" s="232">
        <f>SUM(C6:F6)</f>
        <v>0</v>
      </c>
      <c r="H6" s="168"/>
      <c r="I6" s="168"/>
      <c r="J6" s="168"/>
      <c r="K6" s="173"/>
      <c r="O6" s="166"/>
    </row>
    <row r="7" spans="1:16">
      <c r="B7" s="156" t="s">
        <v>327</v>
      </c>
      <c r="G7" s="232">
        <f>SUM(C7:F7)</f>
        <v>0</v>
      </c>
      <c r="H7" s="168"/>
      <c r="I7" s="168"/>
      <c r="J7" s="168"/>
      <c r="K7" s="173"/>
      <c r="L7" s="168"/>
      <c r="O7" s="166"/>
    </row>
    <row r="8" spans="1:16">
      <c r="B8" s="156" t="s">
        <v>30</v>
      </c>
      <c r="D8" s="156">
        <v>0</v>
      </c>
      <c r="G8" s="232">
        <f>SUM(C8:F8)</f>
        <v>0</v>
      </c>
      <c r="H8" s="168"/>
      <c r="I8" s="168"/>
      <c r="J8" s="168"/>
      <c r="K8" s="173"/>
      <c r="L8" s="168" t="s">
        <v>520</v>
      </c>
      <c r="P8" s="166"/>
    </row>
    <row r="9" spans="1:16">
      <c r="L9" s="168" t="s">
        <v>521</v>
      </c>
    </row>
    <row r="10" spans="1:16" s="131" customFormat="1" ht="15" customHeight="1">
      <c r="A10" s="149"/>
      <c r="B10" s="153"/>
      <c r="G10" s="140"/>
      <c r="I10" s="152" t="s">
        <v>80</v>
      </c>
      <c r="J10" s="187" t="s">
        <v>439</v>
      </c>
      <c r="K10" s="174"/>
      <c r="L10" s="168" t="s">
        <v>522</v>
      </c>
    </row>
    <row r="11" spans="1:16" s="131" customFormat="1" ht="15" customHeight="1">
      <c r="A11" s="149"/>
      <c r="B11" s="153"/>
      <c r="G11" s="140" t="s">
        <v>331</v>
      </c>
      <c r="H11" s="131" t="s">
        <v>84</v>
      </c>
      <c r="I11" s="154" t="s">
        <v>83</v>
      </c>
      <c r="J11" s="188" t="s">
        <v>83</v>
      </c>
      <c r="K11" s="175"/>
    </row>
    <row r="12" spans="1:16" s="131" customFormat="1" ht="15.95" customHeight="1">
      <c r="A12" s="149" t="s">
        <v>422</v>
      </c>
      <c r="B12" s="153">
        <f>G12</f>
        <v>870</v>
      </c>
      <c r="D12" s="131" t="s">
        <v>426</v>
      </c>
      <c r="E12" s="131">
        <f>G12/B4</f>
        <v>0.13766955508997578</v>
      </c>
      <c r="G12" s="132">
        <f>Tithe!D6</f>
        <v>870</v>
      </c>
      <c r="H12" s="131">
        <v>800</v>
      </c>
      <c r="I12" s="155">
        <f>H12-G12</f>
        <v>-70</v>
      </c>
      <c r="J12" s="189">
        <f>I12</f>
        <v>-70</v>
      </c>
      <c r="K12" s="176"/>
    </row>
    <row r="13" spans="1:16" s="131" customFormat="1" ht="15.95" customHeight="1">
      <c r="A13" s="149"/>
      <c r="B13" s="153"/>
      <c r="G13" s="140"/>
      <c r="I13" s="155"/>
      <c r="J13" s="189"/>
      <c r="K13" s="176"/>
    </row>
    <row r="14" spans="1:16" s="131" customFormat="1" ht="15.95" customHeight="1">
      <c r="A14" s="149" t="s">
        <v>427</v>
      </c>
      <c r="B14" s="153">
        <f>SUM(G15:G20)</f>
        <v>1800</v>
      </c>
      <c r="G14" s="140"/>
      <c r="I14" s="155"/>
      <c r="J14" s="189"/>
      <c r="K14" s="176"/>
    </row>
    <row r="15" spans="1:16" s="131" customFormat="1" ht="15.95" customHeight="1">
      <c r="B15" s="149" t="s">
        <v>721</v>
      </c>
      <c r="G15" s="132">
        <v>750</v>
      </c>
      <c r="H15" s="131">
        <v>750</v>
      </c>
      <c r="I15" s="155">
        <f t="shared" ref="I15:I26" si="0">H15-G15</f>
        <v>0</v>
      </c>
      <c r="J15" s="189">
        <f t="shared" ref="J15:J26" si="1">I15</f>
        <v>0</v>
      </c>
      <c r="K15" s="176"/>
    </row>
    <row r="16" spans="1:16" s="131" customFormat="1" ht="15.95" customHeight="1">
      <c r="B16" s="149" t="s">
        <v>395</v>
      </c>
      <c r="G16" s="132">
        <v>200</v>
      </c>
      <c r="H16" s="131">
        <v>200</v>
      </c>
      <c r="I16" s="155">
        <f t="shared" si="0"/>
        <v>0</v>
      </c>
      <c r="J16" s="189">
        <f t="shared" si="1"/>
        <v>0</v>
      </c>
      <c r="K16" s="176"/>
    </row>
    <row r="17" spans="1:12" s="131" customFormat="1" ht="15.95" customHeight="1">
      <c r="B17" s="149" t="s">
        <v>460</v>
      </c>
      <c r="G17" s="132">
        <v>300</v>
      </c>
      <c r="H17" s="131">
        <v>300</v>
      </c>
      <c r="I17" s="155">
        <f t="shared" si="0"/>
        <v>0</v>
      </c>
      <c r="J17" s="189">
        <f t="shared" si="1"/>
        <v>0</v>
      </c>
      <c r="K17" s="176"/>
    </row>
    <row r="18" spans="1:12" s="131" customFormat="1" ht="15.95" customHeight="1">
      <c r="B18" s="149" t="s">
        <v>396</v>
      </c>
      <c r="G18" s="132">
        <v>200</v>
      </c>
      <c r="H18" s="131">
        <v>200</v>
      </c>
      <c r="I18" s="155">
        <f t="shared" si="0"/>
        <v>0</v>
      </c>
      <c r="J18" s="189">
        <f t="shared" si="1"/>
        <v>0</v>
      </c>
      <c r="K18" s="176"/>
    </row>
    <row r="19" spans="1:12" s="131" customFormat="1" ht="15.95" customHeight="1">
      <c r="B19" s="149" t="s">
        <v>461</v>
      </c>
      <c r="G19" s="132">
        <v>300</v>
      </c>
      <c r="H19" s="131">
        <v>300</v>
      </c>
      <c r="I19" s="155">
        <f t="shared" si="0"/>
        <v>0</v>
      </c>
      <c r="J19" s="189">
        <f t="shared" si="1"/>
        <v>0</v>
      </c>
      <c r="K19" s="176"/>
    </row>
    <row r="20" spans="1:12" s="131" customFormat="1" ht="15.95" customHeight="1">
      <c r="B20" s="149" t="s">
        <v>397</v>
      </c>
      <c r="G20" s="132">
        <v>50</v>
      </c>
      <c r="H20" s="131">
        <v>50</v>
      </c>
      <c r="I20" s="155">
        <f t="shared" si="0"/>
        <v>0</v>
      </c>
      <c r="J20" s="189">
        <f t="shared" si="1"/>
        <v>0</v>
      </c>
      <c r="K20" s="176"/>
    </row>
    <row r="21" spans="1:12" s="131" customFormat="1" ht="15.95" customHeight="1">
      <c r="A21" s="149"/>
      <c r="B21" s="153"/>
      <c r="G21" s="132"/>
      <c r="I21" s="155"/>
      <c r="J21" s="189"/>
      <c r="K21" s="176"/>
    </row>
    <row r="22" spans="1:12" s="131" customFormat="1" ht="15.95" customHeight="1">
      <c r="A22" s="149" t="s">
        <v>428</v>
      </c>
      <c r="B22" s="149">
        <f>G22</f>
        <v>0</v>
      </c>
      <c r="G22" s="132">
        <v>0</v>
      </c>
      <c r="H22" s="131">
        <v>0</v>
      </c>
      <c r="I22" s="155">
        <f t="shared" si="0"/>
        <v>0</v>
      </c>
      <c r="J22" s="189">
        <f t="shared" si="1"/>
        <v>0</v>
      </c>
      <c r="K22" s="176"/>
    </row>
    <row r="23" spans="1:12" s="131" customFormat="1" ht="15.95" customHeight="1">
      <c r="A23" s="149"/>
      <c r="B23" s="153"/>
      <c r="G23" s="132"/>
      <c r="I23" s="155"/>
      <c r="J23" s="189"/>
      <c r="K23" s="176"/>
    </row>
    <row r="24" spans="1:12" s="131" customFormat="1" ht="15.95" customHeight="1">
      <c r="A24" s="149" t="s">
        <v>429</v>
      </c>
      <c r="B24" s="153">
        <f>SUM(G25:G26)</f>
        <v>2000</v>
      </c>
      <c r="G24" s="132"/>
      <c r="I24" s="155"/>
      <c r="J24" s="189"/>
      <c r="K24" s="176"/>
    </row>
    <row r="25" spans="1:12" s="131" customFormat="1" ht="15.95" customHeight="1">
      <c r="B25" s="149" t="s">
        <v>363</v>
      </c>
      <c r="G25" s="132">
        <v>2000</v>
      </c>
      <c r="H25" s="131">
        <v>2000</v>
      </c>
      <c r="I25" s="155">
        <f t="shared" si="0"/>
        <v>0</v>
      </c>
      <c r="J25" s="189">
        <f t="shared" si="1"/>
        <v>0</v>
      </c>
      <c r="K25" s="176"/>
    </row>
    <row r="26" spans="1:12" s="131" customFormat="1" ht="12.75" customHeight="1">
      <c r="B26" s="149" t="s">
        <v>399</v>
      </c>
      <c r="G26" s="132">
        <v>0</v>
      </c>
      <c r="H26" s="131">
        <v>500</v>
      </c>
      <c r="I26" s="155">
        <f t="shared" si="0"/>
        <v>500</v>
      </c>
      <c r="J26" s="192">
        <f t="shared" si="1"/>
        <v>500</v>
      </c>
      <c r="K26" s="176"/>
    </row>
    <row r="27" spans="1:12" s="131" customFormat="1" ht="12.75" customHeight="1">
      <c r="A27" s="149"/>
      <c r="G27" s="157"/>
      <c r="H27" s="157"/>
      <c r="I27" s="159"/>
      <c r="J27" s="171"/>
      <c r="K27" s="171"/>
    </row>
    <row r="28" spans="1:12" s="131" customFormat="1" ht="12.75" customHeight="1" thickBot="1">
      <c r="A28" s="149"/>
      <c r="B28" s="149"/>
      <c r="G28" s="158">
        <f>SUM(G12:G26)</f>
        <v>4670</v>
      </c>
      <c r="H28" s="158">
        <f>SUM(H12:H26)</f>
        <v>5100</v>
      </c>
      <c r="I28" s="158">
        <f>SUM(I12:I26)</f>
        <v>430</v>
      </c>
      <c r="J28" s="158">
        <f>SUM(J12:J26)</f>
        <v>430</v>
      </c>
      <c r="K28" s="177"/>
    </row>
    <row r="29" spans="1:12" s="131" customFormat="1" ht="12.75" customHeight="1" thickTop="1">
      <c r="A29" s="149"/>
      <c r="B29" s="149"/>
      <c r="G29" s="142"/>
      <c r="H29" s="142"/>
      <c r="I29" s="142"/>
      <c r="J29" s="142"/>
      <c r="K29" s="177"/>
    </row>
    <row r="30" spans="1:12" s="131" customFormat="1" ht="12.75" customHeight="1" thickBot="1">
      <c r="A30" s="149"/>
      <c r="B30" s="149"/>
      <c r="G30" s="142"/>
      <c r="H30" s="142"/>
      <c r="I30" s="142"/>
      <c r="J30" s="142"/>
      <c r="K30" s="177"/>
    </row>
    <row r="31" spans="1:12" s="131" customFormat="1" ht="12.75" customHeight="1" thickBot="1">
      <c r="A31" s="149" t="s">
        <v>442</v>
      </c>
      <c r="B31" s="149"/>
      <c r="G31" s="185"/>
      <c r="H31" s="142"/>
      <c r="I31" s="142"/>
      <c r="J31" s="142"/>
      <c r="K31" s="177"/>
      <c r="L31" s="142"/>
    </row>
    <row r="32" spans="1:12" s="131" customFormat="1" ht="12.75" customHeight="1">
      <c r="A32" s="149"/>
      <c r="B32" s="149"/>
      <c r="G32" s="142"/>
      <c r="H32" s="142"/>
      <c r="I32" s="142"/>
      <c r="J32" s="142"/>
      <c r="K32" s="177"/>
      <c r="L32" s="142"/>
    </row>
    <row r="33" spans="1:14" s="131" customFormat="1" ht="12.75" customHeight="1">
      <c r="A33" s="149" t="s">
        <v>425</v>
      </c>
      <c r="B33" s="149"/>
      <c r="G33" s="239">
        <f>B4-G28</f>
        <v>1649.4799999999996</v>
      </c>
      <c r="H33" s="142"/>
      <c r="I33" s="142"/>
      <c r="J33" s="142"/>
      <c r="K33" s="177"/>
      <c r="L33" s="142"/>
    </row>
    <row r="34" spans="1:14" s="131" customFormat="1" ht="12.75" customHeight="1">
      <c r="A34" s="149"/>
      <c r="B34" s="149"/>
      <c r="G34" s="170"/>
      <c r="H34" s="142"/>
      <c r="I34" s="142"/>
      <c r="J34" s="142"/>
      <c r="K34" s="177"/>
      <c r="L34" s="142"/>
    </row>
    <row r="35" spans="1:14" s="131" customFormat="1" ht="12.75" customHeight="1">
      <c r="A35" s="149" t="s">
        <v>432</v>
      </c>
      <c r="B35" s="149"/>
      <c r="G35" s="239">
        <f>E46</f>
        <v>3162.9700000000003</v>
      </c>
      <c r="H35" s="142"/>
      <c r="I35" s="142"/>
      <c r="J35" s="142"/>
      <c r="K35" s="177"/>
      <c r="L35" s="142"/>
    </row>
    <row r="36" spans="1:14" s="131" customFormat="1" ht="12.75" customHeight="1">
      <c r="A36" s="149"/>
      <c r="B36" s="149"/>
      <c r="G36" s="170"/>
      <c r="H36" s="142"/>
      <c r="I36" s="142"/>
      <c r="J36" s="142"/>
      <c r="K36" s="177"/>
      <c r="L36" s="142"/>
    </row>
    <row r="37" spans="1:14" s="131" customFormat="1" ht="12.75" customHeight="1">
      <c r="A37" s="149" t="s">
        <v>444</v>
      </c>
      <c r="B37" s="149"/>
      <c r="G37" s="170">
        <f>B131</f>
        <v>0</v>
      </c>
      <c r="H37" s="142" t="s">
        <v>435</v>
      </c>
      <c r="I37" s="142"/>
      <c r="J37" s="142"/>
      <c r="K37" s="177"/>
      <c r="L37" s="142"/>
    </row>
    <row r="38" spans="1:14" s="131" customFormat="1" ht="12.75" customHeight="1" thickBot="1">
      <c r="A38" s="149"/>
      <c r="B38" s="149"/>
      <c r="G38" s="170"/>
      <c r="H38" s="142"/>
      <c r="I38" s="142"/>
      <c r="J38" s="142"/>
      <c r="K38" s="177"/>
      <c r="L38" s="142"/>
    </row>
    <row r="39" spans="1:14" s="131" customFormat="1" ht="12.75" customHeight="1" thickBot="1">
      <c r="A39" s="149" t="s">
        <v>430</v>
      </c>
      <c r="B39" s="149"/>
      <c r="G39" s="186">
        <f>G33-G35-G37+G31</f>
        <v>-1513.4900000000007</v>
      </c>
      <c r="H39" s="142"/>
      <c r="I39" s="142"/>
      <c r="J39" s="142"/>
      <c r="K39" s="177"/>
      <c r="L39" s="142"/>
    </row>
    <row r="40" spans="1:14" s="131" customFormat="1" ht="12.75" customHeight="1">
      <c r="A40" s="149"/>
      <c r="B40" s="149"/>
      <c r="G40" s="196"/>
      <c r="H40" s="142"/>
      <c r="I40" s="142"/>
      <c r="J40" s="142"/>
      <c r="K40" s="177"/>
      <c r="L40" s="142"/>
    </row>
    <row r="41" spans="1:14" s="131" customFormat="1" ht="12.75" customHeight="1">
      <c r="A41" s="197" t="s">
        <v>478</v>
      </c>
      <c r="B41" s="149"/>
      <c r="G41" s="196"/>
      <c r="H41" s="142"/>
      <c r="I41" s="142"/>
      <c r="J41" s="142"/>
      <c r="K41" s="177"/>
      <c r="L41" s="142"/>
    </row>
    <row r="42" spans="1:14" s="131" customFormat="1" ht="12.75" customHeight="1">
      <c r="B42" s="197" t="s">
        <v>464</v>
      </c>
      <c r="C42" s="150">
        <f>H57+H58+H63+H64+H72+H73+H74+H81+H82+H83+H88+H91+H92+H93+H94+H95+H100+H104+H105+H106+H107+H108+H109+H110+H113+H117+H120+H121+H124</f>
        <v>1650</v>
      </c>
      <c r="D42" s="197" t="s">
        <v>465</v>
      </c>
      <c r="E42" s="150">
        <f>G57+G58+G63+G64+G72+G73+G74+G81+G82+G83+G88+G91+G92+G93+G94+G95+G100+G104+G105+G106+G107+G108+G109+G110+G113+G117+G120+G121+G124</f>
        <v>1495.81</v>
      </c>
      <c r="G42" s="196"/>
      <c r="H42" s="142"/>
      <c r="I42" s="142"/>
      <c r="J42" s="142"/>
      <c r="K42" s="177"/>
      <c r="L42" s="142"/>
      <c r="M42" s="131">
        <f>M46+N46+M44+M43</f>
        <v>2557.7200000000003</v>
      </c>
      <c r="N42" s="131">
        <v>2557.7199999999998</v>
      </c>
    </row>
    <row r="43" spans="1:14" s="131" customFormat="1" ht="12.75" customHeight="1">
      <c r="C43" s="131">
        <f>H57+H63+H64+H88+C90+H100+C103+H113+H117+H120+H121+H124</f>
        <v>1490</v>
      </c>
      <c r="I43" s="152"/>
      <c r="J43" s="187" t="s">
        <v>439</v>
      </c>
      <c r="K43" s="174"/>
      <c r="L43" s="131" t="s">
        <v>534</v>
      </c>
      <c r="M43" s="131">
        <v>-200</v>
      </c>
    </row>
    <row r="44" spans="1:14" s="131" customFormat="1" ht="12.75" customHeight="1">
      <c r="G44" s="140"/>
      <c r="I44" s="152" t="s">
        <v>80</v>
      </c>
      <c r="J44" s="187" t="s">
        <v>440</v>
      </c>
      <c r="K44" s="174"/>
      <c r="L44" s="131" t="s">
        <v>515</v>
      </c>
      <c r="M44" s="131">
        <v>100</v>
      </c>
    </row>
    <row r="45" spans="1:14" s="131" customFormat="1" ht="12.75" customHeight="1" thickBot="1">
      <c r="G45" s="140" t="s">
        <v>331</v>
      </c>
      <c r="H45" s="131" t="s">
        <v>84</v>
      </c>
      <c r="I45" s="154" t="s">
        <v>83</v>
      </c>
      <c r="J45" s="188" t="s">
        <v>441</v>
      </c>
      <c r="K45" s="175"/>
      <c r="L45" s="180" t="s">
        <v>332</v>
      </c>
      <c r="M45" s="181" t="s">
        <v>333</v>
      </c>
      <c r="N45" s="181" t="s">
        <v>334</v>
      </c>
    </row>
    <row r="46" spans="1:14" s="131" customFormat="1" ht="12.75" customHeight="1" thickBot="1">
      <c r="A46" s="149" t="s">
        <v>434</v>
      </c>
      <c r="D46"/>
      <c r="E46" s="262">
        <f>B48+B56+B62+B66+B71+B80+B85+B90+B97+B103+B112+B116+B119+B123+B126</f>
        <v>3162.9700000000003</v>
      </c>
      <c r="G46" s="191">
        <f>SUM(G48:G128)</f>
        <v>3162.97</v>
      </c>
      <c r="H46" s="191">
        <f>SUM(H48:H128)</f>
        <v>3663.5</v>
      </c>
      <c r="I46" s="191">
        <f>H46-G46</f>
        <v>500.5300000000002</v>
      </c>
      <c r="J46" s="191">
        <f>SUM(J48:J128)</f>
        <v>500.52999999999992</v>
      </c>
      <c r="K46" s="178"/>
      <c r="L46" s="182">
        <f>SUM(L57:L139)</f>
        <v>505.25</v>
      </c>
      <c r="M46" s="183">
        <f>SUM(M57:M139)</f>
        <v>365.22</v>
      </c>
      <c r="N46" s="184">
        <f>SUM(N57:N139)</f>
        <v>2292.5</v>
      </c>
    </row>
    <row r="47" spans="1:14" s="131" customFormat="1" ht="12.75" customHeight="1">
      <c r="A47" s="131" t="s">
        <v>421</v>
      </c>
      <c r="I47" s="152"/>
      <c r="J47" s="187"/>
      <c r="K47" s="174"/>
      <c r="L47" s="115"/>
      <c r="M47" s="116"/>
      <c r="N47" s="116"/>
    </row>
    <row r="48" spans="1:14" s="131" customFormat="1" ht="12.75" customHeight="1">
      <c r="A48" s="149" t="s">
        <v>547</v>
      </c>
      <c r="B48" s="149">
        <f>SUM(G49:G54)</f>
        <v>0</v>
      </c>
      <c r="C48" s="149">
        <f>SUM(H49:H54)</f>
        <v>1250</v>
      </c>
      <c r="D48" s="149">
        <f>SUM(I49:I54)</f>
        <v>1250</v>
      </c>
      <c r="I48" s="152"/>
      <c r="J48" s="187"/>
      <c r="K48" s="174"/>
      <c r="L48" s="115"/>
      <c r="M48" s="116"/>
      <c r="N48" s="116"/>
    </row>
    <row r="49" spans="1:14" s="131" customFormat="1" ht="12.75" customHeight="1">
      <c r="B49" s="131" t="s">
        <v>550</v>
      </c>
      <c r="G49" s="131">
        <f t="shared" ref="G49:G54" si="2">SUM(L49:N49)</f>
        <v>0</v>
      </c>
      <c r="H49" s="131">
        <v>0</v>
      </c>
      <c r="I49" s="152">
        <f t="shared" ref="I49:I54" si="3">H49-G49</f>
        <v>0</v>
      </c>
      <c r="J49" s="187">
        <f t="shared" ref="J49:J54" si="4">I49</f>
        <v>0</v>
      </c>
      <c r="K49" s="174"/>
      <c r="L49" s="115"/>
      <c r="M49" s="116"/>
      <c r="N49" s="116"/>
    </row>
    <row r="50" spans="1:14" s="131" customFormat="1" ht="12.75" customHeight="1">
      <c r="B50" s="131" t="s">
        <v>622</v>
      </c>
      <c r="G50" s="131">
        <f t="shared" si="2"/>
        <v>0</v>
      </c>
      <c r="H50" s="131">
        <v>1250</v>
      </c>
      <c r="I50" s="152">
        <f t="shared" si="3"/>
        <v>1250</v>
      </c>
      <c r="J50" s="187">
        <f t="shared" si="4"/>
        <v>1250</v>
      </c>
      <c r="K50" s="174"/>
      <c r="L50" s="115"/>
      <c r="M50" s="116"/>
      <c r="N50" s="116"/>
    </row>
    <row r="51" spans="1:14" s="131" customFormat="1" ht="12.75" customHeight="1">
      <c r="B51" s="131" t="s">
        <v>624</v>
      </c>
      <c r="G51" s="131">
        <f t="shared" si="2"/>
        <v>0</v>
      </c>
      <c r="H51" s="131">
        <v>0</v>
      </c>
      <c r="I51" s="152">
        <f t="shared" si="3"/>
        <v>0</v>
      </c>
      <c r="J51" s="187">
        <f t="shared" si="4"/>
        <v>0</v>
      </c>
      <c r="K51" s="174"/>
      <c r="L51" s="115"/>
      <c r="M51" s="116"/>
      <c r="N51" s="116"/>
    </row>
    <row r="52" spans="1:14" s="131" customFormat="1" ht="12.75" customHeight="1">
      <c r="B52" s="131" t="s">
        <v>551</v>
      </c>
      <c r="G52" s="131">
        <f t="shared" si="2"/>
        <v>0</v>
      </c>
      <c r="H52" s="131">
        <v>0</v>
      </c>
      <c r="I52" s="152">
        <f t="shared" si="3"/>
        <v>0</v>
      </c>
      <c r="J52" s="187">
        <f t="shared" si="4"/>
        <v>0</v>
      </c>
      <c r="K52" s="174"/>
      <c r="L52" s="115"/>
      <c r="M52" s="116"/>
      <c r="N52" s="116"/>
    </row>
    <row r="53" spans="1:14" s="131" customFormat="1" ht="12.75" customHeight="1">
      <c r="B53" s="131" t="s">
        <v>720</v>
      </c>
      <c r="G53" s="131">
        <f t="shared" si="2"/>
        <v>0</v>
      </c>
      <c r="H53" s="131">
        <v>0</v>
      </c>
      <c r="I53" s="152"/>
      <c r="J53" s="187"/>
      <c r="K53" s="174"/>
      <c r="L53" s="115"/>
      <c r="M53" s="116"/>
      <c r="N53" s="116"/>
    </row>
    <row r="54" spans="1:14" s="131" customFormat="1" ht="12.75" customHeight="1">
      <c r="B54" s="131" t="s">
        <v>625</v>
      </c>
      <c r="G54" s="131">
        <f t="shared" si="2"/>
        <v>0</v>
      </c>
      <c r="H54" s="131">
        <v>0</v>
      </c>
      <c r="I54" s="152">
        <f t="shared" si="3"/>
        <v>0</v>
      </c>
      <c r="J54" s="187">
        <f t="shared" si="4"/>
        <v>0</v>
      </c>
      <c r="K54" s="174"/>
      <c r="L54" s="115"/>
      <c r="M54" s="116"/>
      <c r="N54" s="116"/>
    </row>
    <row r="55" spans="1:14" s="131" customFormat="1" ht="12.75" customHeight="1">
      <c r="I55" s="152"/>
      <c r="J55" s="187"/>
      <c r="K55" s="174"/>
      <c r="L55" s="115"/>
      <c r="M55" s="116"/>
      <c r="N55" s="116"/>
    </row>
    <row r="56" spans="1:14" s="131" customFormat="1" ht="12.75" customHeight="1">
      <c r="A56" s="149" t="s">
        <v>85</v>
      </c>
      <c r="B56" s="149">
        <f>SUM(G57:G60)</f>
        <v>111.5</v>
      </c>
      <c r="C56" s="149">
        <f>SUM(H57:H60)</f>
        <v>355</v>
      </c>
      <c r="D56" s="149">
        <f>C56-B56</f>
        <v>243.5</v>
      </c>
      <c r="I56" s="152"/>
      <c r="J56" s="187"/>
      <c r="K56" s="174"/>
      <c r="L56" s="115"/>
      <c r="M56" s="116"/>
      <c r="N56" s="116"/>
    </row>
    <row r="57" spans="1:14" s="131" customFormat="1" ht="12.75" customHeight="1">
      <c r="B57" s="131" t="s">
        <v>41</v>
      </c>
      <c r="C57" s="131" t="s">
        <v>42</v>
      </c>
      <c r="G57" s="131">
        <f>SUM(L57:N57)</f>
        <v>111.5</v>
      </c>
      <c r="H57" s="131">
        <v>110</v>
      </c>
      <c r="I57" s="152">
        <f t="shared" ref="I57:I121" si="5">H57-G57</f>
        <v>-1.5</v>
      </c>
      <c r="J57" s="187">
        <f>I57</f>
        <v>-1.5</v>
      </c>
      <c r="K57" s="174"/>
      <c r="L57" s="115">
        <v>111.5</v>
      </c>
      <c r="M57" s="116"/>
      <c r="N57" s="116"/>
    </row>
    <row r="58" spans="1:14" s="131" customFormat="1" ht="12.75" customHeight="1">
      <c r="B58" s="131" t="s">
        <v>43</v>
      </c>
      <c r="C58" s="131" t="s">
        <v>44</v>
      </c>
      <c r="G58" s="131">
        <f t="shared" ref="G58:G121" si="6">SUM(L58:N58)</f>
        <v>0</v>
      </c>
      <c r="H58" s="131">
        <v>45</v>
      </c>
      <c r="I58" s="152">
        <f t="shared" si="5"/>
        <v>45</v>
      </c>
      <c r="J58" s="187">
        <f>I58</f>
        <v>45</v>
      </c>
      <c r="K58" s="174"/>
      <c r="L58" s="115"/>
      <c r="M58" s="116"/>
      <c r="N58" s="116"/>
    </row>
    <row r="59" spans="1:14" s="131" customFormat="1" ht="12.75" customHeight="1">
      <c r="B59" s="198" t="s">
        <v>86</v>
      </c>
      <c r="C59" s="198" t="s">
        <v>87</v>
      </c>
      <c r="D59" s="198" t="s">
        <v>513</v>
      </c>
      <c r="E59" s="198"/>
      <c r="F59" s="198"/>
      <c r="G59" s="131">
        <f t="shared" si="6"/>
        <v>0</v>
      </c>
      <c r="H59" s="131">
        <v>90</v>
      </c>
      <c r="I59" s="152">
        <f t="shared" si="5"/>
        <v>90</v>
      </c>
      <c r="J59" s="187">
        <f>I59</f>
        <v>90</v>
      </c>
      <c r="K59" s="174"/>
      <c r="L59" s="115"/>
      <c r="M59" s="116"/>
      <c r="N59" s="116"/>
    </row>
    <row r="60" spans="1:14" s="131" customFormat="1" ht="12.75" customHeight="1">
      <c r="B60" s="198" t="s">
        <v>88</v>
      </c>
      <c r="C60" s="198" t="s">
        <v>89</v>
      </c>
      <c r="D60" s="198" t="s">
        <v>424</v>
      </c>
      <c r="E60" s="198"/>
      <c r="F60" s="198"/>
      <c r="G60" s="131">
        <f t="shared" si="6"/>
        <v>0</v>
      </c>
      <c r="H60" s="131">
        <v>110</v>
      </c>
      <c r="I60" s="152">
        <f t="shared" si="5"/>
        <v>110</v>
      </c>
      <c r="J60" s="187">
        <f>I60</f>
        <v>110</v>
      </c>
      <c r="K60" s="174"/>
      <c r="L60" s="115"/>
      <c r="M60" s="116"/>
      <c r="N60" s="116"/>
    </row>
    <row r="61" spans="1:14" s="131" customFormat="1" ht="12.75" customHeight="1">
      <c r="I61" s="152"/>
      <c r="J61" s="187"/>
      <c r="K61" s="174"/>
      <c r="L61" s="115"/>
      <c r="M61" s="116"/>
      <c r="N61" s="116"/>
    </row>
    <row r="62" spans="1:14" s="131" customFormat="1" ht="12.75" customHeight="1">
      <c r="A62" s="149" t="s">
        <v>91</v>
      </c>
      <c r="B62" s="149">
        <f>SUM(G63:G64)</f>
        <v>138.35</v>
      </c>
      <c r="C62" s="149">
        <f>SUM(H63:H64)</f>
        <v>138</v>
      </c>
      <c r="D62" s="149">
        <f>C62-B62</f>
        <v>-0.34999999999999432</v>
      </c>
      <c r="I62" s="152"/>
      <c r="J62" s="187"/>
      <c r="K62" s="174"/>
      <c r="L62" s="115"/>
      <c r="M62" s="116"/>
      <c r="N62" s="116"/>
    </row>
    <row r="63" spans="1:14" s="131" customFormat="1" ht="12.75" customHeight="1">
      <c r="B63" s="131" t="s">
        <v>50</v>
      </c>
      <c r="C63" s="131" t="s">
        <v>51</v>
      </c>
      <c r="G63" s="131">
        <f t="shared" si="6"/>
        <v>62.97</v>
      </c>
      <c r="H63" s="131">
        <v>63</v>
      </c>
      <c r="I63" s="152">
        <f t="shared" si="5"/>
        <v>3.0000000000001137E-2</v>
      </c>
      <c r="J63" s="187">
        <f>I63</f>
        <v>3.0000000000001137E-2</v>
      </c>
      <c r="K63" s="174"/>
      <c r="L63" s="115"/>
      <c r="M63" s="116"/>
      <c r="N63" s="116">
        <v>62.97</v>
      </c>
    </row>
    <row r="64" spans="1:14" s="131" customFormat="1" ht="12.75" customHeight="1">
      <c r="B64" s="131" t="s">
        <v>92</v>
      </c>
      <c r="C64" s="131" t="s">
        <v>93</v>
      </c>
      <c r="D64" s="156"/>
      <c r="G64" s="131">
        <f t="shared" si="6"/>
        <v>75.38</v>
      </c>
      <c r="H64" s="131">
        <v>75</v>
      </c>
      <c r="I64" s="152">
        <f t="shared" si="5"/>
        <v>-0.37999999999999545</v>
      </c>
      <c r="J64" s="187">
        <f>I64</f>
        <v>-0.37999999999999545</v>
      </c>
      <c r="K64" s="174"/>
      <c r="L64" s="115"/>
      <c r="M64" s="116"/>
      <c r="N64" s="116">
        <v>75.38</v>
      </c>
    </row>
    <row r="65" spans="1:15" s="131" customFormat="1" ht="12.75" customHeight="1">
      <c r="I65" s="152"/>
      <c r="J65" s="187"/>
      <c r="K65" s="174"/>
      <c r="L65" s="115"/>
      <c r="M65" s="116"/>
      <c r="N65" s="116"/>
    </row>
    <row r="66" spans="1:15" s="131" customFormat="1" ht="12.75" customHeight="1">
      <c r="A66" s="193" t="s">
        <v>94</v>
      </c>
      <c r="B66" s="149">
        <f>SUM(G67:G69)</f>
        <v>1629</v>
      </c>
      <c r="C66" s="149">
        <f>SUM(H67:H69)</f>
        <v>177</v>
      </c>
      <c r="D66" s="149">
        <f>C66-B66</f>
        <v>-1452</v>
      </c>
      <c r="I66" s="152"/>
      <c r="J66" s="187"/>
      <c r="K66" s="174"/>
      <c r="L66" s="115"/>
      <c r="M66" s="116"/>
      <c r="N66" s="116"/>
    </row>
    <row r="67" spans="1:15" s="131" customFormat="1" ht="12.75" customHeight="1">
      <c r="B67" s="198" t="s">
        <v>95</v>
      </c>
      <c r="C67" s="198"/>
      <c r="D67" s="198" t="s">
        <v>96</v>
      </c>
      <c r="E67" s="198"/>
      <c r="F67" s="198"/>
      <c r="G67" s="131">
        <f t="shared" si="6"/>
        <v>674</v>
      </c>
      <c r="H67" s="131">
        <v>56.5</v>
      </c>
      <c r="I67" s="152">
        <f t="shared" si="5"/>
        <v>-617.5</v>
      </c>
      <c r="J67" s="187">
        <f>I67</f>
        <v>-617.5</v>
      </c>
      <c r="K67" s="174"/>
      <c r="L67" s="115"/>
      <c r="M67" s="116"/>
      <c r="N67" s="116">
        <v>674</v>
      </c>
    </row>
    <row r="68" spans="1:15" s="131" customFormat="1" ht="12.75" customHeight="1">
      <c r="B68" s="198" t="s">
        <v>97</v>
      </c>
      <c r="C68" s="198"/>
      <c r="D68" s="198" t="s">
        <v>96</v>
      </c>
      <c r="E68" s="198"/>
      <c r="F68" s="198"/>
      <c r="G68" s="131">
        <f t="shared" si="6"/>
        <v>955</v>
      </c>
      <c r="H68" s="131">
        <v>84.5</v>
      </c>
      <c r="I68" s="152">
        <f t="shared" si="5"/>
        <v>-870.5</v>
      </c>
      <c r="J68" s="187">
        <f>I68</f>
        <v>-870.5</v>
      </c>
      <c r="K68" s="174"/>
      <c r="L68" s="115"/>
      <c r="M68" s="116"/>
      <c r="N68" s="116">
        <v>955</v>
      </c>
    </row>
    <row r="69" spans="1:15" s="131" customFormat="1" ht="12.75" customHeight="1">
      <c r="B69" s="198" t="s">
        <v>98</v>
      </c>
      <c r="C69" s="198"/>
      <c r="D69" s="198" t="s">
        <v>477</v>
      </c>
      <c r="E69" s="198"/>
      <c r="F69" s="198"/>
      <c r="G69" s="131">
        <f t="shared" si="6"/>
        <v>0</v>
      </c>
      <c r="H69" s="131">
        <v>36</v>
      </c>
      <c r="I69" s="152">
        <f t="shared" si="5"/>
        <v>36</v>
      </c>
      <c r="J69" s="187">
        <f>I69</f>
        <v>36</v>
      </c>
      <c r="K69" s="174"/>
      <c r="L69" s="115"/>
      <c r="M69" s="116"/>
      <c r="N69" s="116"/>
    </row>
    <row r="70" spans="1:15" s="131" customFormat="1" ht="12.75" customHeight="1">
      <c r="I70" s="152"/>
      <c r="J70" s="187"/>
      <c r="K70" s="174"/>
      <c r="L70" s="115"/>
      <c r="M70" s="116"/>
      <c r="N70" s="116"/>
    </row>
    <row r="71" spans="1:15" s="131" customFormat="1" ht="12.75" customHeight="1">
      <c r="A71" s="149" t="s">
        <v>99</v>
      </c>
      <c r="B71" s="149">
        <f>SUM(G72:G78)</f>
        <v>47.910000000000004</v>
      </c>
      <c r="C71" s="149">
        <f>SUM(H72:H78)</f>
        <v>166.5</v>
      </c>
      <c r="D71" s="149">
        <f>C71-B71</f>
        <v>118.59</v>
      </c>
      <c r="I71" s="152"/>
      <c r="J71" s="187"/>
      <c r="K71" s="174"/>
      <c r="L71" s="115"/>
      <c r="M71" s="116"/>
      <c r="N71" s="116"/>
    </row>
    <row r="72" spans="1:15" s="131" customFormat="1" ht="12.75" customHeight="1">
      <c r="B72" s="198" t="s">
        <v>100</v>
      </c>
      <c r="C72" s="198"/>
      <c r="D72" s="198"/>
      <c r="E72" s="198"/>
      <c r="F72" s="198"/>
      <c r="G72" s="131">
        <f t="shared" si="6"/>
        <v>47.910000000000004</v>
      </c>
      <c r="H72" s="131">
        <v>15</v>
      </c>
      <c r="I72" s="152">
        <f t="shared" si="5"/>
        <v>-32.910000000000004</v>
      </c>
      <c r="J72" s="187">
        <f>I72</f>
        <v>-32.910000000000004</v>
      </c>
      <c r="K72" s="174"/>
      <c r="L72" s="115"/>
      <c r="M72" s="116"/>
      <c r="N72" s="116">
        <f>40.92+14.82-7.83</f>
        <v>47.910000000000004</v>
      </c>
      <c r="O72" s="131" t="s">
        <v>514</v>
      </c>
    </row>
    <row r="73" spans="1:15" s="131" customFormat="1" ht="12.75" customHeight="1">
      <c r="B73" s="198" t="s">
        <v>384</v>
      </c>
      <c r="C73" s="198"/>
      <c r="D73" s="198"/>
      <c r="E73" s="198"/>
      <c r="F73" s="198"/>
      <c r="G73" s="131">
        <f t="shared" si="6"/>
        <v>0</v>
      </c>
      <c r="H73" s="131">
        <v>5</v>
      </c>
      <c r="I73" s="152">
        <f t="shared" si="5"/>
        <v>5</v>
      </c>
      <c r="J73" s="187">
        <f t="shared" ref="J73:J78" si="7">I73</f>
        <v>5</v>
      </c>
      <c r="K73" s="174"/>
      <c r="L73" s="115"/>
      <c r="M73" s="116"/>
      <c r="N73" s="116"/>
    </row>
    <row r="74" spans="1:15" s="131" customFormat="1" ht="12.75" customHeight="1">
      <c r="B74" s="198" t="s">
        <v>385</v>
      </c>
      <c r="C74" s="198"/>
      <c r="D74" s="198"/>
      <c r="E74" s="198"/>
      <c r="F74" s="198"/>
      <c r="G74" s="131">
        <f t="shared" si="6"/>
        <v>0</v>
      </c>
      <c r="H74" s="131">
        <v>65</v>
      </c>
      <c r="I74" s="152">
        <f t="shared" si="5"/>
        <v>65</v>
      </c>
      <c r="J74" s="187">
        <f t="shared" si="7"/>
        <v>65</v>
      </c>
      <c r="K74" s="174"/>
      <c r="L74" s="115"/>
      <c r="M74" s="116"/>
      <c r="N74" s="116"/>
    </row>
    <row r="75" spans="1:15" s="131" customFormat="1" ht="12.75" customHeight="1">
      <c r="B75" s="198" t="s">
        <v>386</v>
      </c>
      <c r="C75" s="198"/>
      <c r="D75" s="198"/>
      <c r="E75" s="198"/>
      <c r="F75" s="198"/>
      <c r="G75" s="131">
        <f t="shared" si="6"/>
        <v>0</v>
      </c>
      <c r="H75" s="131">
        <v>15</v>
      </c>
      <c r="I75" s="152">
        <f t="shared" si="5"/>
        <v>15</v>
      </c>
      <c r="J75" s="187">
        <f t="shared" si="7"/>
        <v>15</v>
      </c>
      <c r="K75" s="174"/>
      <c r="L75" s="115"/>
      <c r="M75" s="116"/>
      <c r="N75" s="116"/>
    </row>
    <row r="76" spans="1:15" s="131" customFormat="1" ht="12.75" customHeight="1">
      <c r="B76" s="198" t="s">
        <v>390</v>
      </c>
      <c r="C76" s="198"/>
      <c r="D76" s="198"/>
      <c r="E76" s="198"/>
      <c r="F76" s="198"/>
      <c r="G76" s="131">
        <f t="shared" si="6"/>
        <v>0</v>
      </c>
      <c r="H76" s="131">
        <v>35</v>
      </c>
      <c r="I76" s="152">
        <f t="shared" si="5"/>
        <v>35</v>
      </c>
      <c r="J76" s="187">
        <f t="shared" si="7"/>
        <v>35</v>
      </c>
      <c r="K76" s="174"/>
      <c r="L76" s="115"/>
      <c r="M76" s="116"/>
      <c r="N76" s="116"/>
    </row>
    <row r="77" spans="1:15" s="131" customFormat="1" ht="12.75" customHeight="1">
      <c r="B77" s="198" t="s">
        <v>387</v>
      </c>
      <c r="C77" s="198"/>
      <c r="D77" s="198"/>
      <c r="E77" s="198"/>
      <c r="F77" s="198"/>
      <c r="G77" s="131">
        <f t="shared" si="6"/>
        <v>0</v>
      </c>
      <c r="H77" s="131">
        <v>20</v>
      </c>
      <c r="I77" s="152">
        <f t="shared" si="5"/>
        <v>20</v>
      </c>
      <c r="J77" s="187">
        <f t="shared" si="7"/>
        <v>20</v>
      </c>
      <c r="K77" s="174"/>
      <c r="L77" s="115"/>
      <c r="M77" s="116"/>
      <c r="N77" s="116"/>
    </row>
    <row r="78" spans="1:15" s="131" customFormat="1" ht="12.75" customHeight="1">
      <c r="B78" s="198" t="s">
        <v>388</v>
      </c>
      <c r="C78" s="198"/>
      <c r="D78" s="198"/>
      <c r="E78" s="198"/>
      <c r="F78" s="198"/>
      <c r="G78" s="131">
        <f t="shared" si="6"/>
        <v>0</v>
      </c>
      <c r="H78" s="131">
        <v>11.5</v>
      </c>
      <c r="I78" s="152">
        <f t="shared" si="5"/>
        <v>11.5</v>
      </c>
      <c r="J78" s="187">
        <f t="shared" si="7"/>
        <v>11.5</v>
      </c>
      <c r="K78" s="174"/>
      <c r="L78" s="115"/>
      <c r="M78" s="116"/>
      <c r="N78" s="116"/>
    </row>
    <row r="79" spans="1:15" s="131" customFormat="1" ht="12.75" customHeight="1">
      <c r="I79" s="152"/>
      <c r="J79" s="187"/>
      <c r="K79" s="174"/>
      <c r="L79" s="115"/>
      <c r="M79" s="116"/>
      <c r="N79" s="116"/>
    </row>
    <row r="80" spans="1:15" s="131" customFormat="1" ht="12.75" customHeight="1">
      <c r="A80" s="149" t="s">
        <v>335</v>
      </c>
      <c r="B80" s="149">
        <f>SUM(G81:G83)</f>
        <v>19.97</v>
      </c>
      <c r="C80" s="149">
        <f>SUM(H81:H83)</f>
        <v>30</v>
      </c>
      <c r="D80" s="149">
        <f>C80-B80</f>
        <v>10.030000000000001</v>
      </c>
      <c r="I80" s="152"/>
      <c r="J80" s="187"/>
      <c r="K80" s="174"/>
      <c r="L80" s="115"/>
      <c r="M80" s="116"/>
      <c r="N80" s="116"/>
    </row>
    <row r="81" spans="1:15" s="131" customFormat="1" ht="12.75" customHeight="1">
      <c r="B81" s="198" t="s">
        <v>101</v>
      </c>
      <c r="C81" s="198"/>
      <c r="D81" s="198"/>
      <c r="E81" s="198"/>
      <c r="F81" s="198"/>
      <c r="G81" s="131">
        <f t="shared" si="6"/>
        <v>0</v>
      </c>
      <c r="H81" s="131">
        <v>10</v>
      </c>
      <c r="I81" s="152">
        <f t="shared" si="5"/>
        <v>10</v>
      </c>
      <c r="J81" s="187">
        <f>I81</f>
        <v>10</v>
      </c>
      <c r="K81" s="174"/>
      <c r="L81" s="115"/>
      <c r="M81" s="116"/>
      <c r="N81" s="116"/>
    </row>
    <row r="82" spans="1:15" s="131" customFormat="1" ht="12.75" customHeight="1">
      <c r="B82" s="198" t="s">
        <v>102</v>
      </c>
      <c r="C82" s="198"/>
      <c r="D82" s="198"/>
      <c r="E82" s="198"/>
      <c r="F82" s="198"/>
      <c r="G82" s="131">
        <f t="shared" si="6"/>
        <v>19.97</v>
      </c>
      <c r="H82" s="131">
        <v>10</v>
      </c>
      <c r="I82" s="152">
        <f t="shared" si="5"/>
        <v>-9.9699999999999989</v>
      </c>
      <c r="J82" s="187">
        <f>I82</f>
        <v>-9.9699999999999989</v>
      </c>
      <c r="K82" s="174"/>
      <c r="L82" s="115"/>
      <c r="M82" s="116"/>
      <c r="N82" s="116">
        <v>19.97</v>
      </c>
      <c r="O82" s="131" t="s">
        <v>517</v>
      </c>
    </row>
    <row r="83" spans="1:15" s="131" customFormat="1" ht="12.75" customHeight="1">
      <c r="B83" s="198" t="s">
        <v>383</v>
      </c>
      <c r="C83" s="198"/>
      <c r="D83" s="198"/>
      <c r="E83" s="198"/>
      <c r="F83" s="198"/>
      <c r="G83" s="131">
        <f t="shared" si="6"/>
        <v>0</v>
      </c>
      <c r="H83" s="131">
        <v>10</v>
      </c>
      <c r="I83" s="152">
        <f t="shared" si="5"/>
        <v>10</v>
      </c>
      <c r="J83" s="187">
        <f>I83</f>
        <v>10</v>
      </c>
      <c r="K83" s="174"/>
      <c r="L83" s="115"/>
      <c r="M83" s="116"/>
      <c r="N83" s="116"/>
    </row>
    <row r="84" spans="1:15" s="131" customFormat="1" ht="12.75" customHeight="1">
      <c r="I84" s="152"/>
      <c r="J84" s="187"/>
      <c r="K84" s="174"/>
      <c r="L84" s="115"/>
      <c r="M84" s="116"/>
      <c r="N84" s="116"/>
    </row>
    <row r="85" spans="1:15" s="131" customFormat="1" ht="12.75" customHeight="1">
      <c r="A85" s="149" t="s">
        <v>110</v>
      </c>
      <c r="B85" s="149">
        <f>SUM(G86:G88)</f>
        <v>60.82</v>
      </c>
      <c r="C85" s="149">
        <f>SUM(H86:H88)</f>
        <v>115</v>
      </c>
      <c r="D85" s="149">
        <f>C85-B85</f>
        <v>54.18</v>
      </c>
      <c r="I85" s="152"/>
      <c r="J85" s="187"/>
      <c r="K85" s="174"/>
      <c r="L85" s="115"/>
      <c r="M85" s="116"/>
      <c r="N85" s="116"/>
    </row>
    <row r="86" spans="1:15" s="131" customFormat="1" ht="12.75" customHeight="1">
      <c r="B86" s="198" t="s">
        <v>389</v>
      </c>
      <c r="C86" s="198"/>
      <c r="D86" s="198"/>
      <c r="E86" s="198"/>
      <c r="F86" s="198"/>
      <c r="G86" s="131">
        <f t="shared" si="6"/>
        <v>0</v>
      </c>
      <c r="H86" s="131">
        <v>30</v>
      </c>
      <c r="I86" s="152">
        <f t="shared" si="5"/>
        <v>30</v>
      </c>
      <c r="J86" s="187">
        <f>I86</f>
        <v>30</v>
      </c>
      <c r="K86" s="174"/>
      <c r="L86" s="115"/>
      <c r="M86" s="116"/>
      <c r="N86" s="116"/>
    </row>
    <row r="87" spans="1:15" s="131" customFormat="1" ht="12.75" customHeight="1">
      <c r="B87" s="198" t="s">
        <v>111</v>
      </c>
      <c r="C87" s="198"/>
      <c r="D87" s="198"/>
      <c r="E87" s="198"/>
      <c r="F87" s="198"/>
      <c r="G87" s="131">
        <f t="shared" si="6"/>
        <v>0</v>
      </c>
      <c r="H87" s="131">
        <v>20</v>
      </c>
      <c r="I87" s="152">
        <f t="shared" si="5"/>
        <v>20</v>
      </c>
      <c r="J87" s="187">
        <f>I87</f>
        <v>20</v>
      </c>
      <c r="K87" s="174"/>
      <c r="L87" s="115"/>
      <c r="M87" s="116"/>
      <c r="N87" s="116"/>
    </row>
    <row r="88" spans="1:15" s="131" customFormat="1" ht="12.75" customHeight="1">
      <c r="B88" s="131" t="s">
        <v>391</v>
      </c>
      <c r="G88" s="131">
        <f t="shared" si="6"/>
        <v>60.82</v>
      </c>
      <c r="H88" s="131">
        <v>65</v>
      </c>
      <c r="I88" s="152">
        <f t="shared" si="5"/>
        <v>4.18</v>
      </c>
      <c r="J88" s="187">
        <f>I88</f>
        <v>4.18</v>
      </c>
      <c r="K88" s="174"/>
      <c r="L88" s="115"/>
      <c r="M88" s="116">
        <v>60.82</v>
      </c>
      <c r="N88" s="116"/>
    </row>
    <row r="89" spans="1:15" s="131" customFormat="1" ht="12.75" customHeight="1">
      <c r="I89" s="152"/>
      <c r="J89" s="187"/>
      <c r="K89" s="174"/>
      <c r="L89" s="115"/>
      <c r="M89" s="116"/>
      <c r="N89" s="116"/>
    </row>
    <row r="90" spans="1:15" s="131" customFormat="1" ht="13.5">
      <c r="A90" s="149" t="s">
        <v>112</v>
      </c>
      <c r="B90" s="149">
        <f>SUM(G91:G95)</f>
        <v>240.96000000000004</v>
      </c>
      <c r="C90" s="149">
        <f>SUM(H91:H95)</f>
        <v>220</v>
      </c>
      <c r="D90" s="149">
        <f>C90-B90</f>
        <v>-20.960000000000036</v>
      </c>
      <c r="I90" s="152"/>
      <c r="J90" s="187"/>
      <c r="K90" s="174"/>
      <c r="L90" s="115"/>
      <c r="M90" s="116"/>
      <c r="N90" s="116"/>
    </row>
    <row r="91" spans="1:15" s="131" customFormat="1" ht="13.5">
      <c r="B91" s="131" t="s">
        <v>113</v>
      </c>
      <c r="G91" s="131">
        <f t="shared" si="6"/>
        <v>41.27</v>
      </c>
      <c r="H91" s="131">
        <v>40</v>
      </c>
      <c r="I91" s="152">
        <f t="shared" si="5"/>
        <v>-1.2700000000000031</v>
      </c>
      <c r="J91" s="187">
        <f>I91</f>
        <v>-1.2700000000000031</v>
      </c>
      <c r="K91" s="174"/>
      <c r="L91" s="115"/>
      <c r="M91" s="116">
        <v>41.27</v>
      </c>
      <c r="N91" s="116"/>
    </row>
    <row r="92" spans="1:15" s="131" customFormat="1" ht="13.5">
      <c r="B92" s="131" t="s">
        <v>114</v>
      </c>
      <c r="D92" s="131" t="s">
        <v>115</v>
      </c>
      <c r="G92" s="131">
        <f t="shared" si="6"/>
        <v>85</v>
      </c>
      <c r="H92" s="131">
        <v>120</v>
      </c>
      <c r="I92" s="152">
        <f t="shared" si="5"/>
        <v>35</v>
      </c>
      <c r="J92" s="187">
        <f>I92</f>
        <v>35</v>
      </c>
      <c r="K92" s="174"/>
      <c r="L92" s="115"/>
      <c r="M92" s="116">
        <f>85</f>
        <v>85</v>
      </c>
      <c r="N92" s="116"/>
    </row>
    <row r="93" spans="1:15" s="131" customFormat="1" ht="13.5">
      <c r="B93" s="131" t="s">
        <v>116</v>
      </c>
      <c r="G93" s="131">
        <f t="shared" si="6"/>
        <v>25.55</v>
      </c>
      <c r="H93" s="131">
        <v>20</v>
      </c>
      <c r="I93" s="152">
        <f t="shared" si="5"/>
        <v>-5.5500000000000007</v>
      </c>
      <c r="J93" s="187">
        <f>I93</f>
        <v>-5.5500000000000007</v>
      </c>
      <c r="K93" s="174"/>
      <c r="L93" s="115"/>
      <c r="M93" s="116">
        <f>13.97+(47.71-19.97-18.86)+2.7</f>
        <v>25.55</v>
      </c>
      <c r="N93" s="116"/>
    </row>
    <row r="94" spans="1:15" s="131" customFormat="1" ht="13.5">
      <c r="A94" s="149"/>
      <c r="B94" s="131" t="s">
        <v>117</v>
      </c>
      <c r="G94" s="131">
        <f>SUM(L94:N94)</f>
        <v>0</v>
      </c>
      <c r="H94" s="131">
        <v>20</v>
      </c>
      <c r="I94" s="152">
        <f t="shared" si="5"/>
        <v>20</v>
      </c>
      <c r="J94" s="187">
        <f>I94</f>
        <v>20</v>
      </c>
      <c r="K94" s="174"/>
      <c r="L94" s="115"/>
      <c r="M94" s="116"/>
      <c r="N94" s="116"/>
    </row>
    <row r="95" spans="1:15" s="131" customFormat="1" ht="13.5">
      <c r="A95" s="149"/>
      <c r="B95" s="131" t="s">
        <v>118</v>
      </c>
      <c r="G95" s="131">
        <f t="shared" si="6"/>
        <v>89.14</v>
      </c>
      <c r="H95" s="131">
        <v>20</v>
      </c>
      <c r="I95" s="152">
        <f t="shared" si="5"/>
        <v>-69.14</v>
      </c>
      <c r="J95" s="187">
        <f>I95</f>
        <v>-69.14</v>
      </c>
      <c r="K95" s="174"/>
      <c r="L95" s="115"/>
      <c r="M95" s="116">
        <f>2.06+6.15+1.5+7.95+3.6+5.33+54.12+6.21+2.22</f>
        <v>89.14</v>
      </c>
      <c r="N95" s="116"/>
    </row>
    <row r="96" spans="1:15" s="131" customFormat="1" ht="13.5">
      <c r="A96" s="149"/>
      <c r="B96" s="149"/>
      <c r="I96" s="152"/>
      <c r="J96" s="187"/>
      <c r="K96" s="174"/>
      <c r="L96" s="115"/>
      <c r="M96" s="116"/>
      <c r="N96" s="116"/>
    </row>
    <row r="97" spans="1:15" s="131" customFormat="1" ht="13.5">
      <c r="A97" s="149" t="s">
        <v>119</v>
      </c>
      <c r="B97" s="149">
        <f>SUM(G98:G101)</f>
        <v>280.49</v>
      </c>
      <c r="C97" s="149">
        <f>SUM(H98:H101)</f>
        <v>435</v>
      </c>
      <c r="D97" s="149">
        <f>C97-B97</f>
        <v>154.51</v>
      </c>
      <c r="I97" s="152"/>
      <c r="J97" s="187"/>
      <c r="K97" s="174"/>
      <c r="L97" s="115"/>
      <c r="M97" s="116"/>
      <c r="N97" s="116"/>
    </row>
    <row r="98" spans="1:15" s="131" customFormat="1" ht="13.5">
      <c r="B98" s="198" t="s">
        <v>120</v>
      </c>
      <c r="C98" s="198"/>
      <c r="D98" s="198" t="s">
        <v>121</v>
      </c>
      <c r="E98" s="198"/>
      <c r="F98" s="198"/>
      <c r="G98" s="131">
        <f t="shared" si="6"/>
        <v>0</v>
      </c>
      <c r="H98" s="131">
        <v>150</v>
      </c>
      <c r="I98" s="152">
        <f t="shared" si="5"/>
        <v>150</v>
      </c>
      <c r="J98" s="187">
        <f>I98</f>
        <v>150</v>
      </c>
      <c r="K98" s="174"/>
      <c r="L98" s="115"/>
      <c r="M98" s="116"/>
      <c r="N98" s="116"/>
    </row>
    <row r="99" spans="1:15" s="131" customFormat="1" ht="13.5">
      <c r="B99" s="198" t="s">
        <v>122</v>
      </c>
      <c r="C99" s="198"/>
      <c r="D99" s="198" t="s">
        <v>123</v>
      </c>
      <c r="E99" s="198"/>
      <c r="F99" s="198"/>
      <c r="G99" s="131">
        <f t="shared" si="6"/>
        <v>22.99</v>
      </c>
      <c r="H99" s="131">
        <v>20</v>
      </c>
      <c r="I99" s="152">
        <f t="shared" si="5"/>
        <v>-2.9899999999999984</v>
      </c>
      <c r="J99" s="187">
        <f>I99</f>
        <v>-2.9899999999999984</v>
      </c>
      <c r="K99" s="174"/>
      <c r="L99" s="115"/>
      <c r="M99" s="116"/>
      <c r="N99" s="116">
        <v>22.99</v>
      </c>
      <c r="O99" s="131" t="s">
        <v>544</v>
      </c>
    </row>
    <row r="100" spans="1:15" s="131" customFormat="1" ht="13.5">
      <c r="A100" s="149"/>
      <c r="B100" s="131" t="s">
        <v>124</v>
      </c>
      <c r="G100" s="131">
        <f t="shared" si="6"/>
        <v>257.5</v>
      </c>
      <c r="H100" s="131">
        <v>215</v>
      </c>
      <c r="I100" s="152">
        <f t="shared" si="5"/>
        <v>-42.5</v>
      </c>
      <c r="J100" s="187">
        <f>I100</f>
        <v>-42.5</v>
      </c>
      <c r="K100" s="174"/>
      <c r="L100" s="115">
        <v>257.5</v>
      </c>
      <c r="M100" s="116"/>
      <c r="N100" s="116"/>
    </row>
    <row r="101" spans="1:15" s="131" customFormat="1" ht="13.5">
      <c r="A101" s="149"/>
      <c r="B101" s="198" t="s">
        <v>125</v>
      </c>
      <c r="C101" s="198"/>
      <c r="D101" s="198"/>
      <c r="E101" s="198"/>
      <c r="F101" s="198"/>
      <c r="G101" s="131">
        <f t="shared" si="6"/>
        <v>0</v>
      </c>
      <c r="H101" s="131">
        <v>50</v>
      </c>
      <c r="I101" s="152">
        <f t="shared" si="5"/>
        <v>50</v>
      </c>
      <c r="J101" s="187">
        <f>I101</f>
        <v>50</v>
      </c>
      <c r="K101" s="174"/>
      <c r="L101" s="115"/>
      <c r="M101" s="116"/>
      <c r="N101" s="116"/>
    </row>
    <row r="102" spans="1:15" s="131" customFormat="1" ht="13.5">
      <c r="A102" s="149"/>
      <c r="I102" s="152"/>
      <c r="J102" s="187"/>
      <c r="K102" s="174"/>
      <c r="L102" s="115"/>
      <c r="M102" s="116"/>
      <c r="N102" s="116"/>
    </row>
    <row r="103" spans="1:15" s="131" customFormat="1" ht="13.5">
      <c r="A103" s="149" t="s">
        <v>103</v>
      </c>
      <c r="B103" s="149">
        <f>SUM(G104:G110)</f>
        <v>445.71</v>
      </c>
      <c r="C103" s="149">
        <f>SUM(H104:H110)</f>
        <v>637</v>
      </c>
      <c r="D103" s="149">
        <f>C103-B103</f>
        <v>191.29000000000002</v>
      </c>
      <c r="I103" s="152"/>
      <c r="J103" s="187"/>
      <c r="K103" s="174"/>
      <c r="L103" s="115"/>
      <c r="M103" s="116"/>
      <c r="N103" s="116"/>
    </row>
    <row r="104" spans="1:15" s="131" customFormat="1" ht="13.5">
      <c r="B104" s="131" t="s">
        <v>456</v>
      </c>
      <c r="G104" s="131">
        <f t="shared" si="6"/>
        <v>60</v>
      </c>
      <c r="H104" s="131">
        <v>50</v>
      </c>
      <c r="I104" s="152">
        <f t="shared" si="5"/>
        <v>-10</v>
      </c>
      <c r="J104" s="187">
        <f>I104</f>
        <v>-10</v>
      </c>
      <c r="K104" s="174"/>
      <c r="L104" s="115">
        <v>60</v>
      </c>
      <c r="M104" s="116"/>
      <c r="N104" s="116"/>
      <c r="O104" s="231">
        <v>41277</v>
      </c>
    </row>
    <row r="105" spans="1:15" s="131" customFormat="1" ht="13.5">
      <c r="B105" s="131" t="s">
        <v>105</v>
      </c>
      <c r="D105" s="131" t="s">
        <v>457</v>
      </c>
      <c r="E105" s="131" t="s">
        <v>560</v>
      </c>
      <c r="G105" s="131">
        <f t="shared" si="6"/>
        <v>285.77</v>
      </c>
      <c r="H105" s="131">
        <v>500</v>
      </c>
      <c r="I105" s="152">
        <f t="shared" si="5"/>
        <v>214.23000000000002</v>
      </c>
      <c r="J105" s="187">
        <f t="shared" ref="J105:J110" si="8">I105</f>
        <v>214.23000000000002</v>
      </c>
      <c r="K105" s="174"/>
      <c r="L105" s="115"/>
      <c r="M105" s="116"/>
      <c r="N105" s="116">
        <f>40.07+40.04+19.98+53.48+2.49+27.09+27.02+22.13+11.92+28.85+13.3-0.6</f>
        <v>285.77</v>
      </c>
    </row>
    <row r="106" spans="1:15" s="131" customFormat="1" ht="13.5">
      <c r="B106" s="131" t="s">
        <v>392</v>
      </c>
      <c r="G106" s="131">
        <f t="shared" si="6"/>
        <v>76.25</v>
      </c>
      <c r="H106" s="131">
        <v>27</v>
      </c>
      <c r="I106" s="152">
        <f t="shared" si="5"/>
        <v>-49.25</v>
      </c>
      <c r="J106" s="187">
        <f t="shared" si="8"/>
        <v>-49.25</v>
      </c>
      <c r="K106" s="174"/>
      <c r="L106" s="115">
        <v>76.25</v>
      </c>
      <c r="M106" s="116"/>
      <c r="N106" s="116"/>
    </row>
    <row r="107" spans="1:15" s="131" customFormat="1" ht="13.5">
      <c r="B107" s="131" t="s">
        <v>106</v>
      </c>
      <c r="G107" s="131">
        <f t="shared" si="6"/>
        <v>0</v>
      </c>
      <c r="H107" s="131">
        <v>15</v>
      </c>
      <c r="I107" s="152">
        <f t="shared" si="5"/>
        <v>15</v>
      </c>
      <c r="J107" s="187">
        <f t="shared" si="8"/>
        <v>15</v>
      </c>
      <c r="K107" s="174"/>
      <c r="L107" s="115"/>
      <c r="M107" s="116"/>
      <c r="N107" s="116"/>
    </row>
    <row r="108" spans="1:15" s="131" customFormat="1" ht="13.5">
      <c r="B108" s="131" t="s">
        <v>107</v>
      </c>
      <c r="G108" s="131">
        <f t="shared" si="6"/>
        <v>14.240000000000004</v>
      </c>
      <c r="H108" s="131">
        <v>20</v>
      </c>
      <c r="I108" s="152">
        <f t="shared" si="5"/>
        <v>5.7599999999999962</v>
      </c>
      <c r="J108" s="187">
        <f t="shared" si="8"/>
        <v>5.7599999999999962</v>
      </c>
      <c r="K108" s="174"/>
      <c r="L108" s="115"/>
      <c r="M108" s="116"/>
      <c r="N108" s="116">
        <f>(36.02-9.86-11.92)</f>
        <v>14.240000000000004</v>
      </c>
    </row>
    <row r="109" spans="1:15" s="131" customFormat="1" ht="13.5">
      <c r="B109" s="131" t="s">
        <v>108</v>
      </c>
      <c r="G109" s="131">
        <f t="shared" si="6"/>
        <v>9.4500000000000011</v>
      </c>
      <c r="H109" s="131">
        <v>20</v>
      </c>
      <c r="I109" s="152">
        <f t="shared" si="5"/>
        <v>10.549999999999999</v>
      </c>
      <c r="J109" s="187">
        <f t="shared" si="8"/>
        <v>10.549999999999999</v>
      </c>
      <c r="K109" s="174"/>
      <c r="L109" s="115"/>
      <c r="M109" s="116">
        <v>19.440000000000001</v>
      </c>
      <c r="N109" s="116">
        <v>-9.99</v>
      </c>
      <c r="O109" s="131" t="s">
        <v>508</v>
      </c>
    </row>
    <row r="110" spans="1:15" s="131" customFormat="1" ht="13.5">
      <c r="B110" s="131" t="s">
        <v>109</v>
      </c>
      <c r="G110" s="131">
        <f t="shared" si="6"/>
        <v>0</v>
      </c>
      <c r="H110" s="131">
        <v>5</v>
      </c>
      <c r="I110" s="152">
        <f t="shared" si="5"/>
        <v>5</v>
      </c>
      <c r="J110" s="187">
        <f t="shared" si="8"/>
        <v>5</v>
      </c>
      <c r="K110" s="174"/>
      <c r="L110" s="115"/>
      <c r="M110" s="116"/>
      <c r="N110" s="116"/>
    </row>
    <row r="111" spans="1:15" s="131" customFormat="1" ht="13.5">
      <c r="I111" s="152"/>
      <c r="J111" s="187"/>
      <c r="K111" s="174"/>
      <c r="L111" s="115"/>
      <c r="M111" s="116"/>
      <c r="N111" s="116"/>
    </row>
    <row r="112" spans="1:15" s="131" customFormat="1" ht="13.5">
      <c r="A112" s="149" t="s">
        <v>407</v>
      </c>
      <c r="B112" s="149">
        <f>G113+G114</f>
        <v>18.86</v>
      </c>
      <c r="C112" s="149">
        <f>H113</f>
        <v>20</v>
      </c>
      <c r="D112" s="149">
        <f>C112-B112</f>
        <v>1.1400000000000006</v>
      </c>
      <c r="I112" s="152"/>
      <c r="J112" s="187"/>
      <c r="K112" s="174"/>
      <c r="L112" s="115"/>
      <c r="M112" s="116"/>
      <c r="N112" s="116"/>
    </row>
    <row r="113" spans="1:15" s="131" customFormat="1" ht="13.5">
      <c r="B113" s="131" t="s">
        <v>408</v>
      </c>
      <c r="G113" s="131">
        <f t="shared" si="6"/>
        <v>18.86</v>
      </c>
      <c r="H113" s="131">
        <v>20</v>
      </c>
      <c r="I113" s="152">
        <f t="shared" si="5"/>
        <v>1.1400000000000006</v>
      </c>
      <c r="J113" s="187">
        <f>I113</f>
        <v>1.1400000000000006</v>
      </c>
      <c r="K113" s="174"/>
      <c r="L113" s="115"/>
      <c r="M113" s="116"/>
      <c r="N113" s="116">
        <v>18.86</v>
      </c>
      <c r="O113" s="131" t="s">
        <v>518</v>
      </c>
    </row>
    <row r="114" spans="1:15" s="131" customFormat="1" ht="13.5">
      <c r="I114" s="152"/>
      <c r="J114" s="187"/>
      <c r="K114" s="174"/>
      <c r="L114" s="115"/>
      <c r="M114" s="116"/>
      <c r="N114" s="116"/>
    </row>
    <row r="115" spans="1:15" s="131" customFormat="1" ht="13.5">
      <c r="I115" s="152"/>
      <c r="J115" s="187"/>
      <c r="K115" s="174"/>
      <c r="L115" s="115"/>
      <c r="M115" s="116"/>
      <c r="N115" s="116"/>
    </row>
    <row r="116" spans="1:15" s="131" customFormat="1" ht="13.5">
      <c r="A116" s="149" t="s">
        <v>130</v>
      </c>
      <c r="B116" s="149">
        <f>G117</f>
        <v>9.86</v>
      </c>
      <c r="C116" s="149">
        <f>H117</f>
        <v>10</v>
      </c>
      <c r="D116" s="149">
        <f>I117</f>
        <v>0.14000000000000057</v>
      </c>
      <c r="I116" s="152"/>
      <c r="J116" s="187"/>
      <c r="K116" s="174"/>
      <c r="L116" s="115"/>
      <c r="M116" s="116"/>
      <c r="N116" s="116"/>
    </row>
    <row r="117" spans="1:15" s="131" customFormat="1" ht="13.5">
      <c r="B117" s="131" t="s">
        <v>455</v>
      </c>
      <c r="G117" s="131">
        <f t="shared" si="6"/>
        <v>9.86</v>
      </c>
      <c r="H117" s="131">
        <v>10</v>
      </c>
      <c r="I117" s="152">
        <f t="shared" si="5"/>
        <v>0.14000000000000057</v>
      </c>
      <c r="J117" s="187">
        <f>I117</f>
        <v>0.14000000000000057</v>
      </c>
      <c r="K117" s="174"/>
      <c r="L117" s="115"/>
      <c r="M117" s="116"/>
      <c r="N117" s="116">
        <v>9.86</v>
      </c>
    </row>
    <row r="118" spans="1:15" s="131" customFormat="1" ht="13.5">
      <c r="I118" s="152"/>
      <c r="J118" s="187"/>
      <c r="K118" s="174"/>
      <c r="L118" s="115"/>
      <c r="M118" s="116"/>
      <c r="N118" s="116"/>
    </row>
    <row r="119" spans="1:15" s="131" customFormat="1" ht="13.5">
      <c r="A119" s="149" t="s">
        <v>406</v>
      </c>
      <c r="B119" s="149">
        <f>SUM(G120:G121)</f>
        <v>144.37</v>
      </c>
      <c r="C119" s="149">
        <f>SUM(H120:H121)</f>
        <v>65</v>
      </c>
      <c r="D119" s="149">
        <f>C119-B119</f>
        <v>-79.37</v>
      </c>
      <c r="I119" s="152"/>
      <c r="J119" s="187"/>
      <c r="K119" s="174"/>
      <c r="L119" s="115"/>
      <c r="M119" s="116"/>
      <c r="N119" s="116"/>
    </row>
    <row r="120" spans="1:15" s="131" customFormat="1" ht="13.5">
      <c r="B120" s="131" t="s">
        <v>493</v>
      </c>
      <c r="E120" s="131" t="s">
        <v>558</v>
      </c>
      <c r="G120" s="131">
        <f>SUM(L120:N120)</f>
        <v>100.37</v>
      </c>
      <c r="H120" s="131">
        <v>60</v>
      </c>
      <c r="I120" s="152">
        <f t="shared" si="5"/>
        <v>-40.370000000000005</v>
      </c>
      <c r="J120" s="187">
        <f>I120</f>
        <v>-40.370000000000005</v>
      </c>
      <c r="K120" s="174"/>
      <c r="L120" s="115"/>
      <c r="M120" s="115"/>
      <c r="N120" s="116">
        <f>14.49+19.87+7.05+(13.06-1)+36+10.9</f>
        <v>100.37</v>
      </c>
      <c r="O120" s="131" t="s">
        <v>532</v>
      </c>
    </row>
    <row r="121" spans="1:15" s="131" customFormat="1" ht="13.5">
      <c r="B121" s="131" t="s">
        <v>403</v>
      </c>
      <c r="G121" s="131">
        <f t="shared" si="6"/>
        <v>44</v>
      </c>
      <c r="H121" s="131">
        <v>5</v>
      </c>
      <c r="I121" s="152">
        <f t="shared" si="5"/>
        <v>-39</v>
      </c>
      <c r="J121" s="187">
        <f>I121</f>
        <v>-39</v>
      </c>
      <c r="K121" s="174"/>
      <c r="L121" s="115"/>
      <c r="M121" s="115">
        <v>44</v>
      </c>
      <c r="N121" s="116"/>
      <c r="O121" s="131" t="s">
        <v>533</v>
      </c>
    </row>
    <row r="122" spans="1:15" s="131" customFormat="1" ht="13.5">
      <c r="I122" s="152"/>
      <c r="J122" s="187"/>
      <c r="K122" s="174"/>
      <c r="L122" s="115"/>
      <c r="M122" s="115"/>
      <c r="N122" s="116"/>
    </row>
    <row r="123" spans="1:15" s="131" customFormat="1" ht="13.5">
      <c r="A123" s="149" t="s">
        <v>132</v>
      </c>
      <c r="B123" s="149">
        <f>G124</f>
        <v>0</v>
      </c>
      <c r="C123" s="149">
        <f>H124</f>
        <v>10</v>
      </c>
      <c r="D123" s="149">
        <f>C123-B123</f>
        <v>10</v>
      </c>
      <c r="I123" s="152"/>
      <c r="J123" s="187"/>
      <c r="K123" s="174"/>
      <c r="L123" s="115"/>
      <c r="M123" s="115"/>
      <c r="N123" s="116"/>
    </row>
    <row r="124" spans="1:15" s="131" customFormat="1" ht="13.5">
      <c r="B124" s="131" t="s">
        <v>133</v>
      </c>
      <c r="G124" s="131">
        <f t="shared" ref="G124:G140" si="9">SUM(L124:N124)</f>
        <v>0</v>
      </c>
      <c r="H124" s="131">
        <v>10</v>
      </c>
      <c r="I124" s="152">
        <f t="shared" ref="I124:I140" si="10">H124-G124</f>
        <v>10</v>
      </c>
      <c r="J124" s="187">
        <f>I124</f>
        <v>10</v>
      </c>
      <c r="K124" s="174"/>
      <c r="L124" s="115"/>
      <c r="M124" s="115"/>
      <c r="N124" s="116"/>
    </row>
    <row r="125" spans="1:15" s="131" customFormat="1" ht="13.5">
      <c r="I125" s="152"/>
      <c r="J125" s="187"/>
      <c r="K125" s="174"/>
      <c r="L125" s="115"/>
      <c r="M125" s="115"/>
      <c r="N125" s="116"/>
    </row>
    <row r="126" spans="1:15" s="131" customFormat="1" ht="13.5">
      <c r="A126" s="149" t="s">
        <v>404</v>
      </c>
      <c r="B126" s="149">
        <f>SUM(G127:G128)</f>
        <v>15.17</v>
      </c>
      <c r="C126" s="149">
        <f>SUM(H127:H128)</f>
        <v>35</v>
      </c>
      <c r="D126" s="149">
        <f>C126-B126</f>
        <v>19.829999999999998</v>
      </c>
      <c r="I126" s="152"/>
      <c r="J126" s="187"/>
      <c r="K126" s="174"/>
      <c r="L126" s="115"/>
      <c r="M126" s="115"/>
      <c r="N126" s="116"/>
    </row>
    <row r="127" spans="1:15" s="131" customFormat="1" ht="13.5">
      <c r="B127" s="198" t="s">
        <v>128</v>
      </c>
      <c r="C127" s="198"/>
      <c r="D127" s="198"/>
      <c r="E127" s="198"/>
      <c r="F127" s="198"/>
      <c r="G127" s="131">
        <f t="shared" si="9"/>
        <v>15.17</v>
      </c>
      <c r="H127" s="131">
        <v>20</v>
      </c>
      <c r="I127" s="152">
        <f t="shared" si="10"/>
        <v>4.83</v>
      </c>
      <c r="J127" s="187">
        <f>I127</f>
        <v>4.83</v>
      </c>
      <c r="K127" s="174"/>
      <c r="L127" s="115"/>
      <c r="M127" s="115"/>
      <c r="N127" s="116">
        <v>15.17</v>
      </c>
    </row>
    <row r="128" spans="1:15" s="131" customFormat="1" ht="13.5">
      <c r="B128" s="198" t="s">
        <v>129</v>
      </c>
      <c r="C128" s="198"/>
      <c r="D128" s="198" t="s">
        <v>405</v>
      </c>
      <c r="E128" s="198"/>
      <c r="F128" s="198"/>
      <c r="G128" s="131">
        <f t="shared" si="9"/>
        <v>0</v>
      </c>
      <c r="H128" s="131">
        <v>15</v>
      </c>
      <c r="I128" s="152">
        <f t="shared" si="10"/>
        <v>15</v>
      </c>
      <c r="J128" s="187">
        <f>I128</f>
        <v>15</v>
      </c>
      <c r="K128" s="174"/>
      <c r="L128" s="115"/>
      <c r="M128" s="115"/>
      <c r="N128" s="116"/>
    </row>
    <row r="129" spans="1:14" s="131" customFormat="1" ht="13.5">
      <c r="I129" s="152"/>
      <c r="J129" s="187"/>
      <c r="K129" s="174"/>
      <c r="L129" s="115"/>
      <c r="M129" s="115"/>
      <c r="N129" s="116"/>
    </row>
    <row r="130" spans="1:14" s="131" customFormat="1" ht="14.25" thickBot="1">
      <c r="I130" s="152"/>
      <c r="J130" s="187"/>
      <c r="K130" s="174"/>
      <c r="L130" s="115"/>
      <c r="M130" s="115"/>
      <c r="N130" s="116"/>
    </row>
    <row r="131" spans="1:14" s="131" customFormat="1" ht="14.25" thickBot="1">
      <c r="A131" s="149" t="s">
        <v>436</v>
      </c>
      <c r="B131" s="131">
        <f>SUM(G133:G140)</f>
        <v>0</v>
      </c>
      <c r="C131" s="131">
        <f>SUM(H133:H140)</f>
        <v>450</v>
      </c>
      <c r="D131" s="131">
        <f>C131-B131</f>
        <v>450</v>
      </c>
      <c r="E131" s="185"/>
      <c r="I131" s="152"/>
      <c r="J131" s="187"/>
      <c r="K131" s="174"/>
      <c r="L131" s="115"/>
      <c r="M131" s="115"/>
      <c r="N131" s="116"/>
    </row>
    <row r="132" spans="1:14" s="131" customFormat="1" ht="13.5">
      <c r="A132" s="149" t="s">
        <v>437</v>
      </c>
      <c r="I132" s="152"/>
      <c r="J132" s="187"/>
      <c r="K132" s="174"/>
      <c r="L132" s="115"/>
      <c r="M132" s="115"/>
      <c r="N132" s="116"/>
    </row>
    <row r="133" spans="1:14" s="131" customFormat="1" ht="13.5">
      <c r="A133" s="149" t="s">
        <v>418</v>
      </c>
      <c r="B133" s="131" t="s">
        <v>445</v>
      </c>
      <c r="G133" s="131">
        <f t="shared" si="9"/>
        <v>0</v>
      </c>
      <c r="H133" s="131">
        <v>100</v>
      </c>
      <c r="I133" s="152">
        <f t="shared" si="10"/>
        <v>100</v>
      </c>
      <c r="J133" s="187">
        <v>100</v>
      </c>
      <c r="K133" s="174"/>
      <c r="L133" s="115"/>
      <c r="M133" s="115"/>
      <c r="N133" s="116"/>
    </row>
    <row r="134" spans="1:14" s="131" customFormat="1" ht="13.5">
      <c r="A134" s="149" t="s">
        <v>516</v>
      </c>
      <c r="I134" s="152"/>
      <c r="J134" s="187"/>
      <c r="K134" s="174"/>
      <c r="L134" s="115"/>
      <c r="M134" s="115"/>
      <c r="N134" s="116"/>
    </row>
    <row r="135" spans="1:14" s="131" customFormat="1" ht="13.5">
      <c r="B135" s="131" t="s">
        <v>401</v>
      </c>
      <c r="G135" s="131">
        <f t="shared" si="9"/>
        <v>0</v>
      </c>
      <c r="H135" s="131">
        <v>100</v>
      </c>
      <c r="I135" s="152">
        <f t="shared" si="10"/>
        <v>100</v>
      </c>
      <c r="J135" s="187">
        <f>I135</f>
        <v>100</v>
      </c>
      <c r="K135" s="174"/>
      <c r="L135" s="115"/>
      <c r="M135" s="115"/>
      <c r="N135" s="116"/>
    </row>
    <row r="136" spans="1:14" s="131" customFormat="1" ht="13.5">
      <c r="B136" s="131" t="s">
        <v>402</v>
      </c>
      <c r="G136" s="131">
        <f t="shared" si="9"/>
        <v>0</v>
      </c>
      <c r="H136" s="131">
        <v>100</v>
      </c>
      <c r="I136" s="152">
        <f t="shared" si="10"/>
        <v>100</v>
      </c>
      <c r="J136" s="187">
        <f>I136</f>
        <v>100</v>
      </c>
      <c r="K136" s="174"/>
      <c r="L136" s="115"/>
      <c r="M136" s="115"/>
      <c r="N136" s="116"/>
    </row>
    <row r="137" spans="1:14" s="131" customFormat="1" ht="13.5">
      <c r="B137" s="131" t="s">
        <v>126</v>
      </c>
      <c r="G137" s="131">
        <f t="shared" si="9"/>
        <v>0</v>
      </c>
      <c r="H137" s="131">
        <v>30</v>
      </c>
      <c r="I137" s="152">
        <f t="shared" si="10"/>
        <v>30</v>
      </c>
      <c r="J137" s="187">
        <f>I137</f>
        <v>30</v>
      </c>
      <c r="K137" s="174"/>
      <c r="L137" s="115"/>
      <c r="M137" s="115"/>
      <c r="N137" s="116"/>
    </row>
    <row r="138" spans="1:14" s="131" customFormat="1" ht="13.5">
      <c r="B138" s="131" t="s">
        <v>127</v>
      </c>
      <c r="G138" s="131">
        <f t="shared" si="9"/>
        <v>0</v>
      </c>
      <c r="H138" s="131">
        <v>50</v>
      </c>
      <c r="I138" s="152">
        <f t="shared" si="10"/>
        <v>50</v>
      </c>
      <c r="J138" s="187">
        <f>I138</f>
        <v>50</v>
      </c>
      <c r="K138" s="174"/>
      <c r="L138" s="115"/>
      <c r="M138" s="115"/>
      <c r="N138" s="116"/>
    </row>
    <row r="139" spans="1:14" s="131" customFormat="1" ht="13.5">
      <c r="I139" s="152"/>
      <c r="J139" s="187"/>
      <c r="K139" s="179"/>
      <c r="L139" s="115"/>
      <c r="M139" s="115"/>
      <c r="N139" s="116"/>
    </row>
    <row r="140" spans="1:14" s="131" customFormat="1" ht="13.5">
      <c r="A140" s="149" t="s">
        <v>431</v>
      </c>
      <c r="G140" s="131">
        <f t="shared" si="9"/>
        <v>0</v>
      </c>
      <c r="H140" s="131">
        <v>70</v>
      </c>
      <c r="I140" s="152">
        <f t="shared" si="10"/>
        <v>70</v>
      </c>
      <c r="J140" s="187">
        <v>70</v>
      </c>
      <c r="K140" s="179"/>
      <c r="L140" s="115"/>
      <c r="M140" s="115"/>
      <c r="N140" s="116"/>
    </row>
    <row r="141" spans="1:14">
      <c r="J141" s="190"/>
    </row>
    <row r="142" spans="1:14">
      <c r="J142" s="190"/>
    </row>
    <row r="143" spans="1:14">
      <c r="J143" s="190"/>
    </row>
    <row r="144" spans="1:14">
      <c r="J144" s="190"/>
    </row>
    <row r="145" spans="10:10">
      <c r="J145" s="190"/>
    </row>
    <row r="146" spans="10:10">
      <c r="J146" s="190"/>
    </row>
    <row r="147" spans="10:10">
      <c r="J147" s="190"/>
    </row>
    <row r="148" spans="10:10">
      <c r="J148" s="190"/>
    </row>
    <row r="149" spans="10:10">
      <c r="J149" s="190"/>
    </row>
    <row r="150" spans="10:10">
      <c r="J150" s="190"/>
    </row>
  </sheetData>
  <sheetProtection selectLockedCells="1" selectUnlockedCells="1"/>
  <pageMargins left="0.75" right="0.75" top="1" bottom="1" header="0.51180555555555551" footer="0.51180555555555551"/>
  <pageSetup firstPageNumber="0"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0"/>
  <sheetViews>
    <sheetView topLeftCell="A6" zoomScale="84" zoomScaleNormal="84" workbookViewId="0">
      <selection activeCell="L87" sqref="L87"/>
    </sheetView>
  </sheetViews>
  <sheetFormatPr defaultColWidth="9" defaultRowHeight="15.75"/>
  <cols>
    <col min="1" max="1" width="24.42578125" style="165" customWidth="1"/>
    <col min="2" max="2" width="18" style="156" customWidth="1"/>
    <col min="3" max="3" width="17.140625" style="156" customWidth="1"/>
    <col min="4" max="5" width="16.5703125" style="156" customWidth="1"/>
    <col min="6" max="6" width="15.28515625" style="156" customWidth="1"/>
    <col min="7" max="7" width="13.5703125" style="156" customWidth="1"/>
    <col min="8" max="8" width="13.85546875" style="156" customWidth="1"/>
    <col min="9" max="10" width="14" style="156" customWidth="1"/>
    <col min="11" max="11" width="2.28515625" style="172" customWidth="1"/>
    <col min="12" max="12" width="11.5703125" style="156" customWidth="1"/>
    <col min="13" max="13" width="13.5703125" style="156" customWidth="1"/>
    <col min="14" max="15" width="11.5703125" style="156" customWidth="1"/>
    <col min="16" max="16" width="1.7109375" style="156" customWidth="1"/>
    <col min="17" max="17" width="11.7109375" style="156" customWidth="1"/>
    <col min="18" max="18" width="11.5703125" style="156" customWidth="1"/>
    <col min="19" max="16384" width="9" style="156"/>
  </cols>
  <sheetData>
    <row r="1" spans="1:16">
      <c r="A1" s="162" t="s">
        <v>277</v>
      </c>
      <c r="B1" s="163">
        <v>2013</v>
      </c>
      <c r="C1" s="163"/>
      <c r="L1" s="156" t="s">
        <v>519</v>
      </c>
    </row>
    <row r="2" spans="1:16">
      <c r="A2" s="162" t="s">
        <v>264</v>
      </c>
      <c r="B2" s="164" t="s">
        <v>8</v>
      </c>
      <c r="C2" s="164" t="s">
        <v>568</v>
      </c>
      <c r="L2" s="164" t="s">
        <v>699</v>
      </c>
    </row>
    <row r="3" spans="1:16">
      <c r="L3" s="156" t="s">
        <v>694</v>
      </c>
      <c r="O3" s="260">
        <v>350</v>
      </c>
    </row>
    <row r="4" spans="1:16">
      <c r="A4" s="162" t="s">
        <v>4</v>
      </c>
      <c r="B4" s="167">
        <f>SUM(G5:G9)</f>
        <v>7055.3399999999992</v>
      </c>
      <c r="C4" s="167"/>
      <c r="G4" s="156" t="s">
        <v>71</v>
      </c>
      <c r="L4" s="168" t="s">
        <v>695</v>
      </c>
      <c r="O4" s="260">
        <f>1200</f>
        <v>1200</v>
      </c>
    </row>
    <row r="5" spans="1:16">
      <c r="B5" s="156" t="s">
        <v>27</v>
      </c>
      <c r="D5" s="166">
        <v>3197.04</v>
      </c>
      <c r="E5" s="156">
        <v>3234.94</v>
      </c>
      <c r="F5" s="156">
        <v>0</v>
      </c>
      <c r="G5" s="168">
        <f>SUM(C5:F5)</f>
        <v>6431.98</v>
      </c>
      <c r="H5" s="168"/>
      <c r="I5" s="168"/>
      <c r="J5" s="168"/>
      <c r="K5" s="173"/>
      <c r="L5" s="168" t="s">
        <v>696</v>
      </c>
      <c r="O5" s="260">
        <v>62000</v>
      </c>
    </row>
    <row r="6" spans="1:16">
      <c r="B6" s="156" t="s">
        <v>29</v>
      </c>
      <c r="D6" s="166"/>
      <c r="G6" s="168">
        <f>SUM(C6:F6)</f>
        <v>0</v>
      </c>
      <c r="H6" s="168"/>
      <c r="I6" s="168"/>
      <c r="J6" s="168"/>
      <c r="K6" s="173"/>
      <c r="L6" s="168"/>
      <c r="O6" s="166"/>
    </row>
    <row r="7" spans="1:16">
      <c r="B7" s="156" t="s">
        <v>327</v>
      </c>
      <c r="G7" s="168">
        <f>SUM(C7:F7)</f>
        <v>0</v>
      </c>
      <c r="H7" s="168"/>
      <c r="I7" s="168"/>
      <c r="J7" s="168"/>
      <c r="K7" s="173"/>
      <c r="L7" s="168"/>
      <c r="O7" s="166"/>
    </row>
    <row r="8" spans="1:16">
      <c r="B8" s="156" t="s">
        <v>30</v>
      </c>
      <c r="D8" s="156">
        <v>311.68</v>
      </c>
      <c r="E8" s="156">
        <v>311.68</v>
      </c>
      <c r="G8" s="168">
        <f>SUM(C8:F8)</f>
        <v>623.36</v>
      </c>
      <c r="H8" s="168"/>
      <c r="I8" s="168"/>
      <c r="J8" s="168"/>
      <c r="K8" s="173"/>
      <c r="L8" s="168" t="s">
        <v>520</v>
      </c>
      <c r="P8" s="166"/>
    </row>
    <row r="10" spans="1:16" s="131" customFormat="1" ht="13.5">
      <c r="A10" s="149"/>
      <c r="B10" s="153"/>
      <c r="G10" s="140"/>
      <c r="I10" s="152" t="s">
        <v>80</v>
      </c>
      <c r="J10" s="187" t="s">
        <v>439</v>
      </c>
      <c r="K10" s="174"/>
    </row>
    <row r="11" spans="1:16" s="131" customFormat="1" ht="13.5">
      <c r="A11" s="149"/>
      <c r="B11" s="153"/>
      <c r="G11" s="140" t="s">
        <v>331</v>
      </c>
      <c r="H11" s="131" t="s">
        <v>84</v>
      </c>
      <c r="I11" s="154" t="s">
        <v>83</v>
      </c>
      <c r="J11" s="188" t="s">
        <v>83</v>
      </c>
      <c r="K11" s="175"/>
    </row>
    <row r="12" spans="1:16" s="131" customFormat="1" ht="13.5">
      <c r="A12" s="149" t="s">
        <v>422</v>
      </c>
      <c r="B12" s="153">
        <f>G12</f>
        <v>350</v>
      </c>
      <c r="D12" s="131" t="s">
        <v>426</v>
      </c>
      <c r="E12" s="131">
        <f>G12/B4</f>
        <v>4.9607814789932168E-2</v>
      </c>
      <c r="G12" s="132">
        <f>Tithe!D7</f>
        <v>350</v>
      </c>
      <c r="H12" s="131">
        <v>800</v>
      </c>
      <c r="I12" s="155">
        <f>H12-G12</f>
        <v>450</v>
      </c>
      <c r="J12" s="189">
        <f>Jan!I12+Feb!I12</f>
        <v>380</v>
      </c>
      <c r="K12" s="176"/>
    </row>
    <row r="13" spans="1:16" s="131" customFormat="1" ht="13.5">
      <c r="A13" s="149"/>
      <c r="B13" s="153"/>
      <c r="G13" s="140"/>
      <c r="I13" s="155"/>
      <c r="J13" s="189"/>
      <c r="K13" s="176"/>
    </row>
    <row r="14" spans="1:16" s="131" customFormat="1" ht="13.5">
      <c r="A14" s="149" t="s">
        <v>427</v>
      </c>
      <c r="B14" s="153">
        <f>SUM(G15:G20)</f>
        <v>1800</v>
      </c>
      <c r="G14" s="140"/>
      <c r="I14" s="155"/>
      <c r="J14" s="189"/>
      <c r="K14" s="176"/>
    </row>
    <row r="15" spans="1:16" s="131" customFormat="1" ht="13.5">
      <c r="B15" s="149" t="s">
        <v>721</v>
      </c>
      <c r="G15" s="132">
        <v>750</v>
      </c>
      <c r="H15" s="131">
        <v>750</v>
      </c>
      <c r="I15" s="155">
        <f t="shared" ref="I15:I26" si="0">H15-G15</f>
        <v>0</v>
      </c>
      <c r="J15" s="189">
        <f>Jan!I15+Feb!I15</f>
        <v>0</v>
      </c>
      <c r="K15" s="176"/>
      <c r="L15" s="131" t="s">
        <v>709</v>
      </c>
    </row>
    <row r="16" spans="1:16" s="131" customFormat="1" ht="13.5">
      <c r="B16" s="149" t="s">
        <v>395</v>
      </c>
      <c r="G16" s="132">
        <v>200</v>
      </c>
      <c r="H16" s="131">
        <v>200</v>
      </c>
      <c r="I16" s="155">
        <f t="shared" si="0"/>
        <v>0</v>
      </c>
      <c r="J16" s="189">
        <f>Jan!I16+Feb!I16</f>
        <v>0</v>
      </c>
      <c r="K16" s="176"/>
      <c r="L16" s="131" t="s">
        <v>708</v>
      </c>
    </row>
    <row r="17" spans="1:12" s="131" customFormat="1" ht="13.5">
      <c r="B17" s="149" t="s">
        <v>460</v>
      </c>
      <c r="G17" s="132">
        <v>300</v>
      </c>
      <c r="H17" s="131">
        <v>300</v>
      </c>
      <c r="I17" s="155">
        <f t="shared" si="0"/>
        <v>0</v>
      </c>
      <c r="J17" s="189">
        <f>Jan!I17+Feb!I17</f>
        <v>0</v>
      </c>
      <c r="K17" s="176"/>
      <c r="L17" s="131" t="s">
        <v>710</v>
      </c>
    </row>
    <row r="18" spans="1:12" s="131" customFormat="1" ht="15.95" customHeight="1">
      <c r="B18" s="149" t="s">
        <v>396</v>
      </c>
      <c r="G18" s="132">
        <v>200</v>
      </c>
      <c r="H18" s="131">
        <v>200</v>
      </c>
      <c r="I18" s="155">
        <f t="shared" si="0"/>
        <v>0</v>
      </c>
      <c r="J18" s="189">
        <f>Jan!I18+Feb!I18</f>
        <v>0</v>
      </c>
      <c r="K18" s="176"/>
    </row>
    <row r="19" spans="1:12" s="131" customFormat="1" ht="15.95" customHeight="1">
      <c r="B19" s="149" t="s">
        <v>461</v>
      </c>
      <c r="G19" s="132">
        <v>300</v>
      </c>
      <c r="H19" s="131">
        <v>300</v>
      </c>
      <c r="I19" s="155">
        <f t="shared" si="0"/>
        <v>0</v>
      </c>
      <c r="J19" s="189">
        <f>Jan!I19+Feb!I19</f>
        <v>0</v>
      </c>
      <c r="K19" s="176"/>
    </row>
    <row r="20" spans="1:12" s="131" customFormat="1" ht="15.95" customHeight="1">
      <c r="B20" s="149" t="s">
        <v>397</v>
      </c>
      <c r="G20" s="132">
        <v>50</v>
      </c>
      <c r="H20" s="131">
        <v>50</v>
      </c>
      <c r="I20" s="155">
        <f t="shared" si="0"/>
        <v>0</v>
      </c>
      <c r="J20" s="189">
        <f>Jan!I20+Feb!I20</f>
        <v>0</v>
      </c>
      <c r="K20" s="176"/>
    </row>
    <row r="21" spans="1:12" s="131" customFormat="1" ht="15.95" customHeight="1">
      <c r="A21" s="149"/>
      <c r="B21" s="153"/>
      <c r="G21" s="140"/>
      <c r="I21" s="155"/>
      <c r="J21" s="189"/>
      <c r="K21" s="176"/>
    </row>
    <row r="22" spans="1:12" s="131" customFormat="1" ht="15.95" customHeight="1">
      <c r="A22" s="149" t="s">
        <v>428</v>
      </c>
      <c r="B22" s="149" t="s">
        <v>594</v>
      </c>
      <c r="G22" s="140">
        <v>0</v>
      </c>
      <c r="H22" s="131">
        <v>0</v>
      </c>
      <c r="I22" s="155">
        <f t="shared" si="0"/>
        <v>0</v>
      </c>
      <c r="J22" s="189">
        <f>Jan!I22+Feb!I22</f>
        <v>0</v>
      </c>
      <c r="K22" s="176"/>
    </row>
    <row r="23" spans="1:12" s="131" customFormat="1" ht="15.95" customHeight="1">
      <c r="A23" s="149"/>
      <c r="B23" s="153" t="s">
        <v>595</v>
      </c>
      <c r="G23" s="140"/>
      <c r="I23" s="155"/>
      <c r="J23" s="189"/>
      <c r="K23" s="176"/>
    </row>
    <row r="24" spans="1:12" s="131" customFormat="1" ht="15.95" customHeight="1">
      <c r="A24" s="149" t="s">
        <v>429</v>
      </c>
      <c r="B24" s="153"/>
      <c r="G24" s="140"/>
      <c r="I24" s="155"/>
      <c r="J24" s="189"/>
      <c r="K24" s="176"/>
    </row>
    <row r="25" spans="1:12" s="131" customFormat="1" ht="15.95" customHeight="1">
      <c r="B25" s="149" t="s">
        <v>363</v>
      </c>
      <c r="G25" s="140">
        <v>0</v>
      </c>
      <c r="H25" s="131">
        <v>1500</v>
      </c>
      <c r="I25" s="155">
        <f t="shared" si="0"/>
        <v>1500</v>
      </c>
      <c r="J25" s="189">
        <f>Jan!I25+Feb!I25</f>
        <v>1500</v>
      </c>
      <c r="K25" s="176"/>
    </row>
    <row r="26" spans="1:12" s="131" customFormat="1" ht="12.75" customHeight="1">
      <c r="B26" s="149" t="s">
        <v>399</v>
      </c>
      <c r="G26" s="131">
        <v>0</v>
      </c>
      <c r="H26" s="131">
        <v>500</v>
      </c>
      <c r="I26" s="155">
        <f t="shared" si="0"/>
        <v>500</v>
      </c>
      <c r="J26" s="192">
        <f>Jan!I26+Feb!I26</f>
        <v>1000</v>
      </c>
      <c r="K26" s="176"/>
    </row>
    <row r="27" spans="1:12" s="131" customFormat="1" ht="12.75" customHeight="1">
      <c r="A27" s="149"/>
      <c r="G27" s="157"/>
      <c r="H27" s="157"/>
      <c r="I27" s="159"/>
      <c r="J27" s="171"/>
      <c r="K27" s="171"/>
    </row>
    <row r="28" spans="1:12" s="131" customFormat="1" ht="12.75" customHeight="1" thickBot="1">
      <c r="A28" s="149"/>
      <c r="B28" s="149"/>
      <c r="G28" s="158">
        <f>SUM(G12:G26)</f>
        <v>2150</v>
      </c>
      <c r="H28" s="158">
        <f>SUM(H12:H26)</f>
        <v>4600</v>
      </c>
      <c r="I28" s="158">
        <f>SUM(I12:I26)</f>
        <v>2450</v>
      </c>
      <c r="J28" s="158">
        <f>SUM(J12:J26)</f>
        <v>2880</v>
      </c>
      <c r="K28" s="177"/>
    </row>
    <row r="29" spans="1:12" s="131" customFormat="1" ht="12.75" customHeight="1" thickTop="1">
      <c r="A29" s="149"/>
      <c r="B29" s="149"/>
      <c r="G29" s="142"/>
      <c r="H29" s="142"/>
      <c r="I29" s="142"/>
      <c r="J29" s="142"/>
      <c r="K29" s="177"/>
    </row>
    <row r="30" spans="1:12" s="131" customFormat="1" ht="12.75" customHeight="1" thickBot="1">
      <c r="A30" s="149"/>
      <c r="B30" s="149"/>
      <c r="G30" s="142"/>
      <c r="H30" s="142"/>
      <c r="I30" s="142"/>
      <c r="J30" s="142"/>
      <c r="K30" s="177"/>
    </row>
    <row r="31" spans="1:12" s="131" customFormat="1" ht="12.75" customHeight="1" thickBot="1">
      <c r="A31" s="149" t="s">
        <v>442</v>
      </c>
      <c r="B31" s="149"/>
      <c r="G31" s="185"/>
      <c r="H31" s="142"/>
      <c r="I31" s="142"/>
      <c r="J31" s="142"/>
      <c r="K31" s="177"/>
      <c r="L31" s="142"/>
    </row>
    <row r="32" spans="1:12" s="131" customFormat="1" ht="12.75" customHeight="1" thickBot="1">
      <c r="A32" s="149"/>
      <c r="B32" s="149"/>
      <c r="G32" s="142"/>
      <c r="H32" s="142"/>
      <c r="I32" s="142"/>
      <c r="J32" s="142"/>
      <c r="K32" s="177"/>
      <c r="L32" s="142"/>
    </row>
    <row r="33" spans="1:14" s="131" customFormat="1" ht="12.75" customHeight="1" thickBot="1">
      <c r="A33" s="149" t="s">
        <v>425</v>
      </c>
      <c r="B33" s="149"/>
      <c r="G33" s="169">
        <f>B4-G28</f>
        <v>4905.3399999999992</v>
      </c>
      <c r="H33" s="142"/>
      <c r="I33" s="142"/>
      <c r="J33" s="142"/>
      <c r="K33" s="177"/>
      <c r="L33" s="142"/>
    </row>
    <row r="34" spans="1:14" s="131" customFormat="1" ht="12.75" customHeight="1">
      <c r="A34" s="149"/>
      <c r="B34" s="149"/>
      <c r="G34" s="170"/>
      <c r="H34" s="142"/>
      <c r="I34" s="142"/>
      <c r="J34" s="142"/>
      <c r="K34" s="177"/>
      <c r="L34" s="142"/>
    </row>
    <row r="35" spans="1:14" s="131" customFormat="1" ht="12.75" customHeight="1">
      <c r="A35" s="149" t="s">
        <v>432</v>
      </c>
      <c r="B35" s="149"/>
      <c r="G35" s="170">
        <f>E46</f>
        <v>4001.13</v>
      </c>
      <c r="H35" s="142"/>
      <c r="I35" s="142"/>
      <c r="J35" s="142"/>
      <c r="K35" s="177"/>
      <c r="L35" s="142"/>
    </row>
    <row r="36" spans="1:14" s="131" customFormat="1" ht="12.75" customHeight="1">
      <c r="A36" s="149"/>
      <c r="B36" s="149"/>
      <c r="G36" s="170"/>
      <c r="H36" s="142"/>
      <c r="I36" s="142"/>
      <c r="J36" s="142"/>
      <c r="K36" s="177"/>
      <c r="L36" s="142"/>
    </row>
    <row r="37" spans="1:14" s="131" customFormat="1" ht="13.5">
      <c r="A37" s="149" t="s">
        <v>433</v>
      </c>
      <c r="B37" s="149"/>
      <c r="G37" s="170">
        <f>B131</f>
        <v>0</v>
      </c>
      <c r="H37" s="142" t="s">
        <v>435</v>
      </c>
      <c r="I37" s="142"/>
      <c r="J37" s="142"/>
      <c r="K37" s="177"/>
      <c r="L37" s="142"/>
    </row>
    <row r="38" spans="1:14" s="131" customFormat="1" ht="14.25" thickBot="1">
      <c r="A38" s="149"/>
      <c r="B38" s="149"/>
      <c r="G38" s="170"/>
      <c r="H38" s="142"/>
      <c r="I38" s="142"/>
      <c r="J38" s="142"/>
      <c r="K38" s="177"/>
      <c r="L38" s="142"/>
    </row>
    <row r="39" spans="1:14" s="131" customFormat="1" ht="14.25" thickBot="1">
      <c r="A39" s="149" t="s">
        <v>430</v>
      </c>
      <c r="B39" s="149"/>
      <c r="G39" s="186">
        <f>G33-G35-G37+G31</f>
        <v>904.20999999999913</v>
      </c>
      <c r="H39" s="142"/>
      <c r="I39" s="142"/>
      <c r="J39" s="142"/>
      <c r="K39" s="177"/>
      <c r="L39" s="142"/>
    </row>
    <row r="40" spans="1:14" s="131" customFormat="1" ht="13.5">
      <c r="A40" s="149"/>
      <c r="B40" s="149"/>
      <c r="G40" s="196"/>
      <c r="H40" s="142"/>
      <c r="I40" s="142"/>
      <c r="J40" s="142"/>
      <c r="K40" s="177"/>
      <c r="L40" s="142"/>
    </row>
    <row r="41" spans="1:14" s="131" customFormat="1" ht="14.25" thickBot="1">
      <c r="A41" s="197" t="s">
        <v>478</v>
      </c>
      <c r="B41" s="149"/>
      <c r="G41" s="196"/>
      <c r="H41" s="142"/>
      <c r="I41" s="142"/>
      <c r="J41" s="142"/>
      <c r="K41" s="177"/>
      <c r="L41" s="142"/>
    </row>
    <row r="42" spans="1:14" s="131" customFormat="1" ht="14.25" thickBot="1">
      <c r="B42" s="197" t="s">
        <v>464</v>
      </c>
      <c r="C42" s="150">
        <f>H57+H58+H63+H64+H72+H73+H74+H81+H82+H83+H88+H91+H92+H93+H94+H95+H100+H104+H105+H106+H107+H108+H109+H110+H113+H117+H120+H121+H124</f>
        <v>1650</v>
      </c>
      <c r="D42" s="197" t="s">
        <v>465</v>
      </c>
      <c r="E42" s="150">
        <f>G57+G58+G63+G64+G72+G73+G74+G81+G82+G83+G88+G91+G92+G93+G94+G95+G100+G104+G105+G106+G107+G108+G109+G110+G113+G117+G120+G121+G124</f>
        <v>2068.91</v>
      </c>
      <c r="G42" s="196"/>
      <c r="H42" s="142"/>
      <c r="I42" s="142"/>
      <c r="J42" s="142"/>
      <c r="K42" s="177"/>
      <c r="L42" s="185">
        <f>M42+N42</f>
        <v>2279.6000000000004</v>
      </c>
      <c r="M42" s="131">
        <f>M46+M44+M43</f>
        <v>1452.5400000000002</v>
      </c>
      <c r="N42" s="131">
        <f>N46-N43</f>
        <v>827.06000000000006</v>
      </c>
    </row>
    <row r="43" spans="1:14" s="131" customFormat="1" ht="13.5">
      <c r="B43" s="149"/>
      <c r="C43" s="150"/>
      <c r="D43" s="149"/>
      <c r="E43" s="150"/>
      <c r="I43" s="152"/>
      <c r="J43" s="187" t="s">
        <v>439</v>
      </c>
      <c r="K43" s="174"/>
      <c r="L43" s="131" t="s">
        <v>534</v>
      </c>
    </row>
    <row r="44" spans="1:14" s="131" customFormat="1" ht="13.5">
      <c r="A44" s="149"/>
      <c r="B44" s="149"/>
      <c r="G44" s="140"/>
      <c r="I44" s="152" t="s">
        <v>80</v>
      </c>
      <c r="J44" s="187" t="s">
        <v>440</v>
      </c>
      <c r="K44" s="174"/>
      <c r="L44" s="131" t="s">
        <v>515</v>
      </c>
      <c r="M44" s="131">
        <v>100</v>
      </c>
    </row>
    <row r="45" spans="1:14" s="131" customFormat="1" ht="14.25" thickBot="1">
      <c r="B45" s="149"/>
      <c r="G45" s="140" t="s">
        <v>331</v>
      </c>
      <c r="H45" s="131" t="s">
        <v>84</v>
      </c>
      <c r="I45" s="154" t="s">
        <v>83</v>
      </c>
      <c r="J45" s="188" t="s">
        <v>441</v>
      </c>
      <c r="K45" s="175"/>
      <c r="L45" s="180" t="s">
        <v>332</v>
      </c>
      <c r="M45" s="181" t="s">
        <v>556</v>
      </c>
      <c r="N45" s="181" t="s">
        <v>334</v>
      </c>
    </row>
    <row r="46" spans="1:14" s="131" customFormat="1" ht="14.25" thickBot="1">
      <c r="A46" s="149" t="s">
        <v>434</v>
      </c>
      <c r="D46"/>
      <c r="E46" s="262">
        <f>B48+B56+B62+B66+B71+B80+B85+B90+B97+B103+B112+B116+B119+B123+B126</f>
        <v>4001.13</v>
      </c>
      <c r="G46" s="191">
        <f>SUM(G48:G128)</f>
        <v>4001.13</v>
      </c>
      <c r="H46" s="191">
        <f>SUM(H57:H128)</f>
        <v>2413.5</v>
      </c>
      <c r="I46" s="191">
        <f>H46-G46</f>
        <v>-1587.63</v>
      </c>
      <c r="J46" s="191">
        <f>SUM(J48:J128)</f>
        <v>162.89999999999975</v>
      </c>
      <c r="K46" s="178"/>
      <c r="L46" s="182">
        <f>SUM(L48:L139)</f>
        <v>1821.5300000000002</v>
      </c>
      <c r="M46" s="182">
        <f>SUM(M48:M139)</f>
        <v>1352.5400000000002</v>
      </c>
      <c r="N46" s="244">
        <f>SUM(N48:N139)</f>
        <v>827.06000000000006</v>
      </c>
    </row>
    <row r="47" spans="1:14" s="131" customFormat="1" ht="13.5">
      <c r="A47" s="131" t="s">
        <v>421</v>
      </c>
      <c r="I47" s="152"/>
      <c r="J47" s="187"/>
      <c r="K47" s="174"/>
      <c r="L47" s="115"/>
      <c r="M47" s="116"/>
      <c r="N47" s="116"/>
    </row>
    <row r="48" spans="1:14" s="131" customFormat="1" ht="13.5">
      <c r="A48" s="149" t="s">
        <v>547</v>
      </c>
      <c r="B48" s="149">
        <f>SUM(G49:G54)</f>
        <v>1550</v>
      </c>
      <c r="C48" s="149">
        <f>SUM(H49:H54)</f>
        <v>1250</v>
      </c>
      <c r="D48" s="149">
        <f>SUM(I49:I54)</f>
        <v>-300</v>
      </c>
      <c r="I48" s="152"/>
      <c r="J48" s="187"/>
      <c r="K48" s="174"/>
      <c r="L48" s="115"/>
      <c r="M48" s="116"/>
      <c r="N48" s="116"/>
    </row>
    <row r="49" spans="1:15" s="131" customFormat="1" ht="13.5">
      <c r="B49" s="131" t="s">
        <v>550</v>
      </c>
      <c r="G49" s="131">
        <f t="shared" ref="G49:G54" si="1">SUM(L49:N49)</f>
        <v>1550</v>
      </c>
      <c r="H49" s="131">
        <v>0</v>
      </c>
      <c r="I49" s="152">
        <f t="shared" ref="I49:I54" si="2">H49-G49</f>
        <v>-1550</v>
      </c>
      <c r="J49" s="187">
        <f>Jan!I49+Feb!I49</f>
        <v>-1550</v>
      </c>
      <c r="K49" s="174"/>
      <c r="L49" s="115">
        <v>1200</v>
      </c>
      <c r="M49" s="116">
        <v>350</v>
      </c>
      <c r="N49" s="116"/>
      <c r="O49" s="131" t="s">
        <v>552</v>
      </c>
    </row>
    <row r="50" spans="1:15" s="131" customFormat="1" ht="13.5">
      <c r="B50" s="131" t="s">
        <v>622</v>
      </c>
      <c r="G50" s="131">
        <f t="shared" si="1"/>
        <v>0</v>
      </c>
      <c r="H50" s="131">
        <v>1250</v>
      </c>
      <c r="I50" s="152">
        <f t="shared" si="2"/>
        <v>1250</v>
      </c>
      <c r="J50" s="187">
        <f>Jan!I50+Feb!I50</f>
        <v>2500</v>
      </c>
      <c r="K50" s="174"/>
      <c r="L50" s="115"/>
      <c r="M50" s="116"/>
      <c r="N50" s="116"/>
    </row>
    <row r="51" spans="1:15" s="131" customFormat="1" ht="13.5">
      <c r="B51" s="131" t="s">
        <v>624</v>
      </c>
      <c r="G51" s="131">
        <f t="shared" si="1"/>
        <v>0</v>
      </c>
      <c r="H51" s="131">
        <v>0</v>
      </c>
      <c r="I51" s="152">
        <f t="shared" si="2"/>
        <v>0</v>
      </c>
      <c r="J51" s="187">
        <f>Jan!I51+Feb!I51</f>
        <v>0</v>
      </c>
      <c r="K51" s="174"/>
      <c r="L51" s="115"/>
      <c r="M51" s="116"/>
      <c r="N51" s="116"/>
    </row>
    <row r="52" spans="1:15" s="131" customFormat="1" ht="13.5">
      <c r="B52" s="131" t="s">
        <v>551</v>
      </c>
      <c r="G52" s="131">
        <f t="shared" si="1"/>
        <v>0</v>
      </c>
      <c r="H52" s="131">
        <v>0</v>
      </c>
      <c r="I52" s="152">
        <f t="shared" si="2"/>
        <v>0</v>
      </c>
      <c r="J52" s="187">
        <f>Jan!I52+Feb!I52</f>
        <v>0</v>
      </c>
      <c r="K52" s="174"/>
      <c r="L52" s="115"/>
      <c r="M52" s="116"/>
      <c r="N52" s="116"/>
    </row>
    <row r="53" spans="1:15" s="131" customFormat="1" ht="13.5">
      <c r="B53" s="131" t="s">
        <v>720</v>
      </c>
      <c r="G53" s="131">
        <f t="shared" si="1"/>
        <v>0</v>
      </c>
      <c r="H53" s="131">
        <v>0</v>
      </c>
      <c r="I53" s="152"/>
      <c r="J53" s="187"/>
      <c r="K53" s="174"/>
      <c r="L53" s="115"/>
      <c r="M53" s="116"/>
      <c r="N53" s="116"/>
    </row>
    <row r="54" spans="1:15" s="131" customFormat="1" ht="13.5">
      <c r="B54" s="131" t="s">
        <v>625</v>
      </c>
      <c r="G54" s="131">
        <f t="shared" si="1"/>
        <v>0</v>
      </c>
      <c r="H54" s="131">
        <v>0</v>
      </c>
      <c r="I54" s="152">
        <f t="shared" si="2"/>
        <v>0</v>
      </c>
      <c r="J54" s="187">
        <f>Jan!I54+Feb!I54</f>
        <v>0</v>
      </c>
      <c r="K54" s="174"/>
      <c r="L54" s="115"/>
      <c r="M54" s="116"/>
      <c r="N54" s="116"/>
    </row>
    <row r="55" spans="1:15" s="131" customFormat="1" ht="13.5">
      <c r="I55" s="152"/>
      <c r="J55" s="187"/>
      <c r="K55" s="174"/>
      <c r="L55" s="115"/>
      <c r="M55" s="116"/>
      <c r="N55" s="116"/>
    </row>
    <row r="56" spans="1:15" s="131" customFormat="1" ht="13.5">
      <c r="A56" s="149" t="s">
        <v>85</v>
      </c>
      <c r="B56" s="149">
        <f>SUM(G57:G60)</f>
        <v>128.13</v>
      </c>
      <c r="C56" s="149">
        <f>SUM(H57:H60)</f>
        <v>355</v>
      </c>
      <c r="D56" s="149">
        <f>C56-B56</f>
        <v>226.87</v>
      </c>
      <c r="I56" s="152"/>
      <c r="J56" s="187"/>
      <c r="K56" s="174"/>
      <c r="L56" s="115"/>
      <c r="M56" s="116"/>
      <c r="N56" s="116"/>
    </row>
    <row r="57" spans="1:15" s="131" customFormat="1" ht="13.5">
      <c r="B57" s="131" t="s">
        <v>41</v>
      </c>
      <c r="C57" s="131" t="s">
        <v>42</v>
      </c>
      <c r="G57" s="131">
        <f>SUM(L57:N57)</f>
        <v>128.13</v>
      </c>
      <c r="H57" s="131">
        <v>110</v>
      </c>
      <c r="I57" s="152">
        <f>H57-G57</f>
        <v>-18.129999999999995</v>
      </c>
      <c r="J57" s="187">
        <f>Jan!I57+Feb!I57</f>
        <v>-19.629999999999995</v>
      </c>
      <c r="K57" s="174"/>
      <c r="L57" s="115">
        <v>128.13</v>
      </c>
      <c r="M57" s="116"/>
      <c r="N57" s="116"/>
    </row>
    <row r="58" spans="1:15" s="131" customFormat="1" ht="13.5">
      <c r="B58" s="131" t="s">
        <v>43</v>
      </c>
      <c r="C58" s="131" t="s">
        <v>44</v>
      </c>
      <c r="G58" s="131">
        <f t="shared" ref="G58:G121" si="3">SUM(L58:N58)</f>
        <v>0</v>
      </c>
      <c r="H58" s="131">
        <v>45</v>
      </c>
      <c r="I58" s="152">
        <f t="shared" ref="I58:I121" si="4">H58-G58</f>
        <v>45</v>
      </c>
      <c r="J58" s="187">
        <f>Jan!I58+Feb!I58</f>
        <v>90</v>
      </c>
      <c r="K58" s="174"/>
      <c r="L58" s="115"/>
      <c r="M58" s="116"/>
      <c r="N58" s="116"/>
    </row>
    <row r="59" spans="1:15" s="131" customFormat="1" ht="13.5">
      <c r="B59" s="198" t="s">
        <v>86</v>
      </c>
      <c r="C59" s="198" t="s">
        <v>87</v>
      </c>
      <c r="D59" s="198" t="s">
        <v>423</v>
      </c>
      <c r="E59" s="198"/>
      <c r="F59" s="198"/>
      <c r="G59" s="131">
        <f t="shared" si="3"/>
        <v>0</v>
      </c>
      <c r="H59" s="131">
        <v>90</v>
      </c>
      <c r="I59" s="152">
        <f t="shared" si="4"/>
        <v>90</v>
      </c>
      <c r="J59" s="187">
        <f>Jan!I59+Feb!I59</f>
        <v>180</v>
      </c>
      <c r="K59" s="174"/>
      <c r="L59" s="115"/>
      <c r="M59" s="116"/>
      <c r="N59" s="116"/>
    </row>
    <row r="60" spans="1:15" s="131" customFormat="1" ht="13.5">
      <c r="B60" s="198" t="s">
        <v>88</v>
      </c>
      <c r="C60" s="198" t="s">
        <v>89</v>
      </c>
      <c r="D60" s="198" t="s">
        <v>424</v>
      </c>
      <c r="E60" s="198"/>
      <c r="F60" s="198"/>
      <c r="G60" s="131">
        <f t="shared" si="3"/>
        <v>0</v>
      </c>
      <c r="H60" s="131">
        <v>110</v>
      </c>
      <c r="I60" s="152">
        <f t="shared" si="4"/>
        <v>110</v>
      </c>
      <c r="J60" s="187">
        <f>Jan!I60+Feb!I60</f>
        <v>220</v>
      </c>
      <c r="K60" s="174"/>
      <c r="L60" s="115"/>
      <c r="M60" s="116"/>
      <c r="N60" s="116"/>
    </row>
    <row r="61" spans="1:15" s="131" customFormat="1" ht="13.5">
      <c r="I61" s="152"/>
      <c r="J61" s="187"/>
      <c r="K61" s="174"/>
      <c r="L61" s="115"/>
      <c r="M61" s="116"/>
      <c r="N61" s="116"/>
    </row>
    <row r="62" spans="1:15" s="131" customFormat="1" ht="13.5">
      <c r="A62" s="149" t="s">
        <v>91</v>
      </c>
      <c r="B62" s="149">
        <f>SUM(G63:G64)</f>
        <v>134.66</v>
      </c>
      <c r="C62" s="149">
        <f>SUM(H63:H64)</f>
        <v>138</v>
      </c>
      <c r="D62" s="149">
        <f>C62-B62</f>
        <v>3.3400000000000034</v>
      </c>
      <c r="I62" s="152"/>
      <c r="J62" s="187"/>
      <c r="K62" s="174"/>
      <c r="L62" s="115"/>
      <c r="M62" s="116"/>
      <c r="N62" s="116"/>
    </row>
    <row r="63" spans="1:15" s="131" customFormat="1" ht="13.5">
      <c r="B63" s="131" t="s">
        <v>50</v>
      </c>
      <c r="C63" s="131" t="s">
        <v>51</v>
      </c>
      <c r="G63" s="131">
        <f t="shared" si="3"/>
        <v>62.97</v>
      </c>
      <c r="H63" s="131">
        <v>63</v>
      </c>
      <c r="I63" s="152">
        <f t="shared" si="4"/>
        <v>3.0000000000001137E-2</v>
      </c>
      <c r="J63" s="187">
        <f>Jan!I63+Feb!I63</f>
        <v>6.0000000000002274E-2</v>
      </c>
      <c r="K63" s="174"/>
      <c r="L63" s="115"/>
      <c r="M63" s="116">
        <v>62.97</v>
      </c>
      <c r="N63" s="116"/>
    </row>
    <row r="64" spans="1:15" s="131" customFormat="1" ht="13.5">
      <c r="B64" s="131" t="s">
        <v>92</v>
      </c>
      <c r="C64" s="131" t="s">
        <v>93</v>
      </c>
      <c r="D64" s="156"/>
      <c r="G64" s="131">
        <f t="shared" si="3"/>
        <v>71.69</v>
      </c>
      <c r="H64" s="131">
        <v>75</v>
      </c>
      <c r="I64" s="152">
        <f t="shared" si="4"/>
        <v>3.3100000000000023</v>
      </c>
      <c r="J64" s="187">
        <f>Jan!I64+Feb!I64</f>
        <v>2.9300000000000068</v>
      </c>
      <c r="K64" s="174"/>
      <c r="L64" s="115"/>
      <c r="M64" s="116">
        <v>71.69</v>
      </c>
      <c r="N64" s="116"/>
    </row>
    <row r="65" spans="1:14" s="131" customFormat="1" ht="13.5">
      <c r="I65" s="152"/>
      <c r="J65" s="187"/>
      <c r="K65" s="174"/>
      <c r="L65" s="115"/>
      <c r="M65" s="116"/>
      <c r="N65" s="116"/>
    </row>
    <row r="66" spans="1:14" s="131" customFormat="1" ht="13.5">
      <c r="A66" s="193" t="s">
        <v>94</v>
      </c>
      <c r="B66" s="149">
        <f>SUM(G67:G69)</f>
        <v>42</v>
      </c>
      <c r="C66" s="149">
        <f>SUM(H67:H69)</f>
        <v>177</v>
      </c>
      <c r="D66" s="149">
        <f>C66-B66</f>
        <v>135</v>
      </c>
      <c r="I66" s="152"/>
      <c r="J66" s="187"/>
      <c r="K66" s="174"/>
      <c r="L66" s="115"/>
      <c r="M66" s="116"/>
      <c r="N66" s="116"/>
    </row>
    <row r="67" spans="1:14" s="131" customFormat="1" ht="13.5">
      <c r="B67" s="198" t="s">
        <v>95</v>
      </c>
      <c r="C67" s="198"/>
      <c r="D67" s="198" t="s">
        <v>96</v>
      </c>
      <c r="E67" s="198"/>
      <c r="F67" s="198"/>
      <c r="G67" s="131">
        <f t="shared" si="3"/>
        <v>42</v>
      </c>
      <c r="H67" s="131">
        <v>56.5</v>
      </c>
      <c r="I67" s="152">
        <f t="shared" si="4"/>
        <v>14.5</v>
      </c>
      <c r="J67" s="187">
        <f>Jan!I67+Feb!I67</f>
        <v>-603</v>
      </c>
      <c r="K67" s="174"/>
      <c r="L67" s="115"/>
      <c r="M67" s="116">
        <v>42</v>
      </c>
      <c r="N67" s="116"/>
    </row>
    <row r="68" spans="1:14" s="131" customFormat="1" ht="13.5">
      <c r="B68" s="198" t="s">
        <v>97</v>
      </c>
      <c r="C68" s="198"/>
      <c r="D68" s="198" t="s">
        <v>96</v>
      </c>
      <c r="E68" s="198"/>
      <c r="F68" s="198"/>
      <c r="G68" s="131">
        <f t="shared" si="3"/>
        <v>0</v>
      </c>
      <c r="H68" s="131">
        <v>84.5</v>
      </c>
      <c r="I68" s="152">
        <f t="shared" si="4"/>
        <v>84.5</v>
      </c>
      <c r="J68" s="187">
        <f>Jan!I68+Feb!I68</f>
        <v>-786</v>
      </c>
      <c r="K68" s="174"/>
      <c r="L68" s="115"/>
      <c r="M68" s="116"/>
      <c r="N68" s="116"/>
    </row>
    <row r="69" spans="1:14" s="131" customFormat="1" ht="13.5">
      <c r="B69" s="198" t="s">
        <v>98</v>
      </c>
      <c r="C69" s="198"/>
      <c r="D69" s="198" t="s">
        <v>477</v>
      </c>
      <c r="E69" s="198"/>
      <c r="F69" s="198"/>
      <c r="G69" s="131">
        <f t="shared" si="3"/>
        <v>0</v>
      </c>
      <c r="H69" s="131">
        <v>36</v>
      </c>
      <c r="I69" s="152">
        <f t="shared" si="4"/>
        <v>36</v>
      </c>
      <c r="J69" s="187">
        <f>Jan!I69+Feb!I69</f>
        <v>72</v>
      </c>
      <c r="K69" s="174"/>
      <c r="L69" s="115"/>
      <c r="M69" s="116"/>
      <c r="N69" s="116"/>
    </row>
    <row r="70" spans="1:14" s="131" customFormat="1" ht="13.5">
      <c r="I70" s="152"/>
      <c r="J70" s="187"/>
      <c r="K70" s="174"/>
      <c r="L70" s="115"/>
      <c r="M70" s="116"/>
      <c r="N70" s="116"/>
    </row>
    <row r="71" spans="1:14" s="131" customFormat="1" ht="13.5">
      <c r="A71" s="149" t="s">
        <v>99</v>
      </c>
      <c r="B71" s="149">
        <f>SUM(G72:G78)</f>
        <v>13.26</v>
      </c>
      <c r="C71" s="149">
        <f>SUM(H72:H78)</f>
        <v>166.5</v>
      </c>
      <c r="D71" s="149">
        <f>C71-B71</f>
        <v>153.24</v>
      </c>
      <c r="I71" s="152"/>
      <c r="J71" s="187"/>
      <c r="K71" s="174"/>
      <c r="L71" s="115"/>
      <c r="M71" s="116"/>
      <c r="N71" s="116"/>
    </row>
    <row r="72" spans="1:14" s="131" customFormat="1" ht="13.5">
      <c r="B72" s="198" t="s">
        <v>100</v>
      </c>
      <c r="C72" s="198"/>
      <c r="D72" s="198"/>
      <c r="E72" s="198"/>
      <c r="F72" s="198"/>
      <c r="G72" s="131">
        <f t="shared" si="3"/>
        <v>13.26</v>
      </c>
      <c r="H72" s="131">
        <v>15</v>
      </c>
      <c r="I72" s="152">
        <f t="shared" si="4"/>
        <v>1.7400000000000002</v>
      </c>
      <c r="J72" s="187">
        <f>Jan!I72+Feb!I72</f>
        <v>-31.17</v>
      </c>
      <c r="K72" s="174"/>
      <c r="L72" s="115"/>
      <c r="M72" s="116"/>
      <c r="N72" s="116">
        <f>3.47+9.37-3.43+3.85</f>
        <v>13.26</v>
      </c>
    </row>
    <row r="73" spans="1:14" s="131" customFormat="1" ht="13.5">
      <c r="B73" s="198" t="s">
        <v>384</v>
      </c>
      <c r="C73" s="198"/>
      <c r="D73" s="198"/>
      <c r="E73" s="198"/>
      <c r="F73" s="198"/>
      <c r="G73" s="131">
        <f t="shared" si="3"/>
        <v>0</v>
      </c>
      <c r="H73" s="131">
        <v>5</v>
      </c>
      <c r="I73" s="152">
        <f t="shared" si="4"/>
        <v>5</v>
      </c>
      <c r="J73" s="187">
        <f>Jan!I73+Feb!I73</f>
        <v>10</v>
      </c>
      <c r="K73" s="174"/>
      <c r="L73" s="115"/>
      <c r="M73" s="116"/>
      <c r="N73" s="116"/>
    </row>
    <row r="74" spans="1:14" s="131" customFormat="1" ht="13.5">
      <c r="B74" s="198" t="s">
        <v>385</v>
      </c>
      <c r="C74" s="198"/>
      <c r="D74" s="198"/>
      <c r="E74" s="198"/>
      <c r="F74" s="198"/>
      <c r="G74" s="131">
        <f t="shared" si="3"/>
        <v>0</v>
      </c>
      <c r="H74" s="131">
        <v>65</v>
      </c>
      <c r="I74" s="152">
        <f t="shared" si="4"/>
        <v>65</v>
      </c>
      <c r="J74" s="187">
        <f>Jan!I74+Feb!I74</f>
        <v>130</v>
      </c>
      <c r="K74" s="174"/>
      <c r="L74" s="115"/>
      <c r="M74" s="116"/>
      <c r="N74" s="116"/>
    </row>
    <row r="75" spans="1:14" s="131" customFormat="1" ht="13.5">
      <c r="B75" s="198" t="s">
        <v>386</v>
      </c>
      <c r="C75" s="198"/>
      <c r="D75" s="198"/>
      <c r="E75" s="198"/>
      <c r="F75" s="198"/>
      <c r="G75" s="131">
        <f t="shared" si="3"/>
        <v>0</v>
      </c>
      <c r="H75" s="131">
        <v>15</v>
      </c>
      <c r="I75" s="152">
        <f t="shared" si="4"/>
        <v>15</v>
      </c>
      <c r="J75" s="187">
        <f>Jan!I75+Feb!I75</f>
        <v>30</v>
      </c>
      <c r="K75" s="174"/>
      <c r="L75" s="115"/>
      <c r="M75" s="116"/>
      <c r="N75" s="116"/>
    </row>
    <row r="76" spans="1:14" s="131" customFormat="1" ht="13.5">
      <c r="B76" s="198" t="s">
        <v>390</v>
      </c>
      <c r="C76" s="198"/>
      <c r="D76" s="198"/>
      <c r="E76" s="198"/>
      <c r="F76" s="198"/>
      <c r="G76" s="131">
        <f t="shared" si="3"/>
        <v>0</v>
      </c>
      <c r="H76" s="131">
        <v>35</v>
      </c>
      <c r="I76" s="152">
        <f t="shared" si="4"/>
        <v>35</v>
      </c>
      <c r="J76" s="187">
        <f>Jan!I76+Feb!I76</f>
        <v>70</v>
      </c>
      <c r="K76" s="174"/>
      <c r="L76" s="115"/>
      <c r="M76" s="116"/>
      <c r="N76" s="116"/>
    </row>
    <row r="77" spans="1:14" s="131" customFormat="1" ht="13.5">
      <c r="B77" s="198" t="s">
        <v>387</v>
      </c>
      <c r="C77" s="198"/>
      <c r="D77" s="198"/>
      <c r="E77" s="198"/>
      <c r="F77" s="198"/>
      <c r="G77" s="131">
        <f t="shared" si="3"/>
        <v>0</v>
      </c>
      <c r="H77" s="131">
        <v>20</v>
      </c>
      <c r="I77" s="152">
        <f t="shared" si="4"/>
        <v>20</v>
      </c>
      <c r="J77" s="187">
        <f>Jan!I77+Feb!I77</f>
        <v>40</v>
      </c>
      <c r="K77" s="174"/>
      <c r="L77" s="115"/>
      <c r="M77" s="116"/>
      <c r="N77" s="116"/>
    </row>
    <row r="78" spans="1:14" s="131" customFormat="1" ht="13.5">
      <c r="B78" s="198" t="s">
        <v>388</v>
      </c>
      <c r="C78" s="198"/>
      <c r="D78" s="198"/>
      <c r="E78" s="198"/>
      <c r="F78" s="198"/>
      <c r="G78" s="131">
        <f t="shared" si="3"/>
        <v>0</v>
      </c>
      <c r="H78" s="131">
        <v>11.5</v>
      </c>
      <c r="I78" s="152">
        <f t="shared" si="4"/>
        <v>11.5</v>
      </c>
      <c r="J78" s="187">
        <f>Jan!I78+Feb!I78</f>
        <v>23</v>
      </c>
      <c r="K78" s="174"/>
      <c r="L78" s="115"/>
      <c r="M78" s="116"/>
      <c r="N78" s="116"/>
    </row>
    <row r="79" spans="1:14" s="131" customFormat="1" ht="13.5">
      <c r="I79" s="152"/>
      <c r="J79" s="187"/>
      <c r="K79" s="174"/>
      <c r="L79" s="115"/>
      <c r="M79" s="116"/>
      <c r="N79" s="116"/>
    </row>
    <row r="80" spans="1:14" s="131" customFormat="1" ht="13.5">
      <c r="A80" s="149" t="s">
        <v>335</v>
      </c>
      <c r="B80" s="149">
        <f>SUM(G81:G83)</f>
        <v>0</v>
      </c>
      <c r="C80" s="149">
        <f>SUM(H81:H83)</f>
        <v>30</v>
      </c>
      <c r="D80" s="149">
        <f>C80-B80</f>
        <v>30</v>
      </c>
      <c r="I80" s="152"/>
      <c r="J80" s="187"/>
      <c r="K80" s="174"/>
      <c r="L80" s="115"/>
      <c r="M80" s="116"/>
      <c r="N80" s="116"/>
    </row>
    <row r="81" spans="1:15" s="131" customFormat="1" ht="13.5">
      <c r="B81" s="198" t="s">
        <v>101</v>
      </c>
      <c r="C81" s="198"/>
      <c r="D81" s="198"/>
      <c r="E81" s="198"/>
      <c r="F81" s="198"/>
      <c r="G81" s="131">
        <f t="shared" si="3"/>
        <v>0</v>
      </c>
      <c r="H81" s="131">
        <v>10</v>
      </c>
      <c r="I81" s="152">
        <f t="shared" si="4"/>
        <v>10</v>
      </c>
      <c r="J81" s="187">
        <f>Jan!I81+Feb!I81</f>
        <v>20</v>
      </c>
      <c r="K81" s="174"/>
      <c r="L81" s="115"/>
      <c r="M81" s="116"/>
      <c r="N81" s="116"/>
    </row>
    <row r="82" spans="1:15" s="131" customFormat="1" ht="13.5">
      <c r="B82" s="198" t="s">
        <v>102</v>
      </c>
      <c r="C82" s="198"/>
      <c r="D82" s="198"/>
      <c r="E82" s="198"/>
      <c r="F82" s="198"/>
      <c r="G82" s="131">
        <f t="shared" si="3"/>
        <v>0</v>
      </c>
      <c r="H82" s="131">
        <v>10</v>
      </c>
      <c r="I82" s="152">
        <f t="shared" si="4"/>
        <v>10</v>
      </c>
      <c r="J82" s="187">
        <f>Jan!I82+Feb!I82</f>
        <v>3.0000000000001137E-2</v>
      </c>
      <c r="K82" s="174"/>
      <c r="L82" s="115"/>
      <c r="M82" s="116"/>
      <c r="N82" s="116"/>
    </row>
    <row r="83" spans="1:15" s="131" customFormat="1" ht="13.5">
      <c r="B83" s="198" t="s">
        <v>383</v>
      </c>
      <c r="C83" s="198"/>
      <c r="D83" s="198"/>
      <c r="E83" s="198"/>
      <c r="F83" s="198"/>
      <c r="G83" s="131">
        <f t="shared" si="3"/>
        <v>0</v>
      </c>
      <c r="H83" s="131">
        <v>10</v>
      </c>
      <c r="I83" s="152">
        <f t="shared" si="4"/>
        <v>10</v>
      </c>
      <c r="J83" s="187">
        <f>Jan!I83+Feb!I83</f>
        <v>20</v>
      </c>
      <c r="K83" s="174"/>
      <c r="L83" s="115"/>
      <c r="M83" s="116"/>
      <c r="N83" s="116"/>
    </row>
    <row r="84" spans="1:15" s="131" customFormat="1" ht="13.5">
      <c r="I84" s="152"/>
      <c r="J84" s="187"/>
      <c r="K84" s="174"/>
      <c r="L84" s="115"/>
      <c r="M84" s="116"/>
      <c r="N84" s="116"/>
    </row>
    <row r="85" spans="1:15" s="131" customFormat="1" ht="13.5">
      <c r="A85" s="149" t="s">
        <v>110</v>
      </c>
      <c r="B85" s="149">
        <f>SUM(G86:G88)</f>
        <v>408.17999999999995</v>
      </c>
      <c r="C85" s="149">
        <f>SUM(H86:H88)</f>
        <v>115</v>
      </c>
      <c r="D85" s="149">
        <f>C85-B85</f>
        <v>-293.17999999999995</v>
      </c>
      <c r="I85" s="152"/>
      <c r="J85" s="187"/>
      <c r="K85" s="174"/>
      <c r="L85" s="115"/>
      <c r="M85" s="116"/>
      <c r="N85" s="116"/>
    </row>
    <row r="86" spans="1:15" s="131" customFormat="1" ht="13.5">
      <c r="B86" s="198" t="s">
        <v>389</v>
      </c>
      <c r="C86" s="198"/>
      <c r="D86" s="198"/>
      <c r="E86" s="198"/>
      <c r="F86" s="198"/>
      <c r="G86" s="131">
        <f t="shared" si="3"/>
        <v>0</v>
      </c>
      <c r="H86" s="131">
        <v>30</v>
      </c>
      <c r="I86" s="152">
        <f t="shared" si="4"/>
        <v>30</v>
      </c>
      <c r="J86" s="187">
        <f>Jan!I86+Feb!I86</f>
        <v>60</v>
      </c>
      <c r="K86" s="174"/>
      <c r="L86" s="115"/>
      <c r="M86" s="116"/>
      <c r="N86" s="116"/>
    </row>
    <row r="87" spans="1:15" s="131" customFormat="1" ht="13.5">
      <c r="B87" s="198" t="s">
        <v>111</v>
      </c>
      <c r="C87" s="198"/>
      <c r="D87" s="198"/>
      <c r="E87" s="198"/>
      <c r="F87" s="198"/>
      <c r="G87" s="131">
        <f t="shared" si="3"/>
        <v>233.39999999999998</v>
      </c>
      <c r="H87" s="131">
        <v>20</v>
      </c>
      <c r="I87" s="152">
        <f t="shared" si="4"/>
        <v>-213.39999999999998</v>
      </c>
      <c r="J87" s="187">
        <f>Jan!I87+Feb!I87</f>
        <v>-193.39999999999998</v>
      </c>
      <c r="K87" s="174"/>
      <c r="L87" s="115">
        <f>(84+55.2)+(51+43.2)</f>
        <v>233.39999999999998</v>
      </c>
      <c r="M87" s="116"/>
      <c r="N87" s="116"/>
    </row>
    <row r="88" spans="1:15" s="131" customFormat="1" ht="13.5">
      <c r="B88" s="131" t="s">
        <v>391</v>
      </c>
      <c r="G88" s="131">
        <f t="shared" si="3"/>
        <v>174.78</v>
      </c>
      <c r="H88" s="131">
        <v>65</v>
      </c>
      <c r="I88" s="152">
        <f t="shared" si="4"/>
        <v>-109.78</v>
      </c>
      <c r="J88" s="187">
        <f>Jan!I88+Feb!I88</f>
        <v>-105.6</v>
      </c>
      <c r="K88" s="174"/>
      <c r="L88" s="115"/>
      <c r="M88" s="116">
        <f>59.9+62.03</f>
        <v>121.93</v>
      </c>
      <c r="N88" s="116">
        <v>52.85</v>
      </c>
    </row>
    <row r="89" spans="1:15" s="131" customFormat="1" ht="13.5">
      <c r="I89" s="152"/>
      <c r="J89" s="187"/>
      <c r="K89" s="174"/>
      <c r="L89" s="115"/>
      <c r="M89" s="116"/>
      <c r="N89" s="116"/>
    </row>
    <row r="90" spans="1:15" s="131" customFormat="1" ht="13.5">
      <c r="A90" s="149" t="s">
        <v>112</v>
      </c>
      <c r="B90" s="149">
        <f>SUM(G91:G95)</f>
        <v>328.16999999999996</v>
      </c>
      <c r="C90" s="149">
        <f>SUM(H91:H95)</f>
        <v>220</v>
      </c>
      <c r="D90" s="149">
        <f>C90-B90</f>
        <v>-108.16999999999996</v>
      </c>
      <c r="I90" s="152"/>
      <c r="J90" s="187"/>
      <c r="K90" s="174"/>
      <c r="L90" s="115"/>
      <c r="M90" s="116"/>
      <c r="N90" s="116"/>
    </row>
    <row r="91" spans="1:15" s="131" customFormat="1" ht="13.5">
      <c r="B91" s="131" t="s">
        <v>113</v>
      </c>
      <c r="G91" s="131">
        <f t="shared" si="3"/>
        <v>33.72</v>
      </c>
      <c r="H91" s="131">
        <v>40</v>
      </c>
      <c r="I91" s="152">
        <f t="shared" si="4"/>
        <v>6.2800000000000011</v>
      </c>
      <c r="J91" s="187">
        <f>Jan!I91+Feb!I91</f>
        <v>5.009999999999998</v>
      </c>
      <c r="K91" s="174"/>
      <c r="L91" s="115"/>
      <c r="M91" s="116">
        <f>33.72</f>
        <v>33.72</v>
      </c>
      <c r="N91" s="116"/>
    </row>
    <row r="92" spans="1:15" s="131" customFormat="1" ht="13.5">
      <c r="B92" s="131" t="s">
        <v>114</v>
      </c>
      <c r="D92" s="131" t="s">
        <v>115</v>
      </c>
      <c r="G92" s="131">
        <f t="shared" si="3"/>
        <v>177.5</v>
      </c>
      <c r="H92" s="131">
        <v>120</v>
      </c>
      <c r="I92" s="152">
        <f t="shared" si="4"/>
        <v>-57.5</v>
      </c>
      <c r="J92" s="187">
        <f>Jan!I92+Feb!I92</f>
        <v>-22.5</v>
      </c>
      <c r="K92" s="174"/>
      <c r="L92" s="115"/>
      <c r="M92" s="116">
        <f>85+85</f>
        <v>170</v>
      </c>
      <c r="N92" s="116">
        <v>7.5</v>
      </c>
    </row>
    <row r="93" spans="1:15" s="131" customFormat="1" ht="13.5">
      <c r="B93" s="131" t="s">
        <v>116</v>
      </c>
      <c r="G93" s="131">
        <f t="shared" si="3"/>
        <v>0</v>
      </c>
      <c r="H93" s="131">
        <v>20</v>
      </c>
      <c r="I93" s="152">
        <f t="shared" si="4"/>
        <v>20</v>
      </c>
      <c r="J93" s="187">
        <f>Jan!I93+Feb!I93</f>
        <v>14.45</v>
      </c>
      <c r="K93" s="174"/>
      <c r="L93" s="115"/>
      <c r="M93" s="116"/>
      <c r="N93" s="116"/>
    </row>
    <row r="94" spans="1:15" s="131" customFormat="1" ht="13.5">
      <c r="A94" s="149"/>
      <c r="B94" s="131" t="s">
        <v>117</v>
      </c>
      <c r="G94" s="131">
        <f t="shared" si="3"/>
        <v>49.94</v>
      </c>
      <c r="H94" s="131">
        <v>20</v>
      </c>
      <c r="I94" s="152">
        <f t="shared" si="4"/>
        <v>-29.939999999999998</v>
      </c>
      <c r="J94" s="187">
        <f>Jan!I94+Feb!I94</f>
        <v>-9.9399999999999977</v>
      </c>
      <c r="K94" s="174"/>
      <c r="L94" s="115"/>
      <c r="M94" s="116"/>
      <c r="N94" s="116">
        <v>49.94</v>
      </c>
      <c r="O94" s="131" t="s">
        <v>557</v>
      </c>
    </row>
    <row r="95" spans="1:15" s="131" customFormat="1" ht="13.5">
      <c r="A95" s="149"/>
      <c r="B95" s="131" t="s">
        <v>118</v>
      </c>
      <c r="G95" s="131">
        <f t="shared" si="3"/>
        <v>67.010000000000005</v>
      </c>
      <c r="H95" s="131">
        <v>20</v>
      </c>
      <c r="I95" s="152">
        <f t="shared" si="4"/>
        <v>-47.010000000000005</v>
      </c>
      <c r="J95" s="187">
        <f>Jan!I95+Feb!I95</f>
        <v>-116.15</v>
      </c>
      <c r="K95" s="174"/>
      <c r="L95" s="115"/>
      <c r="M95" s="116">
        <f>8.96+3.37+6.5+16.43+3.95+3.45+17.83+6.52</f>
        <v>67.010000000000005</v>
      </c>
      <c r="N95" s="116"/>
    </row>
    <row r="96" spans="1:15" s="131" customFormat="1" ht="13.5">
      <c r="A96" s="149"/>
      <c r="B96" s="149"/>
      <c r="I96" s="152"/>
      <c r="J96" s="187"/>
      <c r="K96" s="174"/>
      <c r="L96" s="115"/>
      <c r="M96" s="116"/>
      <c r="N96" s="116"/>
    </row>
    <row r="97" spans="1:15" s="131" customFormat="1" ht="13.5">
      <c r="A97" s="149" t="s">
        <v>119</v>
      </c>
      <c r="B97" s="149">
        <f>SUM(G98:G101)</f>
        <v>303.98</v>
      </c>
      <c r="C97" s="149">
        <f>SUM(H98:H101)</f>
        <v>435</v>
      </c>
      <c r="D97" s="149">
        <f>C97-B97</f>
        <v>131.01999999999998</v>
      </c>
      <c r="I97" s="152"/>
      <c r="J97" s="187"/>
      <c r="K97" s="174"/>
      <c r="L97" s="115"/>
      <c r="M97" s="116"/>
      <c r="N97" s="116"/>
    </row>
    <row r="98" spans="1:15" s="131" customFormat="1" ht="13.5">
      <c r="B98" s="198" t="s">
        <v>120</v>
      </c>
      <c r="C98" s="198"/>
      <c r="D98" s="198" t="s">
        <v>121</v>
      </c>
      <c r="E98" s="198"/>
      <c r="F98" s="198"/>
      <c r="G98" s="131">
        <f t="shared" si="3"/>
        <v>0</v>
      </c>
      <c r="H98" s="131">
        <v>150</v>
      </c>
      <c r="I98" s="152">
        <f t="shared" si="4"/>
        <v>150</v>
      </c>
      <c r="J98" s="187">
        <f>Jan!I98+Feb!I98</f>
        <v>300</v>
      </c>
      <c r="K98" s="174"/>
      <c r="L98" s="115"/>
      <c r="M98" s="116"/>
      <c r="N98" s="116"/>
    </row>
    <row r="99" spans="1:15" s="131" customFormat="1" ht="13.5">
      <c r="B99" s="198" t="s">
        <v>122</v>
      </c>
      <c r="C99" s="198"/>
      <c r="D99" s="198" t="s">
        <v>123</v>
      </c>
      <c r="E99" s="198"/>
      <c r="F99" s="198"/>
      <c r="G99" s="131">
        <f t="shared" si="3"/>
        <v>103.98</v>
      </c>
      <c r="H99" s="131">
        <v>20</v>
      </c>
      <c r="I99" s="152">
        <f t="shared" si="4"/>
        <v>-83.98</v>
      </c>
      <c r="J99" s="187">
        <f>Jan!I99+Feb!I99</f>
        <v>-86.97</v>
      </c>
      <c r="K99" s="174"/>
      <c r="L99" s="115"/>
      <c r="M99" s="116">
        <v>51.99</v>
      </c>
      <c r="N99" s="116">
        <v>51.99</v>
      </c>
      <c r="O99" s="131" t="s">
        <v>544</v>
      </c>
    </row>
    <row r="100" spans="1:15" s="131" customFormat="1" ht="13.5">
      <c r="A100" s="149"/>
      <c r="B100" s="131" t="s">
        <v>124</v>
      </c>
      <c r="G100" s="131">
        <f t="shared" si="3"/>
        <v>200</v>
      </c>
      <c r="H100" s="131">
        <v>215</v>
      </c>
      <c r="I100" s="152">
        <f t="shared" si="4"/>
        <v>15</v>
      </c>
      <c r="J100" s="187">
        <f>Jan!I100+Feb!I100</f>
        <v>-27.5</v>
      </c>
      <c r="K100" s="174"/>
      <c r="L100" s="115">
        <v>200</v>
      </c>
      <c r="M100" s="116"/>
      <c r="N100" s="116"/>
    </row>
    <row r="101" spans="1:15" s="131" customFormat="1" ht="13.5">
      <c r="A101" s="149"/>
      <c r="B101" s="198" t="s">
        <v>125</v>
      </c>
      <c r="C101" s="198"/>
      <c r="D101" s="198"/>
      <c r="E101" s="198"/>
      <c r="F101" s="198"/>
      <c r="G101" s="131">
        <f t="shared" si="3"/>
        <v>0</v>
      </c>
      <c r="H101" s="131">
        <v>50</v>
      </c>
      <c r="I101" s="152">
        <f t="shared" si="4"/>
        <v>50</v>
      </c>
      <c r="J101" s="187">
        <f>Jan!I101+Feb!I101</f>
        <v>100</v>
      </c>
      <c r="K101" s="174"/>
      <c r="L101" s="115"/>
      <c r="M101" s="116"/>
      <c r="N101" s="116"/>
    </row>
    <row r="102" spans="1:15" s="131" customFormat="1" ht="13.5">
      <c r="A102" s="149"/>
      <c r="I102" s="152"/>
      <c r="J102" s="187"/>
      <c r="K102" s="174"/>
      <c r="L102" s="115"/>
      <c r="M102" s="116"/>
      <c r="N102" s="116"/>
    </row>
    <row r="103" spans="1:15" s="131" customFormat="1" ht="13.5">
      <c r="A103" s="149" t="s">
        <v>103</v>
      </c>
      <c r="B103" s="149">
        <f>SUM(G104:G110)</f>
        <v>599.32000000000016</v>
      </c>
      <c r="C103" s="149">
        <f>SUM(H104:H110)</f>
        <v>637</v>
      </c>
      <c r="D103" s="149">
        <f>C103-B103</f>
        <v>37.679999999999836</v>
      </c>
      <c r="I103" s="152"/>
      <c r="J103" s="187"/>
      <c r="K103" s="174"/>
      <c r="L103" s="115"/>
      <c r="M103" s="116"/>
      <c r="N103" s="116"/>
    </row>
    <row r="104" spans="1:15" s="131" customFormat="1" ht="13.5">
      <c r="B104" s="131" t="s">
        <v>456</v>
      </c>
      <c r="G104" s="131">
        <f t="shared" si="3"/>
        <v>60</v>
      </c>
      <c r="H104" s="131">
        <v>50</v>
      </c>
      <c r="I104" s="152">
        <f t="shared" si="4"/>
        <v>-10</v>
      </c>
      <c r="J104" s="187">
        <f>Jan!I104+Feb!I104</f>
        <v>-20</v>
      </c>
      <c r="K104" s="174"/>
      <c r="L104" s="115">
        <v>60</v>
      </c>
      <c r="M104" s="116"/>
      <c r="N104" s="116"/>
      <c r="O104" s="231" t="s">
        <v>579</v>
      </c>
    </row>
    <row r="105" spans="1:15" s="131" customFormat="1" ht="13.5">
      <c r="B105" s="131" t="s">
        <v>105</v>
      </c>
      <c r="D105" s="131" t="s">
        <v>457</v>
      </c>
      <c r="G105" s="131">
        <f t="shared" si="3"/>
        <v>463.93</v>
      </c>
      <c r="H105" s="131">
        <v>500</v>
      </c>
      <c r="I105" s="152">
        <f t="shared" si="4"/>
        <v>36.069999999999993</v>
      </c>
      <c r="J105" s="187">
        <f>Jan!I105+Feb!I105</f>
        <v>250.3</v>
      </c>
      <c r="K105" s="174"/>
      <c r="L105" s="115"/>
      <c r="M105" s="116">
        <f>(58.96-7)+(12.6-2.84)+33.05+29.33+19.31-8.16</f>
        <v>135.25</v>
      </c>
      <c r="N105" s="116">
        <f>29.38+(77.22-49.94)+(52.9-15.69)+24.09+45.14+67.09+12.87+38.09+(11.62-7.74)+43.65</f>
        <v>328.68</v>
      </c>
    </row>
    <row r="106" spans="1:15" s="131" customFormat="1" ht="13.5">
      <c r="B106" s="131" t="s">
        <v>392</v>
      </c>
      <c r="G106" s="131">
        <f t="shared" si="3"/>
        <v>0</v>
      </c>
      <c r="H106" s="131">
        <v>27</v>
      </c>
      <c r="I106" s="152">
        <f t="shared" si="4"/>
        <v>27</v>
      </c>
      <c r="J106" s="187">
        <f>Jan!I106+Feb!I106</f>
        <v>-22.25</v>
      </c>
      <c r="K106" s="174"/>
      <c r="L106" s="115"/>
      <c r="M106" s="116"/>
      <c r="N106" s="116"/>
    </row>
    <row r="107" spans="1:15" s="131" customFormat="1" ht="13.5">
      <c r="B107" s="131" t="s">
        <v>106</v>
      </c>
      <c r="G107" s="131">
        <f t="shared" si="3"/>
        <v>15.69</v>
      </c>
      <c r="H107" s="131">
        <v>15</v>
      </c>
      <c r="I107" s="152">
        <f t="shared" si="4"/>
        <v>-0.6899999999999995</v>
      </c>
      <c r="J107" s="187">
        <f>Jan!I107+Feb!I107</f>
        <v>14.31</v>
      </c>
      <c r="K107" s="174"/>
      <c r="L107" s="115"/>
      <c r="M107" s="116"/>
      <c r="N107" s="116">
        <v>15.69</v>
      </c>
    </row>
    <row r="108" spans="1:15" s="131" customFormat="1" ht="13.5">
      <c r="B108" s="131" t="s">
        <v>107</v>
      </c>
      <c r="G108" s="131">
        <f t="shared" si="3"/>
        <v>14.74</v>
      </c>
      <c r="H108" s="131">
        <v>20</v>
      </c>
      <c r="I108" s="152">
        <f t="shared" si="4"/>
        <v>5.26</v>
      </c>
      <c r="J108" s="187">
        <f>Jan!I108+Feb!I108</f>
        <v>11.019999999999996</v>
      </c>
      <c r="K108" s="174"/>
      <c r="L108" s="115"/>
      <c r="M108" s="116">
        <v>7</v>
      </c>
      <c r="N108" s="116">
        <v>7.74</v>
      </c>
      <c r="O108" s="131" t="s">
        <v>543</v>
      </c>
    </row>
    <row r="109" spans="1:15" s="131" customFormat="1" ht="13.5">
      <c r="B109" s="131" t="s">
        <v>108</v>
      </c>
      <c r="G109" s="131">
        <f t="shared" si="3"/>
        <v>25</v>
      </c>
      <c r="H109" s="131">
        <v>20</v>
      </c>
      <c r="I109" s="152">
        <f t="shared" si="4"/>
        <v>-5</v>
      </c>
      <c r="J109" s="187">
        <f>Jan!I109+Feb!I109</f>
        <v>5.5499999999999989</v>
      </c>
      <c r="K109" s="174"/>
      <c r="L109" s="115"/>
      <c r="M109" s="116">
        <v>25</v>
      </c>
      <c r="N109" s="116"/>
      <c r="O109" s="131" t="s">
        <v>572</v>
      </c>
    </row>
    <row r="110" spans="1:15" s="131" customFormat="1" ht="13.5">
      <c r="B110" s="131" t="s">
        <v>109</v>
      </c>
      <c r="G110" s="131">
        <f t="shared" si="3"/>
        <v>19.96</v>
      </c>
      <c r="H110" s="131">
        <v>5</v>
      </c>
      <c r="I110" s="152">
        <f t="shared" si="4"/>
        <v>-14.96</v>
      </c>
      <c r="J110" s="187">
        <f>Jan!I110+Feb!I110</f>
        <v>-9.9600000000000009</v>
      </c>
      <c r="K110" s="174"/>
      <c r="L110" s="115"/>
      <c r="M110" s="116"/>
      <c r="N110" s="116">
        <f>40.42-7.5-12.96</f>
        <v>19.96</v>
      </c>
    </row>
    <row r="111" spans="1:15" s="131" customFormat="1" ht="13.5">
      <c r="I111" s="152"/>
      <c r="J111" s="187"/>
      <c r="K111" s="174"/>
      <c r="L111" s="115"/>
      <c r="M111" s="116"/>
      <c r="N111" s="116"/>
    </row>
    <row r="112" spans="1:15" s="131" customFormat="1" ht="13.5">
      <c r="A112" s="149" t="s">
        <v>407</v>
      </c>
      <c r="B112" s="149">
        <f>G113+G114</f>
        <v>0</v>
      </c>
      <c r="C112" s="149">
        <f>H113</f>
        <v>20</v>
      </c>
      <c r="D112" s="149">
        <f>C112-B112</f>
        <v>20</v>
      </c>
      <c r="I112" s="152"/>
      <c r="J112" s="187"/>
      <c r="K112" s="174"/>
      <c r="L112" s="115"/>
      <c r="M112" s="116"/>
      <c r="N112" s="116"/>
    </row>
    <row r="113" spans="1:15" s="131" customFormat="1" ht="13.5">
      <c r="B113" s="131" t="s">
        <v>408</v>
      </c>
      <c r="G113" s="131">
        <f t="shared" si="3"/>
        <v>0</v>
      </c>
      <c r="H113" s="131">
        <v>20</v>
      </c>
      <c r="I113" s="152">
        <f t="shared" si="4"/>
        <v>20</v>
      </c>
      <c r="J113" s="187">
        <f>Jan!I113+Feb!I113</f>
        <v>21.14</v>
      </c>
      <c r="K113" s="174"/>
      <c r="L113" s="115"/>
      <c r="M113" s="116"/>
      <c r="N113" s="116"/>
    </row>
    <row r="114" spans="1:15" s="131" customFormat="1" ht="13.5">
      <c r="I114" s="152"/>
      <c r="J114" s="187"/>
      <c r="K114" s="174"/>
      <c r="L114" s="115"/>
      <c r="M114" s="116"/>
      <c r="N114" s="116"/>
    </row>
    <row r="115" spans="1:15" s="131" customFormat="1" ht="13.5">
      <c r="I115" s="152"/>
      <c r="J115" s="187"/>
      <c r="K115" s="174"/>
      <c r="L115" s="115"/>
      <c r="M115" s="116"/>
      <c r="N115" s="116"/>
    </row>
    <row r="116" spans="1:15" s="131" customFormat="1" ht="13.5">
      <c r="A116" s="149" t="s">
        <v>130</v>
      </c>
      <c r="B116" s="149">
        <f>G117</f>
        <v>179.54</v>
      </c>
      <c r="C116" s="149">
        <f>H117</f>
        <v>10</v>
      </c>
      <c r="D116" s="149">
        <f>I117</f>
        <v>-169.54</v>
      </c>
      <c r="I116" s="152"/>
      <c r="J116" s="187"/>
      <c r="K116" s="174"/>
      <c r="L116" s="115"/>
      <c r="M116" s="116"/>
      <c r="N116" s="116"/>
    </row>
    <row r="117" spans="1:15" s="131" customFormat="1" ht="13.5">
      <c r="B117" s="131" t="s">
        <v>455</v>
      </c>
      <c r="G117" s="131">
        <f t="shared" si="3"/>
        <v>179.54</v>
      </c>
      <c r="H117" s="131">
        <v>10</v>
      </c>
      <c r="I117" s="152">
        <f t="shared" si="4"/>
        <v>-169.54</v>
      </c>
      <c r="J117" s="187">
        <f>Jan!I117+Feb!I117</f>
        <v>-169.39999999999998</v>
      </c>
      <c r="K117" s="174"/>
      <c r="L117" s="115"/>
      <c r="M117" s="116"/>
      <c r="N117" s="116">
        <f>122+8.84+39.88+8.82</f>
        <v>179.54</v>
      </c>
      <c r="O117" s="131" t="s">
        <v>574</v>
      </c>
    </row>
    <row r="118" spans="1:15" s="131" customFormat="1" ht="13.5">
      <c r="I118" s="152"/>
      <c r="J118" s="187"/>
      <c r="K118" s="174"/>
      <c r="L118" s="115"/>
      <c r="M118" s="116"/>
      <c r="N118" s="116"/>
    </row>
    <row r="119" spans="1:15" s="131" customFormat="1" ht="13.5">
      <c r="A119" s="149" t="s">
        <v>406</v>
      </c>
      <c r="B119" s="149">
        <f>SUM(G120:G121)</f>
        <v>289.79999999999995</v>
      </c>
      <c r="C119" s="149">
        <f>SUM(H120:H121)</f>
        <v>65</v>
      </c>
      <c r="D119" s="149">
        <f>C119-B119</f>
        <v>-224.79999999999995</v>
      </c>
      <c r="I119" s="152"/>
      <c r="J119" s="187"/>
      <c r="K119" s="174"/>
      <c r="L119" s="115"/>
      <c r="M119" s="116"/>
      <c r="N119" s="116"/>
    </row>
    <row r="120" spans="1:15" s="131" customFormat="1" ht="13.5">
      <c r="B120" s="131" t="s">
        <v>400</v>
      </c>
      <c r="E120" s="131" t="s">
        <v>494</v>
      </c>
      <c r="G120" s="131">
        <f t="shared" si="3"/>
        <v>282.29999999999995</v>
      </c>
      <c r="H120" s="131">
        <v>60</v>
      </c>
      <c r="I120" s="152">
        <f t="shared" si="4"/>
        <v>-222.29999999999995</v>
      </c>
      <c r="J120" s="187">
        <f>Jan!I120+Feb!I120</f>
        <v>-262.66999999999996</v>
      </c>
      <c r="K120" s="174"/>
      <c r="L120" s="115"/>
      <c r="M120" s="115">
        <f>10.45+41.75+37+57.15+24.79+40</f>
        <v>211.14</v>
      </c>
      <c r="N120" s="116">
        <f>30+15.54+25.62</f>
        <v>71.16</v>
      </c>
    </row>
    <row r="121" spans="1:15" s="131" customFormat="1" ht="13.5">
      <c r="B121" s="131" t="s">
        <v>403</v>
      </c>
      <c r="G121" s="131">
        <f t="shared" si="3"/>
        <v>7.5</v>
      </c>
      <c r="H121" s="131">
        <v>5</v>
      </c>
      <c r="I121" s="152">
        <f t="shared" si="4"/>
        <v>-2.5</v>
      </c>
      <c r="J121" s="187">
        <f>Jan!I121+Feb!I121</f>
        <v>-41.5</v>
      </c>
      <c r="K121" s="174"/>
      <c r="L121" s="115"/>
      <c r="M121" s="115"/>
      <c r="N121" s="116">
        <v>7.5</v>
      </c>
      <c r="O121" s="131" t="s">
        <v>575</v>
      </c>
    </row>
    <row r="122" spans="1:15" s="131" customFormat="1" ht="13.5">
      <c r="I122" s="152"/>
      <c r="J122" s="187"/>
      <c r="K122" s="174"/>
      <c r="L122" s="115"/>
      <c r="M122" s="115"/>
      <c r="N122" s="116"/>
    </row>
    <row r="123" spans="1:15" s="131" customFormat="1" ht="13.5">
      <c r="A123" s="149" t="s">
        <v>132</v>
      </c>
      <c r="B123" s="149">
        <f>G124</f>
        <v>21.25</v>
      </c>
      <c r="C123" s="149">
        <f>H124</f>
        <v>10</v>
      </c>
      <c r="D123" s="149">
        <f>C123-B123</f>
        <v>-11.25</v>
      </c>
      <c r="I123" s="152"/>
      <c r="J123" s="187"/>
      <c r="K123" s="174"/>
      <c r="L123" s="115"/>
      <c r="M123" s="115"/>
      <c r="N123" s="116"/>
    </row>
    <row r="124" spans="1:15" s="131" customFormat="1" ht="13.5">
      <c r="B124" s="131" t="s">
        <v>133</v>
      </c>
      <c r="G124" s="131">
        <f>SUM(L124:N124)</f>
        <v>21.25</v>
      </c>
      <c r="H124" s="131">
        <v>10</v>
      </c>
      <c r="I124" s="152">
        <f>H124-G124</f>
        <v>-11.25</v>
      </c>
      <c r="J124" s="187">
        <f>Jan!I124+Feb!I124</f>
        <v>-1.25</v>
      </c>
      <c r="K124" s="174"/>
      <c r="L124" s="115"/>
      <c r="M124" s="115"/>
      <c r="N124" s="116">
        <v>21.25</v>
      </c>
      <c r="O124" s="131" t="s">
        <v>573</v>
      </c>
    </row>
    <row r="125" spans="1:15" s="131" customFormat="1" ht="13.5">
      <c r="I125" s="152"/>
      <c r="J125" s="187"/>
      <c r="K125" s="174"/>
      <c r="L125" s="115"/>
      <c r="M125" s="115"/>
      <c r="N125" s="116"/>
    </row>
    <row r="126" spans="1:15" s="131" customFormat="1" ht="13.5">
      <c r="A126" s="149" t="s">
        <v>404</v>
      </c>
      <c r="B126" s="149">
        <f>SUM(G127:G128)</f>
        <v>2.84</v>
      </c>
      <c r="C126" s="149">
        <f>SUM(H127:H128)</f>
        <v>35</v>
      </c>
      <c r="D126" s="149">
        <f>C126-B126</f>
        <v>32.159999999999997</v>
      </c>
      <c r="I126" s="152"/>
      <c r="J126" s="187"/>
      <c r="K126" s="174"/>
      <c r="L126" s="115"/>
      <c r="M126" s="115"/>
      <c r="N126" s="116"/>
    </row>
    <row r="127" spans="1:15" s="131" customFormat="1" ht="13.5">
      <c r="B127" s="198" t="s">
        <v>128</v>
      </c>
      <c r="C127" s="198"/>
      <c r="D127" s="198"/>
      <c r="E127" s="198"/>
      <c r="F127" s="198"/>
      <c r="G127" s="131">
        <f>SUM(L127:N127)</f>
        <v>2.84</v>
      </c>
      <c r="H127" s="131">
        <v>20</v>
      </c>
      <c r="I127" s="152">
        <f>H127-G127</f>
        <v>17.16</v>
      </c>
      <c r="J127" s="187">
        <f>Jan!I127+Feb!I127</f>
        <v>21.990000000000002</v>
      </c>
      <c r="K127" s="174"/>
      <c r="L127" s="115"/>
      <c r="M127" s="115">
        <v>2.84</v>
      </c>
      <c r="N127" s="116"/>
      <c r="O127" s="131" t="s">
        <v>545</v>
      </c>
    </row>
    <row r="128" spans="1:15" s="131" customFormat="1" ht="13.5">
      <c r="B128" s="198" t="s">
        <v>129</v>
      </c>
      <c r="C128" s="198"/>
      <c r="D128" s="198" t="s">
        <v>405</v>
      </c>
      <c r="E128" s="198"/>
      <c r="F128" s="198"/>
      <c r="G128" s="131">
        <f>SUM(L128:N128)</f>
        <v>0</v>
      </c>
      <c r="H128" s="131">
        <v>15</v>
      </c>
      <c r="I128" s="152">
        <f>H128-G128</f>
        <v>15</v>
      </c>
      <c r="J128" s="187">
        <f>Jan!I128+Feb!I128</f>
        <v>30</v>
      </c>
      <c r="K128" s="174"/>
      <c r="L128" s="115"/>
      <c r="M128" s="115"/>
      <c r="N128" s="116"/>
    </row>
    <row r="129" spans="1:14" s="131" customFormat="1" ht="13.5">
      <c r="I129" s="152"/>
      <c r="J129" s="187"/>
      <c r="K129" s="174"/>
      <c r="L129" s="115"/>
      <c r="M129" s="115"/>
      <c r="N129" s="116"/>
    </row>
    <row r="130" spans="1:14" s="131" customFormat="1" ht="14.25" thickBot="1">
      <c r="I130" s="152"/>
      <c r="J130" s="187"/>
      <c r="K130" s="174"/>
      <c r="L130" s="115"/>
      <c r="M130" s="115"/>
      <c r="N130" s="116"/>
    </row>
    <row r="131" spans="1:14" s="131" customFormat="1" ht="14.25" thickBot="1">
      <c r="A131" s="149" t="s">
        <v>436</v>
      </c>
      <c r="B131" s="131">
        <f>SUM(G133:G140)</f>
        <v>0</v>
      </c>
      <c r="C131" s="131">
        <f>SUM(H133:H140)</f>
        <v>450</v>
      </c>
      <c r="D131" s="131">
        <f>C131-B131</f>
        <v>450</v>
      </c>
      <c r="E131" s="185"/>
      <c r="I131" s="152"/>
      <c r="J131" s="187">
        <f>Jan!I131+Feb!I131</f>
        <v>0</v>
      </c>
      <c r="K131" s="174"/>
      <c r="L131" s="115"/>
      <c r="M131" s="115"/>
      <c r="N131" s="116"/>
    </row>
    <row r="132" spans="1:14" s="131" customFormat="1" ht="13.5">
      <c r="A132" s="149" t="s">
        <v>437</v>
      </c>
      <c r="I132" s="152"/>
      <c r="J132" s="187"/>
      <c r="K132" s="174"/>
      <c r="L132" s="115"/>
      <c r="M132" s="115"/>
      <c r="N132" s="116"/>
    </row>
    <row r="133" spans="1:14" s="131" customFormat="1" ht="13.5">
      <c r="A133" s="149" t="s">
        <v>418</v>
      </c>
      <c r="B133" s="131" t="s">
        <v>445</v>
      </c>
      <c r="G133" s="131">
        <f t="shared" ref="G133:G140" si="5">SUM(L133:N133)</f>
        <v>0</v>
      </c>
      <c r="H133" s="131">
        <v>100</v>
      </c>
      <c r="I133" s="152">
        <f t="shared" ref="I133:I140" si="6">H133-G133</f>
        <v>100</v>
      </c>
      <c r="J133" s="187">
        <f>Jan!I133+Feb!I133</f>
        <v>200</v>
      </c>
      <c r="K133" s="174"/>
      <c r="L133" s="115"/>
      <c r="M133" s="115"/>
      <c r="N133" s="116"/>
    </row>
    <row r="134" spans="1:14" s="131" customFormat="1" ht="13.5">
      <c r="A134" s="149" t="s">
        <v>516</v>
      </c>
      <c r="I134" s="152"/>
      <c r="J134" s="187"/>
      <c r="K134" s="174"/>
      <c r="L134" s="115"/>
      <c r="M134" s="115"/>
      <c r="N134" s="116"/>
    </row>
    <row r="135" spans="1:14" s="131" customFormat="1" ht="13.5">
      <c r="B135" s="131" t="s">
        <v>401</v>
      </c>
      <c r="G135" s="131">
        <f t="shared" si="5"/>
        <v>0</v>
      </c>
      <c r="H135" s="131">
        <v>100</v>
      </c>
      <c r="I135" s="152">
        <f t="shared" si="6"/>
        <v>100</v>
      </c>
      <c r="J135" s="187">
        <f>Jan!I135+Feb!I135</f>
        <v>200</v>
      </c>
      <c r="K135" s="174"/>
      <c r="L135" s="115"/>
      <c r="M135" s="115"/>
      <c r="N135" s="116"/>
    </row>
    <row r="136" spans="1:14" s="131" customFormat="1" ht="13.5">
      <c r="B136" s="131" t="s">
        <v>402</v>
      </c>
      <c r="G136" s="131">
        <f t="shared" si="5"/>
        <v>0</v>
      </c>
      <c r="H136" s="131">
        <v>100</v>
      </c>
      <c r="I136" s="152">
        <f t="shared" si="6"/>
        <v>100</v>
      </c>
      <c r="J136" s="187">
        <f>Jan!I136+Feb!I136</f>
        <v>200</v>
      </c>
      <c r="K136" s="174"/>
      <c r="L136" s="115"/>
      <c r="M136" s="115"/>
      <c r="N136" s="116"/>
    </row>
    <row r="137" spans="1:14" s="131" customFormat="1" ht="13.5">
      <c r="B137" s="131" t="s">
        <v>126</v>
      </c>
      <c r="G137" s="131">
        <f t="shared" si="5"/>
        <v>0</v>
      </c>
      <c r="H137" s="131">
        <v>30</v>
      </c>
      <c r="I137" s="152">
        <f t="shared" si="6"/>
        <v>30</v>
      </c>
      <c r="J137" s="187">
        <f>Jan!I137+Feb!I137</f>
        <v>60</v>
      </c>
      <c r="K137" s="174"/>
      <c r="L137" s="115"/>
      <c r="M137" s="115"/>
      <c r="N137" s="116"/>
    </row>
    <row r="138" spans="1:14" s="131" customFormat="1" ht="13.5">
      <c r="B138" s="131" t="s">
        <v>127</v>
      </c>
      <c r="G138" s="131">
        <f t="shared" si="5"/>
        <v>0</v>
      </c>
      <c r="H138" s="131">
        <v>50</v>
      </c>
      <c r="I138" s="152">
        <f t="shared" si="6"/>
        <v>50</v>
      </c>
      <c r="J138" s="187">
        <f>Jan!I138+Feb!I138</f>
        <v>100</v>
      </c>
      <c r="K138" s="174"/>
      <c r="L138" s="115"/>
      <c r="M138" s="115"/>
      <c r="N138" s="116"/>
    </row>
    <row r="139" spans="1:14" s="131" customFormat="1" ht="13.5">
      <c r="I139" s="152"/>
      <c r="J139" s="187"/>
      <c r="K139" s="179"/>
      <c r="L139" s="115"/>
      <c r="M139" s="115"/>
      <c r="N139" s="116"/>
    </row>
    <row r="140" spans="1:14" s="131" customFormat="1" ht="13.5">
      <c r="A140" s="149" t="s">
        <v>431</v>
      </c>
      <c r="G140" s="131">
        <f t="shared" si="5"/>
        <v>0</v>
      </c>
      <c r="H140" s="131">
        <v>70</v>
      </c>
      <c r="I140" s="152">
        <f t="shared" si="6"/>
        <v>70</v>
      </c>
      <c r="J140" s="187">
        <f>Jan!I140+Feb!I140</f>
        <v>140</v>
      </c>
      <c r="K140" s="179"/>
      <c r="L140" s="115"/>
      <c r="M140" s="115"/>
      <c r="N140" s="116"/>
    </row>
    <row r="141" spans="1:14">
      <c r="J141" s="190"/>
    </row>
    <row r="142" spans="1:14">
      <c r="J142" s="190"/>
    </row>
    <row r="143" spans="1:14">
      <c r="J143" s="190"/>
    </row>
    <row r="144" spans="1:14">
      <c r="J144" s="190"/>
    </row>
    <row r="145" spans="10:10">
      <c r="J145" s="190"/>
    </row>
    <row r="146" spans="10:10">
      <c r="J146" s="190"/>
    </row>
    <row r="147" spans="10:10">
      <c r="J147" s="190"/>
    </row>
    <row r="148" spans="10:10">
      <c r="J148" s="190"/>
    </row>
    <row r="149" spans="10:10">
      <c r="J149" s="190"/>
    </row>
    <row r="150" spans="10:10">
      <c r="J150" s="190"/>
    </row>
  </sheetData>
  <sheetProtection selectLockedCells="1" selectUnlockedCells="1"/>
  <pageMargins left="0.75" right="0.75" top="1" bottom="1" header="0.51180555555555551" footer="0.51180555555555551"/>
  <pageSetup firstPageNumber="0"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0"/>
  <sheetViews>
    <sheetView topLeftCell="A72" zoomScale="84" zoomScaleNormal="84" workbookViewId="0">
      <selection activeCell="O86" sqref="O86"/>
    </sheetView>
  </sheetViews>
  <sheetFormatPr defaultColWidth="9" defaultRowHeight="15.75"/>
  <cols>
    <col min="1" max="1" width="24.42578125" style="165" customWidth="1"/>
    <col min="2" max="2" width="18" style="156" customWidth="1"/>
    <col min="3" max="3" width="17.140625" style="156" customWidth="1"/>
    <col min="4" max="5" width="16.5703125" style="156" customWidth="1"/>
    <col min="6" max="6" width="15.28515625" style="156" customWidth="1"/>
    <col min="7" max="7" width="13.5703125" style="156" customWidth="1"/>
    <col min="8" max="8" width="13.85546875" style="156" customWidth="1"/>
    <col min="9" max="10" width="14" style="156" customWidth="1"/>
    <col min="11" max="11" width="2.28515625" style="172" customWidth="1"/>
    <col min="12" max="12" width="11.5703125" style="156" customWidth="1"/>
    <col min="13" max="13" width="11.85546875" style="156" customWidth="1"/>
    <col min="14" max="15" width="11.5703125" style="156" customWidth="1"/>
    <col min="16" max="16" width="1.7109375" style="156" customWidth="1"/>
    <col min="17" max="17" width="11.7109375" style="156" customWidth="1"/>
    <col min="18" max="18" width="11.5703125" style="156" customWidth="1"/>
    <col min="19" max="16384" width="9" style="156"/>
  </cols>
  <sheetData>
    <row r="1" spans="1:16">
      <c r="A1" s="162" t="s">
        <v>277</v>
      </c>
      <c r="B1" s="163">
        <v>2013</v>
      </c>
      <c r="C1" s="163"/>
      <c r="L1" s="156" t="s">
        <v>519</v>
      </c>
    </row>
    <row r="2" spans="1:16">
      <c r="A2" s="162" t="s">
        <v>264</v>
      </c>
      <c r="B2" s="164" t="s">
        <v>9</v>
      </c>
      <c r="C2" s="164" t="s">
        <v>576</v>
      </c>
      <c r="L2" s="156" t="s">
        <v>698</v>
      </c>
    </row>
    <row r="3" spans="1:16">
      <c r="L3" s="156" t="s">
        <v>700</v>
      </c>
      <c r="O3" s="166">
        <v>15800</v>
      </c>
    </row>
    <row r="4" spans="1:16">
      <c r="A4" s="162" t="s">
        <v>4</v>
      </c>
      <c r="B4" s="167">
        <f>SUM(G5:G9)</f>
        <v>15332.48</v>
      </c>
      <c r="C4" s="167"/>
      <c r="G4" s="156" t="s">
        <v>71</v>
      </c>
      <c r="L4" s="168" t="s">
        <v>701</v>
      </c>
      <c r="O4" s="166">
        <v>3611.13</v>
      </c>
    </row>
    <row r="5" spans="1:16">
      <c r="B5" s="156" t="s">
        <v>27</v>
      </c>
      <c r="C5" s="156">
        <v>3166.51</v>
      </c>
      <c r="D5" s="166">
        <v>3453.53</v>
      </c>
      <c r="E5" s="156">
        <v>7777.4</v>
      </c>
      <c r="F5" s="156">
        <v>0</v>
      </c>
      <c r="G5" s="168">
        <f>SUM(C5:F5)</f>
        <v>14397.44</v>
      </c>
      <c r="H5" s="168" t="s">
        <v>582</v>
      </c>
      <c r="I5" s="168"/>
      <c r="J5" s="168"/>
      <c r="K5" s="173"/>
      <c r="L5" s="168" t="s">
        <v>702</v>
      </c>
      <c r="O5" s="166">
        <f>174.66+1074.42</f>
        <v>1249.0800000000002</v>
      </c>
    </row>
    <row r="6" spans="1:16">
      <c r="B6" s="156" t="s">
        <v>29</v>
      </c>
      <c r="D6" s="166"/>
      <c r="G6" s="168">
        <f>SUM(C6:F6)</f>
        <v>0</v>
      </c>
      <c r="H6" s="168"/>
      <c r="I6" s="168"/>
      <c r="J6" s="168"/>
      <c r="K6" s="173"/>
      <c r="L6" s="168"/>
      <c r="O6" s="166"/>
    </row>
    <row r="7" spans="1:16">
      <c r="B7" s="156" t="s">
        <v>327</v>
      </c>
      <c r="G7" s="168">
        <f>SUM(C7:F7)</f>
        <v>0</v>
      </c>
      <c r="H7" s="168"/>
      <c r="I7" s="168"/>
      <c r="J7" s="168"/>
      <c r="K7" s="173"/>
      <c r="L7" s="168"/>
      <c r="O7" s="166"/>
    </row>
    <row r="8" spans="1:16">
      <c r="B8" s="156" t="s">
        <v>30</v>
      </c>
      <c r="C8" s="156">
        <v>311.68</v>
      </c>
      <c r="D8" s="156">
        <v>311.68</v>
      </c>
      <c r="E8" s="156">
        <v>311.68</v>
      </c>
      <c r="G8" s="168">
        <f>SUM(C8:F8)</f>
        <v>935.04</v>
      </c>
      <c r="H8" s="168"/>
      <c r="I8" s="168"/>
      <c r="J8" s="168"/>
      <c r="K8" s="173"/>
      <c r="L8" s="168" t="s">
        <v>520</v>
      </c>
      <c r="P8" s="166"/>
    </row>
    <row r="10" spans="1:16" s="131" customFormat="1" ht="13.5">
      <c r="A10" s="149"/>
      <c r="B10" s="153"/>
      <c r="G10" s="140"/>
      <c r="I10" s="152" t="s">
        <v>80</v>
      </c>
      <c r="J10" s="187" t="s">
        <v>439</v>
      </c>
      <c r="K10" s="174"/>
    </row>
    <row r="11" spans="1:16" s="131" customFormat="1" ht="13.5">
      <c r="A11" s="149"/>
      <c r="B11" s="153"/>
      <c r="G11" s="140" t="s">
        <v>331</v>
      </c>
      <c r="H11" s="131" t="s">
        <v>84</v>
      </c>
      <c r="I11" s="154" t="s">
        <v>83</v>
      </c>
      <c r="J11" s="188" t="s">
        <v>83</v>
      </c>
      <c r="K11" s="175"/>
    </row>
    <row r="12" spans="1:16" s="131" customFormat="1" ht="13.5">
      <c r="A12" s="149" t="s">
        <v>422</v>
      </c>
      <c r="B12" s="153"/>
      <c r="D12" s="131" t="s">
        <v>426</v>
      </c>
      <c r="E12" s="131">
        <f>G12/B4</f>
        <v>3.5871561547773094E-2</v>
      </c>
      <c r="G12" s="132">
        <f>Tithe!D8</f>
        <v>550</v>
      </c>
      <c r="H12" s="131">
        <v>800</v>
      </c>
      <c r="I12" s="155">
        <f>H12-G12</f>
        <v>250</v>
      </c>
      <c r="J12" s="189">
        <f>Jan!I12+Feb!I12+Mar!I12</f>
        <v>630</v>
      </c>
      <c r="K12" s="176"/>
    </row>
    <row r="13" spans="1:16" s="131" customFormat="1" ht="13.5">
      <c r="A13" s="149"/>
      <c r="B13" s="153"/>
      <c r="G13" s="140"/>
      <c r="I13" s="155"/>
      <c r="J13" s="189"/>
      <c r="K13" s="176"/>
    </row>
    <row r="14" spans="1:16" s="131" customFormat="1" ht="13.5">
      <c r="A14" s="149" t="s">
        <v>427</v>
      </c>
      <c r="B14" s="153"/>
      <c r="G14" s="140"/>
      <c r="I14" s="155"/>
      <c r="J14" s="189"/>
      <c r="K14" s="176"/>
    </row>
    <row r="15" spans="1:16" s="131" customFormat="1" ht="13.5">
      <c r="B15" s="149" t="s">
        <v>329</v>
      </c>
      <c r="G15" s="132">
        <v>750</v>
      </c>
      <c r="H15" s="131">
        <v>750</v>
      </c>
      <c r="I15" s="155">
        <f t="shared" ref="I15:I26" si="0">H15-G15</f>
        <v>0</v>
      </c>
      <c r="J15" s="189">
        <f>Jan!I15+Feb!I15+Mar!I15</f>
        <v>0</v>
      </c>
      <c r="K15" s="176"/>
      <c r="L15" s="131" t="s">
        <v>706</v>
      </c>
    </row>
    <row r="16" spans="1:16" s="131" customFormat="1" ht="13.5">
      <c r="B16" s="149" t="s">
        <v>395</v>
      </c>
      <c r="G16" s="132">
        <v>200</v>
      </c>
      <c r="H16" s="131">
        <v>200</v>
      </c>
      <c r="I16" s="155">
        <f t="shared" si="0"/>
        <v>0</v>
      </c>
      <c r="J16" s="189">
        <f>Jan!I16+Feb!I16+Mar!I16</f>
        <v>0</v>
      </c>
      <c r="K16" s="176"/>
      <c r="L16" s="131" t="s">
        <v>707</v>
      </c>
    </row>
    <row r="17" spans="1:12" s="131" customFormat="1" ht="13.5">
      <c r="B17" s="149" t="s">
        <v>460</v>
      </c>
      <c r="G17" s="132">
        <v>300</v>
      </c>
      <c r="H17" s="131">
        <v>300</v>
      </c>
      <c r="I17" s="155">
        <f t="shared" si="0"/>
        <v>0</v>
      </c>
      <c r="J17" s="189">
        <f>Jan!I17+Feb!I17+Mar!I17</f>
        <v>0</v>
      </c>
      <c r="K17" s="176"/>
    </row>
    <row r="18" spans="1:12" s="131" customFormat="1" ht="15.95" customHeight="1">
      <c r="B18" s="149" t="s">
        <v>396</v>
      </c>
      <c r="G18" s="132">
        <v>200</v>
      </c>
      <c r="H18" s="131">
        <v>200</v>
      </c>
      <c r="I18" s="155">
        <f t="shared" si="0"/>
        <v>0</v>
      </c>
      <c r="J18" s="189">
        <f>Jan!I18+Feb!I18+Mar!I18</f>
        <v>0</v>
      </c>
      <c r="K18" s="176"/>
    </row>
    <row r="19" spans="1:12" s="131" customFormat="1" ht="15.95" customHeight="1">
      <c r="B19" s="149" t="s">
        <v>461</v>
      </c>
      <c r="G19" s="132">
        <v>300</v>
      </c>
      <c r="H19" s="131">
        <v>300</v>
      </c>
      <c r="I19" s="155">
        <f t="shared" si="0"/>
        <v>0</v>
      </c>
      <c r="J19" s="189">
        <f>Jan!I19+Feb!I19+Mar!I19</f>
        <v>0</v>
      </c>
      <c r="K19" s="176"/>
    </row>
    <row r="20" spans="1:12" s="131" customFormat="1" ht="15.95" customHeight="1">
      <c r="B20" s="149" t="s">
        <v>397</v>
      </c>
      <c r="G20" s="132">
        <v>50</v>
      </c>
      <c r="H20" s="131">
        <v>50</v>
      </c>
      <c r="I20" s="155">
        <f t="shared" si="0"/>
        <v>0</v>
      </c>
      <c r="J20" s="189">
        <f>Jan!I20+Feb!I20+Mar!I20</f>
        <v>0</v>
      </c>
      <c r="K20" s="176"/>
    </row>
    <row r="21" spans="1:12" s="131" customFormat="1" ht="15.95" customHeight="1">
      <c r="A21" s="149"/>
      <c r="B21" s="153"/>
      <c r="G21" s="140"/>
      <c r="I21" s="155"/>
      <c r="J21" s="189"/>
      <c r="K21" s="176"/>
    </row>
    <row r="22" spans="1:12" s="131" customFormat="1" ht="15.95" customHeight="1">
      <c r="A22" s="149" t="s">
        <v>428</v>
      </c>
      <c r="B22" s="149" t="s">
        <v>594</v>
      </c>
      <c r="G22" s="140">
        <v>500</v>
      </c>
      <c r="H22" s="131">
        <v>500</v>
      </c>
      <c r="I22" s="155">
        <f t="shared" si="0"/>
        <v>0</v>
      </c>
      <c r="J22" s="189">
        <f>Jan!I22+Feb!I22+Mar!I22</f>
        <v>0</v>
      </c>
      <c r="K22" s="176"/>
    </row>
    <row r="23" spans="1:12" s="131" customFormat="1" ht="15.95" customHeight="1">
      <c r="A23" s="149"/>
      <c r="B23" s="153" t="s">
        <v>595</v>
      </c>
      <c r="G23" s="140"/>
      <c r="I23" s="155"/>
      <c r="J23" s="189"/>
      <c r="K23" s="176"/>
    </row>
    <row r="24" spans="1:12" s="131" customFormat="1" ht="15.95" customHeight="1">
      <c r="A24" s="149" t="s">
        <v>429</v>
      </c>
      <c r="B24" s="153"/>
      <c r="G24" s="140"/>
      <c r="I24" s="155"/>
      <c r="J24" s="189"/>
      <c r="K24" s="176"/>
    </row>
    <row r="25" spans="1:12" s="131" customFormat="1" ht="15.95" customHeight="1">
      <c r="B25" s="149" t="s">
        <v>363</v>
      </c>
      <c r="G25" s="140"/>
      <c r="H25" s="131">
        <v>1500</v>
      </c>
      <c r="I25" s="155">
        <f t="shared" si="0"/>
        <v>1500</v>
      </c>
      <c r="J25" s="189">
        <f>Jan!I25+Feb!I25+Mar!I25</f>
        <v>3000</v>
      </c>
      <c r="K25" s="176"/>
    </row>
    <row r="26" spans="1:12" s="131" customFormat="1" ht="12.75" customHeight="1">
      <c r="B26" s="149" t="s">
        <v>399</v>
      </c>
      <c r="H26" s="131">
        <v>500</v>
      </c>
      <c r="I26" s="155">
        <f t="shared" si="0"/>
        <v>500</v>
      </c>
      <c r="J26" s="192">
        <f>Jan!I26+Feb!I26+Mar!I26</f>
        <v>1500</v>
      </c>
      <c r="K26" s="176"/>
    </row>
    <row r="27" spans="1:12" s="131" customFormat="1" ht="12.75" customHeight="1">
      <c r="A27" s="149"/>
      <c r="G27" s="157"/>
      <c r="H27" s="157"/>
      <c r="I27" s="159"/>
      <c r="J27" s="171"/>
      <c r="K27" s="171"/>
    </row>
    <row r="28" spans="1:12" s="131" customFormat="1" ht="12.75" customHeight="1" thickBot="1">
      <c r="A28" s="149"/>
      <c r="B28" s="149"/>
      <c r="G28" s="158">
        <f>SUM(G12:G26)</f>
        <v>2850</v>
      </c>
      <c r="H28" s="158">
        <f>SUM(H12:H26)</f>
        <v>5100</v>
      </c>
      <c r="I28" s="158">
        <f>SUM(I12:I26)</f>
        <v>2250</v>
      </c>
      <c r="J28" s="158">
        <f>SUM(J12:J26)</f>
        <v>5130</v>
      </c>
      <c r="K28" s="177"/>
    </row>
    <row r="29" spans="1:12" s="131" customFormat="1" ht="12.75" customHeight="1" thickTop="1">
      <c r="A29" s="149"/>
      <c r="B29" s="149"/>
      <c r="G29" s="142"/>
      <c r="H29" s="142"/>
      <c r="I29" s="142"/>
      <c r="J29" s="142"/>
      <c r="K29" s="177"/>
    </row>
    <row r="30" spans="1:12" s="131" customFormat="1" ht="12.75" customHeight="1" thickBot="1">
      <c r="A30" s="149"/>
      <c r="B30" s="149"/>
      <c r="G30" s="142"/>
      <c r="H30" s="142"/>
      <c r="I30" s="142"/>
      <c r="J30" s="142"/>
      <c r="K30" s="177"/>
    </row>
    <row r="31" spans="1:12" s="131" customFormat="1" ht="12.75" customHeight="1" thickBot="1">
      <c r="A31" s="149" t="s">
        <v>442</v>
      </c>
      <c r="B31" s="149"/>
      <c r="G31" s="185"/>
      <c r="H31" s="142"/>
      <c r="I31" s="142"/>
      <c r="J31" s="142"/>
      <c r="K31" s="177"/>
      <c r="L31" s="142"/>
    </row>
    <row r="32" spans="1:12" s="131" customFormat="1" ht="12.75" customHeight="1" thickBot="1">
      <c r="A32" s="149"/>
      <c r="B32" s="149"/>
      <c r="G32" s="142"/>
      <c r="H32" s="142"/>
      <c r="I32" s="142"/>
      <c r="J32" s="142"/>
      <c r="K32" s="177"/>
      <c r="L32" s="142"/>
    </row>
    <row r="33" spans="1:14" s="131" customFormat="1" ht="12.75" customHeight="1" thickBot="1">
      <c r="A33" s="149" t="s">
        <v>425</v>
      </c>
      <c r="B33" s="149"/>
      <c r="G33" s="240">
        <f>B4-G28</f>
        <v>12482.48</v>
      </c>
      <c r="H33" s="142"/>
      <c r="I33" s="142"/>
      <c r="J33" s="142"/>
      <c r="K33" s="177"/>
      <c r="L33" s="142"/>
    </row>
    <row r="34" spans="1:14" s="131" customFormat="1" ht="12.75" customHeight="1">
      <c r="A34" s="149"/>
      <c r="B34" s="149"/>
      <c r="G34" s="170"/>
      <c r="H34" s="142"/>
      <c r="I34" s="142"/>
      <c r="J34" s="142"/>
      <c r="K34" s="177"/>
      <c r="L34" s="142"/>
    </row>
    <row r="35" spans="1:14" s="131" customFormat="1" ht="12.75" customHeight="1">
      <c r="A35" s="149" t="s">
        <v>432</v>
      </c>
      <c r="B35" s="149"/>
      <c r="G35" s="170">
        <f>E46</f>
        <v>1991.56</v>
      </c>
      <c r="H35" s="142"/>
      <c r="I35" s="142"/>
      <c r="J35" s="142"/>
      <c r="K35" s="177"/>
      <c r="L35" s="142"/>
    </row>
    <row r="36" spans="1:14" s="131" customFormat="1" ht="12.75" customHeight="1">
      <c r="A36" s="149"/>
      <c r="B36" s="149"/>
      <c r="G36" s="170"/>
      <c r="H36" s="142"/>
      <c r="I36" s="142"/>
      <c r="J36" s="142"/>
      <c r="K36" s="177"/>
      <c r="L36" s="142"/>
    </row>
    <row r="37" spans="1:14" s="131" customFormat="1" ht="13.5">
      <c r="A37" s="149" t="s">
        <v>433</v>
      </c>
      <c r="B37" s="149"/>
      <c r="G37" s="170">
        <f>B131</f>
        <v>0</v>
      </c>
      <c r="H37" s="142" t="s">
        <v>435</v>
      </c>
      <c r="I37" s="142"/>
      <c r="J37" s="142"/>
      <c r="K37" s="177"/>
      <c r="L37" s="142"/>
    </row>
    <row r="38" spans="1:14" s="131" customFormat="1" ht="14.25" thickBot="1">
      <c r="A38" s="149"/>
      <c r="B38" s="149"/>
      <c r="G38" s="170"/>
      <c r="H38" s="142"/>
      <c r="I38" s="142"/>
      <c r="J38" s="142"/>
      <c r="K38" s="177"/>
      <c r="L38" s="142"/>
    </row>
    <row r="39" spans="1:14" s="131" customFormat="1" ht="14.25" thickBot="1">
      <c r="A39" s="149" t="s">
        <v>430</v>
      </c>
      <c r="B39" s="149"/>
      <c r="G39" s="186">
        <f>G33-G35-G37+G31</f>
        <v>10490.92</v>
      </c>
      <c r="H39" s="142"/>
      <c r="I39" s="142"/>
      <c r="J39" s="142"/>
      <c r="K39" s="177"/>
      <c r="L39" s="142"/>
    </row>
    <row r="40" spans="1:14" s="131" customFormat="1" ht="13.5">
      <c r="A40" s="149"/>
      <c r="B40" s="149"/>
      <c r="G40" s="196"/>
      <c r="H40" s="142"/>
      <c r="I40" s="142"/>
      <c r="J40" s="142"/>
      <c r="K40" s="177"/>
      <c r="L40" s="142"/>
    </row>
    <row r="41" spans="1:14" s="131" customFormat="1" ht="13.5">
      <c r="A41" s="197" t="s">
        <v>478</v>
      </c>
      <c r="B41" s="149"/>
      <c r="G41" s="196"/>
      <c r="H41" s="142"/>
      <c r="I41" s="142"/>
      <c r="J41" s="142"/>
      <c r="K41" s="177"/>
      <c r="L41" s="142"/>
    </row>
    <row r="42" spans="1:14" s="131" customFormat="1" ht="13.5">
      <c r="B42" s="197" t="s">
        <v>464</v>
      </c>
      <c r="C42" s="150">
        <f>H57+H58+H63+H64+H72+H73+H74+H81+H82+H83+H88+H91+H92+H93+H94+H95+H100+H104+H105+H106+H107+H108+H109+H110+H113+H117+H120+H121+H124</f>
        <v>1650</v>
      </c>
      <c r="D42" s="197" t="s">
        <v>465</v>
      </c>
      <c r="E42" s="150">
        <f>G57+G58+G63+G64+G72+G73+G74+G81+G82+G83+G88+G91+G92+G93+G94+G95+G100+G104+G105+G106+G107+G108+G109+G110+G113+G117+G120+G121+G124</f>
        <v>1395.7100000000003</v>
      </c>
      <c r="G42" s="196"/>
      <c r="H42" s="142"/>
      <c r="I42" s="142"/>
      <c r="J42" s="142"/>
      <c r="K42" s="177"/>
      <c r="L42" s="142"/>
      <c r="M42" s="131">
        <f>M46+M44-M43</f>
        <v>554.51</v>
      </c>
      <c r="N42" s="131">
        <f>N46</f>
        <v>839.0300000000002</v>
      </c>
    </row>
    <row r="43" spans="1:14" s="131" customFormat="1" ht="13.5">
      <c r="A43" s="149"/>
      <c r="B43" s="149"/>
      <c r="I43" s="152"/>
      <c r="J43" s="187" t="s">
        <v>439</v>
      </c>
      <c r="K43" s="174"/>
      <c r="L43" s="131" t="s">
        <v>534</v>
      </c>
    </row>
    <row r="44" spans="1:14" s="131" customFormat="1" ht="13.5">
      <c r="A44" s="149"/>
      <c r="B44" s="149"/>
      <c r="G44" s="140"/>
      <c r="I44" s="152" t="s">
        <v>80</v>
      </c>
      <c r="J44" s="187" t="s">
        <v>440</v>
      </c>
      <c r="K44" s="174"/>
      <c r="L44" s="131" t="s">
        <v>515</v>
      </c>
      <c r="M44" s="131">
        <v>100</v>
      </c>
    </row>
    <row r="45" spans="1:14" s="131" customFormat="1" ht="14.25" thickBot="1">
      <c r="B45" s="149"/>
      <c r="G45" s="140" t="s">
        <v>331</v>
      </c>
      <c r="H45" s="131" t="s">
        <v>84</v>
      </c>
      <c r="I45" s="154" t="s">
        <v>83</v>
      </c>
      <c r="J45" s="188" t="s">
        <v>441</v>
      </c>
      <c r="K45" s="175"/>
      <c r="L45" s="180" t="s">
        <v>332</v>
      </c>
      <c r="M45" s="181" t="s">
        <v>333</v>
      </c>
      <c r="N45" s="181" t="s">
        <v>334</v>
      </c>
    </row>
    <row r="46" spans="1:14" s="131" customFormat="1" ht="14.25" thickBot="1">
      <c r="A46" s="149" t="s">
        <v>434</v>
      </c>
      <c r="D46"/>
      <c r="E46" s="262">
        <f>B48+B56+B62+B66+B71+B80+B85+B90+B97+B103+B112+B116+B119+B123+B126</f>
        <v>1991.56</v>
      </c>
      <c r="G46" s="191">
        <f>SUM(G48:G128)</f>
        <v>1991.5600000000002</v>
      </c>
      <c r="H46" s="191">
        <f>SUM(H48:H128)</f>
        <v>4203.95</v>
      </c>
      <c r="I46" s="191">
        <f>H46-G46</f>
        <v>2212.3899999999994</v>
      </c>
      <c r="J46" s="191">
        <f>SUM(J48:J128)</f>
        <v>2375.2899999999995</v>
      </c>
      <c r="K46" s="178"/>
      <c r="L46" s="182">
        <f>SUM(L49:L139)</f>
        <v>698.02</v>
      </c>
      <c r="M46" s="183">
        <f>SUM(M49:M139)</f>
        <v>454.51000000000005</v>
      </c>
      <c r="N46" s="183">
        <f>SUM(N49:N139)</f>
        <v>839.0300000000002</v>
      </c>
    </row>
    <row r="47" spans="1:14" s="131" customFormat="1" ht="13.5">
      <c r="A47" s="131" t="s">
        <v>421</v>
      </c>
      <c r="I47" s="152"/>
      <c r="J47" s="187"/>
      <c r="K47" s="174"/>
      <c r="L47" s="115"/>
      <c r="M47" s="116"/>
      <c r="N47" s="116"/>
    </row>
    <row r="48" spans="1:14" s="131" customFormat="1" ht="13.5">
      <c r="A48" s="149" t="s">
        <v>547</v>
      </c>
      <c r="B48" s="149">
        <f>SUM(G49:G54)</f>
        <v>327.95</v>
      </c>
      <c r="C48" s="149">
        <f>SUM(H49:H54)</f>
        <v>1790.45</v>
      </c>
      <c r="D48" s="149">
        <f>SUM(I49:I54)</f>
        <v>1462.5</v>
      </c>
      <c r="I48" s="152"/>
      <c r="J48" s="187"/>
      <c r="K48" s="174"/>
      <c r="L48" s="115"/>
      <c r="M48" s="116"/>
      <c r="N48" s="116"/>
    </row>
    <row r="49" spans="1:15" s="131" customFormat="1" ht="13.5">
      <c r="B49" s="131" t="s">
        <v>550</v>
      </c>
      <c r="G49" s="131">
        <f t="shared" ref="G49:G54" si="1">SUM(L49:N49)</f>
        <v>0</v>
      </c>
      <c r="H49" s="131">
        <v>0</v>
      </c>
      <c r="I49" s="152">
        <f t="shared" ref="I49:I54" si="2">H49-G49</f>
        <v>0</v>
      </c>
      <c r="J49" s="187">
        <f>Jan!I49+Feb!I49+Mar!I49</f>
        <v>-1550</v>
      </c>
      <c r="K49" s="174"/>
      <c r="L49" s="115"/>
      <c r="M49" s="116"/>
      <c r="N49" s="116"/>
      <c r="O49" s="131" t="s">
        <v>597</v>
      </c>
    </row>
    <row r="50" spans="1:15" s="131" customFormat="1" ht="13.5">
      <c r="B50" s="131" t="s">
        <v>622</v>
      </c>
      <c r="G50" s="131">
        <f t="shared" si="1"/>
        <v>49</v>
      </c>
      <c r="H50" s="131">
        <v>1250</v>
      </c>
      <c r="I50" s="152">
        <f t="shared" si="2"/>
        <v>1201</v>
      </c>
      <c r="J50" s="187">
        <f>Jan!I50+Feb!I50+Mar!I50</f>
        <v>3701</v>
      </c>
      <c r="K50" s="174"/>
      <c r="L50" s="115"/>
      <c r="M50" s="116"/>
      <c r="N50" s="116">
        <v>49</v>
      </c>
      <c r="O50" s="131" t="s">
        <v>626</v>
      </c>
    </row>
    <row r="51" spans="1:15" s="131" customFormat="1" ht="13.5">
      <c r="B51" s="131" t="s">
        <v>624</v>
      </c>
      <c r="G51" s="131">
        <f t="shared" si="1"/>
        <v>278.95</v>
      </c>
      <c r="H51" s="131">
        <v>540.45000000000005</v>
      </c>
      <c r="I51" s="152">
        <f t="shared" si="2"/>
        <v>261.50000000000006</v>
      </c>
      <c r="J51" s="187">
        <f>Jan!I51+Feb!I51+Mar!I51</f>
        <v>261.50000000000006</v>
      </c>
      <c r="K51" s="174"/>
      <c r="L51" s="115">
        <v>278.95</v>
      </c>
      <c r="M51" s="116"/>
      <c r="N51" s="116"/>
      <c r="O51" s="131" t="s">
        <v>627</v>
      </c>
    </row>
    <row r="52" spans="1:15" s="131" customFormat="1" ht="13.5">
      <c r="B52" s="131" t="s">
        <v>551</v>
      </c>
      <c r="G52" s="131">
        <f t="shared" si="1"/>
        <v>0</v>
      </c>
      <c r="H52" s="131">
        <v>0</v>
      </c>
      <c r="I52" s="152">
        <f t="shared" si="2"/>
        <v>0</v>
      </c>
      <c r="J52" s="187">
        <f>Jan!I52+Feb!I52+Mar!I52</f>
        <v>0</v>
      </c>
      <c r="K52" s="174"/>
      <c r="L52" s="115"/>
      <c r="M52" s="116"/>
      <c r="N52" s="116"/>
    </row>
    <row r="53" spans="1:15" s="131" customFormat="1" ht="13.5">
      <c r="B53" s="131" t="s">
        <v>720</v>
      </c>
      <c r="G53" s="131">
        <f t="shared" si="1"/>
        <v>0</v>
      </c>
      <c r="H53" s="131">
        <v>0</v>
      </c>
      <c r="I53" s="152"/>
      <c r="J53" s="187"/>
      <c r="K53" s="174"/>
      <c r="L53" s="115"/>
      <c r="M53" s="116"/>
      <c r="N53" s="116"/>
    </row>
    <row r="54" spans="1:15" s="131" customFormat="1" ht="13.5">
      <c r="B54" s="131" t="s">
        <v>625</v>
      </c>
      <c r="G54" s="131">
        <f t="shared" si="1"/>
        <v>0</v>
      </c>
      <c r="H54" s="131">
        <v>0</v>
      </c>
      <c r="I54" s="152">
        <f t="shared" si="2"/>
        <v>0</v>
      </c>
      <c r="J54" s="187">
        <f>Jan!I54+Feb!I54+Mar!I54</f>
        <v>0</v>
      </c>
      <c r="K54" s="174"/>
      <c r="L54" s="115"/>
      <c r="M54" s="116"/>
      <c r="N54" s="116"/>
    </row>
    <row r="55" spans="1:15" s="131" customFormat="1" ht="13.5">
      <c r="I55" s="152"/>
      <c r="J55" s="187"/>
      <c r="K55" s="174"/>
      <c r="L55" s="115"/>
      <c r="M55" s="116"/>
      <c r="N55" s="116"/>
    </row>
    <row r="56" spans="1:15" s="131" customFormat="1" ht="13.5">
      <c r="A56" s="149" t="s">
        <v>85</v>
      </c>
      <c r="B56" s="149">
        <f>SUM(G57:G60)</f>
        <v>222.70999999999998</v>
      </c>
      <c r="C56" s="149">
        <f>SUM(H57:H60)</f>
        <v>355</v>
      </c>
      <c r="D56" s="149">
        <f>C56-B56</f>
        <v>132.29000000000002</v>
      </c>
      <c r="I56" s="152"/>
      <c r="J56" s="187"/>
      <c r="K56" s="174"/>
      <c r="L56" s="115"/>
      <c r="M56" s="116"/>
      <c r="N56" s="116"/>
    </row>
    <row r="57" spans="1:15" s="131" customFormat="1" ht="13.5">
      <c r="B57" s="131" t="s">
        <v>41</v>
      </c>
      <c r="C57" s="131" t="s">
        <v>42</v>
      </c>
      <c r="G57" s="131">
        <f>SUM(L57:N57)</f>
        <v>112.71</v>
      </c>
      <c r="H57" s="131">
        <v>110</v>
      </c>
      <c r="I57" s="152">
        <f>H57-G57</f>
        <v>-2.7099999999999937</v>
      </c>
      <c r="J57" s="187">
        <f>Jan!I57+Feb!I57+Mar!I57</f>
        <v>-22.339999999999989</v>
      </c>
      <c r="K57" s="174"/>
      <c r="L57" s="115">
        <v>112.71</v>
      </c>
      <c r="M57" s="116"/>
      <c r="N57" s="116"/>
    </row>
    <row r="58" spans="1:15" s="131" customFormat="1" ht="13.5">
      <c r="B58" s="131" t="s">
        <v>43</v>
      </c>
      <c r="C58" s="131" t="s">
        <v>44</v>
      </c>
      <c r="G58" s="131">
        <f t="shared" ref="G58:G121" si="3">SUM(L58:N58)</f>
        <v>0</v>
      </c>
      <c r="H58" s="131">
        <v>45</v>
      </c>
      <c r="I58" s="152">
        <f t="shared" ref="I58:I121" si="4">H58-G58</f>
        <v>45</v>
      </c>
      <c r="J58" s="187">
        <f>Jan!I58+Feb!I58+Mar!I58</f>
        <v>135</v>
      </c>
      <c r="K58" s="174"/>
      <c r="L58" s="115"/>
      <c r="M58" s="116"/>
      <c r="N58" s="116"/>
    </row>
    <row r="59" spans="1:15" s="131" customFormat="1" ht="13.5">
      <c r="B59" s="198" t="s">
        <v>86</v>
      </c>
      <c r="C59" s="198" t="s">
        <v>87</v>
      </c>
      <c r="D59" s="198" t="s">
        <v>423</v>
      </c>
      <c r="E59" s="198"/>
      <c r="F59" s="198"/>
      <c r="G59" s="131">
        <f t="shared" si="3"/>
        <v>110</v>
      </c>
      <c r="H59" s="131">
        <v>90</v>
      </c>
      <c r="I59" s="152">
        <f t="shared" si="4"/>
        <v>-20</v>
      </c>
      <c r="J59" s="187">
        <f>Jan!I59+Feb!I59+Mar!I59</f>
        <v>160</v>
      </c>
      <c r="K59" s="174"/>
      <c r="L59" s="115"/>
      <c r="M59" s="116">
        <v>54</v>
      </c>
      <c r="N59" s="116">
        <v>56</v>
      </c>
    </row>
    <row r="60" spans="1:15" s="131" customFormat="1" ht="13.5">
      <c r="B60" s="198" t="s">
        <v>88</v>
      </c>
      <c r="C60" s="198" t="s">
        <v>89</v>
      </c>
      <c r="D60" s="198" t="s">
        <v>424</v>
      </c>
      <c r="E60" s="198"/>
      <c r="F60" s="198"/>
      <c r="G60" s="131">
        <f t="shared" si="3"/>
        <v>0</v>
      </c>
      <c r="H60" s="131">
        <v>110</v>
      </c>
      <c r="I60" s="152">
        <f t="shared" si="4"/>
        <v>110</v>
      </c>
      <c r="J60" s="187">
        <f>Jan!I60+Feb!I60+Mar!I60</f>
        <v>330</v>
      </c>
      <c r="K60" s="174"/>
      <c r="L60" s="115"/>
      <c r="M60" s="116"/>
      <c r="N60" s="116"/>
    </row>
    <row r="61" spans="1:15" s="131" customFormat="1" ht="13.5">
      <c r="I61" s="152"/>
      <c r="J61" s="187"/>
      <c r="K61" s="174"/>
      <c r="L61" s="115"/>
      <c r="M61" s="116"/>
      <c r="N61" s="116"/>
    </row>
    <row r="62" spans="1:15" s="131" customFormat="1" ht="13.5">
      <c r="A62" s="149" t="s">
        <v>91</v>
      </c>
      <c r="B62" s="149">
        <f>SUM(G63:G64)</f>
        <v>138.30000000000001</v>
      </c>
      <c r="C62" s="149">
        <f>SUM(H63:H64)</f>
        <v>138</v>
      </c>
      <c r="D62" s="149">
        <f>C62-B62</f>
        <v>-0.30000000000001137</v>
      </c>
      <c r="I62" s="152"/>
      <c r="J62" s="187"/>
      <c r="K62" s="174"/>
      <c r="L62" s="115"/>
      <c r="M62" s="116"/>
      <c r="N62" s="116"/>
    </row>
    <row r="63" spans="1:15" s="131" customFormat="1" ht="13.5">
      <c r="B63" s="131" t="s">
        <v>50</v>
      </c>
      <c r="C63" s="131" t="s">
        <v>51</v>
      </c>
      <c r="G63" s="131">
        <f t="shared" si="3"/>
        <v>65.97</v>
      </c>
      <c r="H63" s="131">
        <v>63</v>
      </c>
      <c r="I63" s="152">
        <f t="shared" si="4"/>
        <v>-2.9699999999999989</v>
      </c>
      <c r="J63" s="187">
        <f>Jan!I63+Feb!I63+Mar!I63</f>
        <v>-2.9099999999999966</v>
      </c>
      <c r="K63" s="174"/>
      <c r="L63" s="115"/>
      <c r="M63" s="116">
        <v>65.97</v>
      </c>
      <c r="N63" s="116"/>
    </row>
    <row r="64" spans="1:15" s="131" customFormat="1" ht="13.5">
      <c r="B64" s="131" t="s">
        <v>92</v>
      </c>
      <c r="C64" s="131" t="s">
        <v>93</v>
      </c>
      <c r="D64" s="156"/>
      <c r="G64" s="131">
        <f t="shared" si="3"/>
        <v>72.33</v>
      </c>
      <c r="H64" s="131">
        <v>75</v>
      </c>
      <c r="I64" s="152">
        <f t="shared" si="4"/>
        <v>2.6700000000000017</v>
      </c>
      <c r="J64" s="187">
        <f>Jan!I64+Feb!I64+Mar!I64</f>
        <v>5.6000000000000085</v>
      </c>
      <c r="K64" s="174"/>
      <c r="L64" s="115"/>
      <c r="M64" s="116">
        <v>72.33</v>
      </c>
      <c r="N64" s="116"/>
    </row>
    <row r="65" spans="1:14" s="131" customFormat="1" ht="13.5">
      <c r="I65" s="152"/>
      <c r="J65" s="187"/>
      <c r="K65" s="174"/>
      <c r="L65" s="115"/>
      <c r="M65" s="116"/>
      <c r="N65" s="116"/>
    </row>
    <row r="66" spans="1:14" s="131" customFormat="1" ht="13.5">
      <c r="A66" s="193" t="s">
        <v>94</v>
      </c>
      <c r="B66" s="149">
        <f>SUM(G67:G69)</f>
        <v>0</v>
      </c>
      <c r="C66" s="149">
        <f>SUM(H67:H69)</f>
        <v>177</v>
      </c>
      <c r="D66" s="149">
        <f>C66-B66</f>
        <v>177</v>
      </c>
      <c r="I66" s="152"/>
      <c r="J66" s="187"/>
      <c r="K66" s="174"/>
      <c r="L66" s="115"/>
      <c r="M66" s="116"/>
      <c r="N66" s="116"/>
    </row>
    <row r="67" spans="1:14" s="131" customFormat="1" ht="13.5">
      <c r="B67" s="198" t="s">
        <v>95</v>
      </c>
      <c r="C67" s="198"/>
      <c r="D67" s="198" t="s">
        <v>96</v>
      </c>
      <c r="E67" s="198"/>
      <c r="F67" s="198"/>
      <c r="G67" s="131">
        <f t="shared" si="3"/>
        <v>0</v>
      </c>
      <c r="H67" s="131">
        <v>56.5</v>
      </c>
      <c r="I67" s="152">
        <f t="shared" si="4"/>
        <v>56.5</v>
      </c>
      <c r="J67" s="187">
        <f>Jan!I67+Feb!I67+Mar!I67</f>
        <v>-546.5</v>
      </c>
      <c r="K67" s="174"/>
      <c r="L67" s="115"/>
      <c r="M67" s="116"/>
      <c r="N67" s="116"/>
    </row>
    <row r="68" spans="1:14" s="131" customFormat="1" ht="13.5">
      <c r="B68" s="198" t="s">
        <v>97</v>
      </c>
      <c r="C68" s="198"/>
      <c r="D68" s="198" t="s">
        <v>96</v>
      </c>
      <c r="E68" s="198"/>
      <c r="F68" s="198"/>
      <c r="G68" s="131">
        <f t="shared" si="3"/>
        <v>0</v>
      </c>
      <c r="H68" s="131">
        <v>84.5</v>
      </c>
      <c r="I68" s="152">
        <f t="shared" si="4"/>
        <v>84.5</v>
      </c>
      <c r="J68" s="187">
        <f>Jan!I68+Feb!I68+Mar!I68</f>
        <v>-701.5</v>
      </c>
      <c r="K68" s="174"/>
      <c r="L68" s="115"/>
      <c r="M68" s="116"/>
      <c r="N68" s="116"/>
    </row>
    <row r="69" spans="1:14" s="131" customFormat="1" ht="13.5">
      <c r="B69" s="198" t="s">
        <v>98</v>
      </c>
      <c r="C69" s="198"/>
      <c r="D69" s="198" t="s">
        <v>477</v>
      </c>
      <c r="E69" s="198"/>
      <c r="F69" s="198"/>
      <c r="G69" s="131">
        <f t="shared" si="3"/>
        <v>0</v>
      </c>
      <c r="H69" s="131">
        <v>36</v>
      </c>
      <c r="I69" s="152">
        <f t="shared" si="4"/>
        <v>36</v>
      </c>
      <c r="J69" s="187">
        <f>Jan!I69+Feb!I69+Mar!I69</f>
        <v>108</v>
      </c>
      <c r="K69" s="174"/>
      <c r="L69" s="115"/>
      <c r="M69" s="116"/>
      <c r="N69" s="116"/>
    </row>
    <row r="70" spans="1:14" s="131" customFormat="1" ht="13.5">
      <c r="I70" s="152"/>
      <c r="J70" s="187"/>
      <c r="K70" s="174"/>
      <c r="L70" s="115"/>
      <c r="M70" s="116"/>
      <c r="N70" s="116"/>
    </row>
    <row r="71" spans="1:14" s="131" customFormat="1" ht="13.5">
      <c r="A71" s="149" t="s">
        <v>99</v>
      </c>
      <c r="B71" s="149">
        <f>SUM(G72:G78)</f>
        <v>0</v>
      </c>
      <c r="C71" s="149">
        <f>SUM(H72:H78)</f>
        <v>166.5</v>
      </c>
      <c r="D71" s="149">
        <f>C71-B71</f>
        <v>166.5</v>
      </c>
      <c r="I71" s="152"/>
      <c r="J71" s="187"/>
      <c r="K71" s="174"/>
      <c r="L71" s="115"/>
      <c r="M71" s="116"/>
      <c r="N71" s="116"/>
    </row>
    <row r="72" spans="1:14" s="131" customFormat="1" ht="13.5">
      <c r="B72" s="198" t="s">
        <v>100</v>
      </c>
      <c r="C72" s="198"/>
      <c r="D72" s="198"/>
      <c r="E72" s="198"/>
      <c r="F72" s="198"/>
      <c r="G72" s="131">
        <f t="shared" si="3"/>
        <v>0</v>
      </c>
      <c r="H72" s="131">
        <v>15</v>
      </c>
      <c r="I72" s="152">
        <f t="shared" si="4"/>
        <v>15</v>
      </c>
      <c r="J72" s="187">
        <f>Jan!I72+Feb!I72+Mar!I72</f>
        <v>-16.170000000000002</v>
      </c>
      <c r="K72" s="174"/>
      <c r="L72" s="115"/>
      <c r="M72" s="116"/>
      <c r="N72" s="116"/>
    </row>
    <row r="73" spans="1:14" s="131" customFormat="1" ht="13.5">
      <c r="B73" s="198" t="s">
        <v>384</v>
      </c>
      <c r="C73" s="198"/>
      <c r="D73" s="198"/>
      <c r="E73" s="198"/>
      <c r="F73" s="198"/>
      <c r="G73" s="131">
        <f t="shared" si="3"/>
        <v>0</v>
      </c>
      <c r="H73" s="131">
        <v>5</v>
      </c>
      <c r="I73" s="152">
        <f t="shared" si="4"/>
        <v>5</v>
      </c>
      <c r="J73" s="187">
        <f>Jan!I73+Feb!I73+Mar!I73</f>
        <v>15</v>
      </c>
      <c r="K73" s="174"/>
      <c r="L73" s="115"/>
      <c r="M73" s="116"/>
      <c r="N73" s="116"/>
    </row>
    <row r="74" spans="1:14" s="131" customFormat="1" ht="13.5">
      <c r="B74" s="198" t="s">
        <v>385</v>
      </c>
      <c r="C74" s="198"/>
      <c r="D74" s="198"/>
      <c r="E74" s="198"/>
      <c r="F74" s="198"/>
      <c r="G74" s="131">
        <f t="shared" si="3"/>
        <v>0</v>
      </c>
      <c r="H74" s="131">
        <v>65</v>
      </c>
      <c r="I74" s="152">
        <f t="shared" si="4"/>
        <v>65</v>
      </c>
      <c r="J74" s="187">
        <f>Jan!I74+Feb!I74+Mar!I74</f>
        <v>195</v>
      </c>
      <c r="K74" s="174"/>
      <c r="L74" s="115"/>
      <c r="M74" s="116"/>
      <c r="N74" s="116"/>
    </row>
    <row r="75" spans="1:14" s="131" customFormat="1" ht="13.5">
      <c r="B75" s="198" t="s">
        <v>386</v>
      </c>
      <c r="C75" s="198"/>
      <c r="D75" s="198"/>
      <c r="E75" s="198"/>
      <c r="F75" s="198"/>
      <c r="G75" s="131">
        <f t="shared" si="3"/>
        <v>0</v>
      </c>
      <c r="H75" s="131">
        <v>15</v>
      </c>
      <c r="I75" s="152">
        <f t="shared" si="4"/>
        <v>15</v>
      </c>
      <c r="J75" s="187">
        <f>Jan!I75+Feb!I75+Mar!I75</f>
        <v>45</v>
      </c>
      <c r="K75" s="174"/>
      <c r="L75" s="115"/>
      <c r="M75" s="116"/>
      <c r="N75" s="116"/>
    </row>
    <row r="76" spans="1:14" s="131" customFormat="1" ht="13.5">
      <c r="B76" s="198" t="s">
        <v>390</v>
      </c>
      <c r="C76" s="198"/>
      <c r="D76" s="198"/>
      <c r="E76" s="198"/>
      <c r="F76" s="198"/>
      <c r="G76" s="131">
        <f t="shared" si="3"/>
        <v>0</v>
      </c>
      <c r="H76" s="131">
        <v>35</v>
      </c>
      <c r="I76" s="152">
        <f t="shared" si="4"/>
        <v>35</v>
      </c>
      <c r="J76" s="187">
        <f>Jan!I76+Feb!I76+Mar!I76</f>
        <v>105</v>
      </c>
      <c r="K76" s="174"/>
      <c r="L76" s="115"/>
      <c r="M76" s="116"/>
      <c r="N76" s="116"/>
    </row>
    <row r="77" spans="1:14" s="131" customFormat="1" ht="13.5">
      <c r="B77" s="198" t="s">
        <v>387</v>
      </c>
      <c r="C77" s="198"/>
      <c r="D77" s="198"/>
      <c r="E77" s="198"/>
      <c r="F77" s="198"/>
      <c r="G77" s="131">
        <f t="shared" si="3"/>
        <v>0</v>
      </c>
      <c r="H77" s="131">
        <v>20</v>
      </c>
      <c r="I77" s="152">
        <f t="shared" si="4"/>
        <v>20</v>
      </c>
      <c r="J77" s="187">
        <f>Jan!I77+Feb!I77+Mar!I77</f>
        <v>60</v>
      </c>
      <c r="K77" s="174"/>
      <c r="L77" s="115"/>
      <c r="M77" s="116"/>
      <c r="N77" s="116"/>
    </row>
    <row r="78" spans="1:14" s="131" customFormat="1" ht="13.5">
      <c r="B78" s="198" t="s">
        <v>388</v>
      </c>
      <c r="C78" s="198"/>
      <c r="D78" s="198"/>
      <c r="E78" s="198"/>
      <c r="F78" s="198"/>
      <c r="G78" s="131">
        <f t="shared" si="3"/>
        <v>0</v>
      </c>
      <c r="H78" s="131">
        <v>11.5</v>
      </c>
      <c r="I78" s="152">
        <f t="shared" si="4"/>
        <v>11.5</v>
      </c>
      <c r="J78" s="187">
        <f>Jan!I78+Feb!I78+Mar!I78</f>
        <v>34.5</v>
      </c>
      <c r="K78" s="174"/>
      <c r="L78" s="115"/>
      <c r="M78" s="116"/>
      <c r="N78" s="116"/>
    </row>
    <row r="79" spans="1:14" s="131" customFormat="1" ht="13.5">
      <c r="I79" s="152"/>
      <c r="J79" s="187"/>
      <c r="K79" s="174"/>
      <c r="L79" s="115"/>
      <c r="M79" s="116"/>
      <c r="N79" s="116"/>
    </row>
    <row r="80" spans="1:14" s="131" customFormat="1" ht="13.5">
      <c r="A80" s="149" t="s">
        <v>335</v>
      </c>
      <c r="B80" s="149">
        <f>SUM(G81:G83)</f>
        <v>7.9699999999999989</v>
      </c>
      <c r="C80" s="149">
        <f>SUM(H81:H83)</f>
        <v>30</v>
      </c>
      <c r="D80" s="149">
        <f>C80-B80</f>
        <v>22.03</v>
      </c>
      <c r="I80" s="152"/>
      <c r="J80" s="187"/>
      <c r="K80" s="174"/>
      <c r="L80" s="115"/>
      <c r="M80" s="116"/>
      <c r="N80" s="116"/>
    </row>
    <row r="81" spans="1:15" s="131" customFormat="1" ht="13.5">
      <c r="B81" s="198" t="s">
        <v>101</v>
      </c>
      <c r="C81" s="198"/>
      <c r="D81" s="198"/>
      <c r="E81" s="198"/>
      <c r="F81" s="198"/>
      <c r="G81" s="131">
        <f t="shared" si="3"/>
        <v>0</v>
      </c>
      <c r="H81" s="131">
        <v>10</v>
      </c>
      <c r="I81" s="152">
        <f t="shared" si="4"/>
        <v>10</v>
      </c>
      <c r="J81" s="187">
        <f>Jan!I81+Feb!I81+Mar!I81</f>
        <v>30</v>
      </c>
      <c r="K81" s="174"/>
      <c r="L81" s="115"/>
      <c r="M81" s="116"/>
      <c r="N81" s="116"/>
    </row>
    <row r="82" spans="1:15" s="131" customFormat="1" ht="13.5">
      <c r="B82" s="198" t="s">
        <v>102</v>
      </c>
      <c r="C82" s="198"/>
      <c r="D82" s="198"/>
      <c r="E82" s="198"/>
      <c r="F82" s="198"/>
      <c r="G82" s="131">
        <f t="shared" si="3"/>
        <v>7.9699999999999989</v>
      </c>
      <c r="H82" s="131">
        <v>10</v>
      </c>
      <c r="I82" s="152">
        <f t="shared" si="4"/>
        <v>2.0300000000000011</v>
      </c>
      <c r="J82" s="187">
        <f>Jan!I82+Feb!I82+Mar!I82</f>
        <v>2.0600000000000023</v>
      </c>
      <c r="K82" s="174"/>
      <c r="L82" s="115"/>
      <c r="M82" s="116"/>
      <c r="N82" s="116">
        <f>(59.82-40.89-10.96)</f>
        <v>7.9699999999999989</v>
      </c>
      <c r="O82" s="131" t="s">
        <v>601</v>
      </c>
    </row>
    <row r="83" spans="1:15" s="131" customFormat="1" ht="13.5">
      <c r="B83" s="198" t="s">
        <v>383</v>
      </c>
      <c r="C83" s="198"/>
      <c r="D83" s="198"/>
      <c r="E83" s="198"/>
      <c r="F83" s="198"/>
      <c r="G83" s="131">
        <f t="shared" si="3"/>
        <v>0</v>
      </c>
      <c r="H83" s="131">
        <v>10</v>
      </c>
      <c r="I83" s="152">
        <f t="shared" si="4"/>
        <v>10</v>
      </c>
      <c r="J83" s="187">
        <f>Jan!I83+Feb!I83+Mar!I83</f>
        <v>30</v>
      </c>
      <c r="K83" s="174"/>
      <c r="L83" s="115"/>
      <c r="M83" s="116"/>
      <c r="N83" s="116"/>
    </row>
    <row r="84" spans="1:15" s="131" customFormat="1" ht="13.5">
      <c r="I84" s="152"/>
      <c r="J84" s="187"/>
      <c r="K84" s="174"/>
      <c r="L84" s="115"/>
      <c r="M84" s="116"/>
      <c r="N84" s="116"/>
    </row>
    <row r="85" spans="1:15" s="131" customFormat="1" ht="13.5">
      <c r="A85" s="149" t="s">
        <v>110</v>
      </c>
      <c r="B85" s="149">
        <f>SUM(G86:G88)</f>
        <v>155.62</v>
      </c>
      <c r="C85" s="149">
        <f>SUM(H86:H88)</f>
        <v>115</v>
      </c>
      <c r="D85" s="149">
        <f>C85-B85</f>
        <v>-40.620000000000005</v>
      </c>
      <c r="I85" s="152"/>
      <c r="J85" s="187"/>
      <c r="K85" s="174"/>
      <c r="L85" s="115"/>
      <c r="M85" s="116"/>
      <c r="N85" s="116"/>
    </row>
    <row r="86" spans="1:15" s="131" customFormat="1" ht="13.5">
      <c r="B86" s="198" t="s">
        <v>389</v>
      </c>
      <c r="C86" s="198"/>
      <c r="D86" s="198"/>
      <c r="E86" s="198"/>
      <c r="F86" s="198"/>
      <c r="G86" s="131">
        <f t="shared" si="3"/>
        <v>77.069999999999993</v>
      </c>
      <c r="H86" s="131">
        <v>30</v>
      </c>
      <c r="I86" s="152">
        <f t="shared" si="4"/>
        <v>-47.069999999999993</v>
      </c>
      <c r="J86" s="187">
        <f>Jan!I86+Feb!I86+Mar!I86</f>
        <v>12.930000000000007</v>
      </c>
      <c r="K86" s="174"/>
      <c r="L86" s="115"/>
      <c r="M86" s="116"/>
      <c r="N86" s="116">
        <f>31.08+45.99</f>
        <v>77.069999999999993</v>
      </c>
      <c r="O86" s="131" t="s">
        <v>578</v>
      </c>
    </row>
    <row r="87" spans="1:15" s="131" customFormat="1" ht="13.5">
      <c r="B87" s="198" t="s">
        <v>111</v>
      </c>
      <c r="C87" s="198"/>
      <c r="D87" s="198"/>
      <c r="E87" s="198"/>
      <c r="F87" s="198"/>
      <c r="G87" s="131">
        <f t="shared" si="3"/>
        <v>0</v>
      </c>
      <c r="H87" s="131">
        <v>20</v>
      </c>
      <c r="I87" s="152">
        <f t="shared" si="4"/>
        <v>20</v>
      </c>
      <c r="J87" s="187">
        <f>Jan!I87+Feb!I87+Mar!I87</f>
        <v>-173.39999999999998</v>
      </c>
      <c r="K87" s="174"/>
      <c r="L87" s="115"/>
      <c r="M87" s="116"/>
      <c r="N87" s="116"/>
    </row>
    <row r="88" spans="1:15" s="131" customFormat="1" ht="13.5">
      <c r="B88" s="131" t="s">
        <v>391</v>
      </c>
      <c r="G88" s="131">
        <f t="shared" si="3"/>
        <v>78.55</v>
      </c>
      <c r="H88" s="131">
        <v>65</v>
      </c>
      <c r="I88" s="152">
        <f t="shared" si="4"/>
        <v>-13.549999999999997</v>
      </c>
      <c r="J88" s="187">
        <f>Jan!I88+Feb!I88+Mar!I88</f>
        <v>-119.14999999999999</v>
      </c>
      <c r="K88" s="174"/>
      <c r="L88" s="115"/>
      <c r="M88" s="116">
        <v>28.25</v>
      </c>
      <c r="N88" s="116">
        <v>50.3</v>
      </c>
    </row>
    <row r="89" spans="1:15" s="131" customFormat="1" ht="13.5">
      <c r="I89" s="152"/>
      <c r="J89" s="187"/>
      <c r="K89" s="174"/>
      <c r="L89" s="115"/>
      <c r="M89" s="116"/>
      <c r="N89" s="116"/>
    </row>
    <row r="90" spans="1:15" s="131" customFormat="1" ht="13.5">
      <c r="A90" s="149" t="s">
        <v>112</v>
      </c>
      <c r="B90" s="149">
        <f>SUM(G91:G95)</f>
        <v>129.25</v>
      </c>
      <c r="C90" s="149">
        <f>SUM(H91:H95)</f>
        <v>220</v>
      </c>
      <c r="D90" s="149">
        <f>C90-B90</f>
        <v>90.75</v>
      </c>
      <c r="I90" s="152"/>
      <c r="J90" s="187"/>
      <c r="K90" s="174"/>
      <c r="L90" s="115"/>
      <c r="M90" s="116"/>
      <c r="N90" s="116"/>
    </row>
    <row r="91" spans="1:15" s="131" customFormat="1" ht="13.5">
      <c r="B91" s="131" t="s">
        <v>113</v>
      </c>
      <c r="G91" s="131">
        <f t="shared" si="3"/>
        <v>0</v>
      </c>
      <c r="H91" s="131">
        <v>40</v>
      </c>
      <c r="I91" s="152">
        <f t="shared" si="4"/>
        <v>40</v>
      </c>
      <c r="J91" s="187">
        <f>Jan!I91+Feb!I91+Mar!I91</f>
        <v>45.01</v>
      </c>
      <c r="K91" s="174"/>
      <c r="L91" s="115"/>
      <c r="M91" s="116"/>
      <c r="N91" s="116"/>
    </row>
    <row r="92" spans="1:15" s="131" customFormat="1" ht="13.5">
      <c r="B92" s="131" t="s">
        <v>114</v>
      </c>
      <c r="D92" s="131" t="s">
        <v>115</v>
      </c>
      <c r="G92" s="131">
        <f t="shared" si="3"/>
        <v>1.5</v>
      </c>
      <c r="H92" s="131">
        <v>120</v>
      </c>
      <c r="I92" s="152">
        <f t="shared" si="4"/>
        <v>118.5</v>
      </c>
      <c r="J92" s="187">
        <f>Jan!I92+Feb!I92+Mar!I92</f>
        <v>96</v>
      </c>
      <c r="K92" s="174"/>
      <c r="L92" s="115"/>
      <c r="M92" s="116">
        <f>1.5</f>
        <v>1.5</v>
      </c>
      <c r="N92" s="116"/>
    </row>
    <row r="93" spans="1:15" s="131" customFormat="1" ht="13.5">
      <c r="B93" s="131" t="s">
        <v>116</v>
      </c>
      <c r="G93" s="131">
        <f t="shared" si="3"/>
        <v>11.39</v>
      </c>
      <c r="H93" s="131">
        <v>20</v>
      </c>
      <c r="I93" s="152">
        <f t="shared" si="4"/>
        <v>8.61</v>
      </c>
      <c r="J93" s="187">
        <f>Jan!I93+Feb!I93+Mar!I93</f>
        <v>23.06</v>
      </c>
      <c r="K93" s="174"/>
      <c r="L93" s="115"/>
      <c r="M93" s="116">
        <f>11.39</f>
        <v>11.39</v>
      </c>
      <c r="N93" s="116"/>
    </row>
    <row r="94" spans="1:15" s="131" customFormat="1" ht="13.5">
      <c r="A94" s="149"/>
      <c r="B94" s="131" t="s">
        <v>117</v>
      </c>
      <c r="G94" s="131">
        <f t="shared" si="3"/>
        <v>116.36</v>
      </c>
      <c r="H94" s="131">
        <v>20</v>
      </c>
      <c r="I94" s="152">
        <f t="shared" si="4"/>
        <v>-96.36</v>
      </c>
      <c r="J94" s="187">
        <f>Jan!I94+Feb!I94+Mar!I94</f>
        <v>-106.3</v>
      </c>
      <c r="K94" s="174"/>
      <c r="L94" s="115">
        <v>116.36</v>
      </c>
      <c r="M94" s="116"/>
      <c r="N94" s="116"/>
      <c r="O94" s="131" t="s">
        <v>596</v>
      </c>
    </row>
    <row r="95" spans="1:15" s="131" customFormat="1" ht="13.5">
      <c r="A95" s="149"/>
      <c r="B95" s="131" t="s">
        <v>118</v>
      </c>
      <c r="G95" s="131">
        <f t="shared" si="3"/>
        <v>0</v>
      </c>
      <c r="H95" s="131">
        <v>20</v>
      </c>
      <c r="I95" s="152">
        <f t="shared" si="4"/>
        <v>20</v>
      </c>
      <c r="J95" s="187">
        <f>Jan!I95+Feb!I95+Mar!I95</f>
        <v>-96.15</v>
      </c>
      <c r="K95" s="174"/>
      <c r="L95" s="115"/>
      <c r="M95" s="116"/>
      <c r="N95" s="116"/>
    </row>
    <row r="96" spans="1:15" s="131" customFormat="1" ht="13.5">
      <c r="A96" s="149"/>
      <c r="B96" s="149"/>
      <c r="I96" s="152"/>
      <c r="J96" s="187"/>
      <c r="K96" s="174"/>
      <c r="L96" s="115"/>
      <c r="M96" s="116"/>
      <c r="N96" s="116"/>
    </row>
    <row r="97" spans="1:15" s="131" customFormat="1" ht="13.5">
      <c r="A97" s="149" t="s">
        <v>119</v>
      </c>
      <c r="B97" s="149">
        <f>SUM(G98:G101)</f>
        <v>178.98</v>
      </c>
      <c r="C97" s="149">
        <f>SUM(H98:H101)</f>
        <v>435</v>
      </c>
      <c r="D97" s="149">
        <f>C97-B97</f>
        <v>256.02</v>
      </c>
      <c r="I97" s="152"/>
      <c r="J97" s="187"/>
      <c r="K97" s="174"/>
      <c r="L97" s="115"/>
      <c r="M97" s="116"/>
      <c r="N97" s="116"/>
    </row>
    <row r="98" spans="1:15" s="131" customFormat="1" ht="13.5">
      <c r="B98" s="198" t="s">
        <v>120</v>
      </c>
      <c r="C98" s="198"/>
      <c r="D98" s="198" t="s">
        <v>121</v>
      </c>
      <c r="E98" s="198"/>
      <c r="F98" s="198"/>
      <c r="G98" s="131">
        <f t="shared" si="3"/>
        <v>0</v>
      </c>
      <c r="H98" s="131">
        <v>150</v>
      </c>
      <c r="I98" s="152">
        <f t="shared" si="4"/>
        <v>150</v>
      </c>
      <c r="J98" s="187">
        <f>Jan!I98+Feb!I98+Mar!I98</f>
        <v>450</v>
      </c>
      <c r="K98" s="174"/>
      <c r="L98" s="115"/>
      <c r="M98" s="116"/>
      <c r="N98" s="116"/>
    </row>
    <row r="99" spans="1:15" s="131" customFormat="1" ht="13.5">
      <c r="B99" s="198" t="s">
        <v>122</v>
      </c>
      <c r="C99" s="198"/>
      <c r="D99" s="198" t="s">
        <v>123</v>
      </c>
      <c r="E99" s="198"/>
      <c r="F99" s="198"/>
      <c r="G99" s="131">
        <f t="shared" si="3"/>
        <v>0</v>
      </c>
      <c r="H99" s="131">
        <v>20</v>
      </c>
      <c r="I99" s="152">
        <f t="shared" si="4"/>
        <v>20</v>
      </c>
      <c r="J99" s="187">
        <f>Jan!I99+Feb!I99+Mar!I99</f>
        <v>-66.97</v>
      </c>
      <c r="K99" s="174"/>
      <c r="L99" s="115"/>
      <c r="M99" s="116"/>
      <c r="N99" s="116"/>
    </row>
    <row r="100" spans="1:15" s="131" customFormat="1" ht="13.5">
      <c r="A100" s="149"/>
      <c r="B100" s="131" t="s">
        <v>124</v>
      </c>
      <c r="G100" s="131">
        <f t="shared" si="3"/>
        <v>150</v>
      </c>
      <c r="H100" s="131">
        <v>215</v>
      </c>
      <c r="I100" s="152">
        <f t="shared" si="4"/>
        <v>65</v>
      </c>
      <c r="J100" s="187">
        <f>Jan!I100+Feb!I100+Mar!I100</f>
        <v>37.5</v>
      </c>
      <c r="K100" s="174"/>
      <c r="L100" s="115">
        <v>150</v>
      </c>
      <c r="M100" s="116"/>
      <c r="N100" s="116"/>
    </row>
    <row r="101" spans="1:15" s="131" customFormat="1" ht="13.5">
      <c r="A101" s="149"/>
      <c r="B101" s="198" t="s">
        <v>125</v>
      </c>
      <c r="C101" s="198"/>
      <c r="D101" s="198"/>
      <c r="E101" s="198"/>
      <c r="F101" s="198"/>
      <c r="G101" s="131">
        <f t="shared" si="3"/>
        <v>28.98</v>
      </c>
      <c r="H101" s="131">
        <v>50</v>
      </c>
      <c r="I101" s="152">
        <f t="shared" si="4"/>
        <v>21.02</v>
      </c>
      <c r="J101" s="187">
        <f>Jan!I101+Feb!I101+Mar!I101</f>
        <v>121.02</v>
      </c>
      <c r="K101" s="174"/>
      <c r="L101" s="115"/>
      <c r="M101" s="116"/>
      <c r="N101" s="116">
        <v>28.98</v>
      </c>
      <c r="O101" s="131" t="s">
        <v>584</v>
      </c>
    </row>
    <row r="102" spans="1:15" s="131" customFormat="1" ht="13.5">
      <c r="A102" s="149"/>
      <c r="I102" s="152"/>
      <c r="J102" s="187"/>
      <c r="K102" s="174"/>
      <c r="L102" s="115"/>
      <c r="M102" s="116"/>
      <c r="N102" s="116"/>
    </row>
    <row r="103" spans="1:15" s="131" customFormat="1" ht="13.5">
      <c r="A103" s="149" t="s">
        <v>103</v>
      </c>
      <c r="B103" s="149">
        <f>SUM(G104:G110)</f>
        <v>466.24000000000007</v>
      </c>
      <c r="C103" s="149">
        <f>SUM(H104:H110)</f>
        <v>637</v>
      </c>
      <c r="D103" s="149">
        <f>C103-B103</f>
        <v>170.75999999999993</v>
      </c>
      <c r="I103" s="152"/>
      <c r="J103" s="187"/>
      <c r="K103" s="174"/>
      <c r="L103" s="115"/>
      <c r="M103" s="116"/>
      <c r="N103" s="116"/>
    </row>
    <row r="104" spans="1:15" s="131" customFormat="1" ht="13.5">
      <c r="B104" s="131" t="s">
        <v>456</v>
      </c>
      <c r="G104" s="131">
        <f t="shared" si="3"/>
        <v>40</v>
      </c>
      <c r="H104" s="131">
        <v>50</v>
      </c>
      <c r="I104" s="152">
        <f t="shared" si="4"/>
        <v>10</v>
      </c>
      <c r="J104" s="187">
        <f>Jan!I104+Feb!I104+Mar!I104</f>
        <v>-10</v>
      </c>
      <c r="K104" s="174"/>
      <c r="L104" s="115">
        <v>40</v>
      </c>
      <c r="M104" s="116"/>
      <c r="N104" s="116"/>
      <c r="O104" s="231">
        <v>41326</v>
      </c>
    </row>
    <row r="105" spans="1:15" s="131" customFormat="1" ht="13.5">
      <c r="B105" s="131" t="s">
        <v>105</v>
      </c>
      <c r="D105" s="131" t="s">
        <v>457</v>
      </c>
      <c r="E105" s="131" t="s">
        <v>561</v>
      </c>
      <c r="G105" s="131">
        <f t="shared" si="3"/>
        <v>362.82000000000005</v>
      </c>
      <c r="H105" s="131">
        <v>500</v>
      </c>
      <c r="I105" s="152">
        <f t="shared" si="4"/>
        <v>137.17999999999995</v>
      </c>
      <c r="J105" s="187">
        <f>Jan!I105+Feb!I105+Mar!I105</f>
        <v>387.47999999999996</v>
      </c>
      <c r="K105" s="174"/>
      <c r="L105" s="115"/>
      <c r="M105" s="116"/>
      <c r="N105" s="116">
        <f>49.76+(58.89-13.98)+(45.93-3.6)+31.32+68.34+28.39+54.78+42.99</f>
        <v>362.82000000000005</v>
      </c>
      <c r="O105" s="131" t="s">
        <v>585</v>
      </c>
    </row>
    <row r="106" spans="1:15" s="131" customFormat="1" ht="13.5">
      <c r="B106" s="131" t="s">
        <v>392</v>
      </c>
      <c r="G106" s="131">
        <f t="shared" si="3"/>
        <v>0</v>
      </c>
      <c r="H106" s="131">
        <v>27</v>
      </c>
      <c r="I106" s="152">
        <f t="shared" si="4"/>
        <v>27</v>
      </c>
      <c r="J106" s="187">
        <f>Jan!I106+Feb!I106+Mar!I106</f>
        <v>4.75</v>
      </c>
      <c r="K106" s="174"/>
      <c r="L106" s="115"/>
      <c r="M106" s="116"/>
      <c r="N106" s="116"/>
    </row>
    <row r="107" spans="1:15" s="131" customFormat="1" ht="13.5">
      <c r="B107" s="131" t="s">
        <v>106</v>
      </c>
      <c r="G107" s="131">
        <f t="shared" si="3"/>
        <v>3.6</v>
      </c>
      <c r="H107" s="131">
        <v>15</v>
      </c>
      <c r="I107" s="152">
        <f t="shared" si="4"/>
        <v>11.4</v>
      </c>
      <c r="J107" s="187">
        <f>Jan!I107+Feb!I107+Mar!I107</f>
        <v>25.71</v>
      </c>
      <c r="K107" s="174"/>
      <c r="L107" s="115"/>
      <c r="M107" s="116"/>
      <c r="N107" s="116">
        <v>3.6</v>
      </c>
    </row>
    <row r="108" spans="1:15" s="131" customFormat="1" ht="13.5">
      <c r="B108" s="131" t="s">
        <v>107</v>
      </c>
      <c r="G108" s="131">
        <f t="shared" si="3"/>
        <v>43.91</v>
      </c>
      <c r="H108" s="131">
        <v>20</v>
      </c>
      <c r="I108" s="152">
        <f t="shared" si="4"/>
        <v>-23.909999999999997</v>
      </c>
      <c r="J108" s="187">
        <f>Jan!I108+Feb!I108+Mar!I108</f>
        <v>-12.89</v>
      </c>
      <c r="K108" s="174"/>
      <c r="L108" s="115"/>
      <c r="M108" s="116">
        <f>7.99+21.94</f>
        <v>29.93</v>
      </c>
      <c r="N108" s="116">
        <v>13.98</v>
      </c>
      <c r="O108" s="131" t="s">
        <v>586</v>
      </c>
    </row>
    <row r="109" spans="1:15" s="131" customFormat="1" ht="13.5">
      <c r="B109" s="131" t="s">
        <v>108</v>
      </c>
      <c r="G109" s="131">
        <f t="shared" si="3"/>
        <v>15.91</v>
      </c>
      <c r="H109" s="131">
        <v>20</v>
      </c>
      <c r="I109" s="152">
        <f t="shared" si="4"/>
        <v>4.09</v>
      </c>
      <c r="J109" s="187">
        <f>Jan!I109+Feb!I109+Mar!I109</f>
        <v>9.6399999999999988</v>
      </c>
      <c r="K109" s="174"/>
      <c r="L109" s="115"/>
      <c r="M109" s="116">
        <v>15.91</v>
      </c>
      <c r="N109" s="116"/>
      <c r="O109" s="131" t="s">
        <v>598</v>
      </c>
    </row>
    <row r="110" spans="1:15" s="131" customFormat="1" ht="13.5">
      <c r="B110" s="131" t="s">
        <v>109</v>
      </c>
      <c r="G110" s="131">
        <f t="shared" si="3"/>
        <v>0</v>
      </c>
      <c r="H110" s="131">
        <v>5</v>
      </c>
      <c r="I110" s="152">
        <f t="shared" si="4"/>
        <v>5</v>
      </c>
      <c r="J110" s="187">
        <f>Jan!I110+Feb!I110+Mar!I110</f>
        <v>-4.9600000000000009</v>
      </c>
      <c r="K110" s="174"/>
      <c r="L110" s="115"/>
      <c r="M110" s="116"/>
      <c r="N110" s="116"/>
    </row>
    <row r="111" spans="1:15" s="131" customFormat="1" ht="13.5">
      <c r="I111" s="152"/>
      <c r="J111" s="187"/>
      <c r="K111" s="174"/>
      <c r="L111" s="115"/>
      <c r="M111" s="116"/>
      <c r="N111" s="116"/>
    </row>
    <row r="112" spans="1:15" s="131" customFormat="1" ht="13.5">
      <c r="A112" s="149" t="s">
        <v>407</v>
      </c>
      <c r="B112" s="149">
        <f>G113+G114</f>
        <v>0</v>
      </c>
      <c r="C112" s="149">
        <f>H113</f>
        <v>20</v>
      </c>
      <c r="D112" s="149">
        <f>C112-B112</f>
        <v>20</v>
      </c>
      <c r="I112" s="152"/>
      <c r="J112" s="187"/>
      <c r="K112" s="174"/>
      <c r="L112" s="115"/>
      <c r="M112" s="116"/>
      <c r="N112" s="116"/>
    </row>
    <row r="113" spans="1:15" s="131" customFormat="1" ht="13.5">
      <c r="B113" s="131" t="s">
        <v>408</v>
      </c>
      <c r="G113" s="131">
        <f t="shared" si="3"/>
        <v>0</v>
      </c>
      <c r="H113" s="131">
        <v>20</v>
      </c>
      <c r="I113" s="152">
        <f t="shared" si="4"/>
        <v>20</v>
      </c>
      <c r="J113" s="187">
        <f>Jan!I113+Feb!I113+Mar!I113</f>
        <v>41.14</v>
      </c>
      <c r="K113" s="174"/>
      <c r="L113" s="115"/>
      <c r="M113" s="116"/>
      <c r="N113" s="116"/>
    </row>
    <row r="114" spans="1:15" s="131" customFormat="1" ht="13.5">
      <c r="I114" s="152"/>
      <c r="J114" s="187"/>
      <c r="K114" s="174"/>
      <c r="L114" s="115"/>
      <c r="M114" s="116"/>
      <c r="N114" s="116"/>
    </row>
    <row r="115" spans="1:15" s="131" customFormat="1" ht="13.5">
      <c r="I115" s="152"/>
      <c r="J115" s="187"/>
      <c r="K115" s="174"/>
      <c r="L115" s="115"/>
      <c r="M115" s="116"/>
      <c r="N115" s="116"/>
    </row>
    <row r="116" spans="1:15" s="131" customFormat="1" ht="13.5">
      <c r="A116" s="149" t="s">
        <v>130</v>
      </c>
      <c r="B116" s="149">
        <f>G117</f>
        <v>163.24</v>
      </c>
      <c r="C116" s="149">
        <f>H117</f>
        <v>10</v>
      </c>
      <c r="D116" s="149">
        <f>I117</f>
        <v>-153.24</v>
      </c>
      <c r="I116" s="152"/>
      <c r="J116" s="187"/>
      <c r="K116" s="174"/>
      <c r="L116" s="115"/>
      <c r="M116" s="116"/>
      <c r="N116" s="116"/>
    </row>
    <row r="117" spans="1:15" s="131" customFormat="1" ht="13.5">
      <c r="B117" s="131" t="s">
        <v>455</v>
      </c>
      <c r="G117" s="131">
        <f t="shared" si="3"/>
        <v>163.24</v>
      </c>
      <c r="H117" s="131">
        <v>10</v>
      </c>
      <c r="I117" s="152">
        <f t="shared" si="4"/>
        <v>-153.24</v>
      </c>
      <c r="J117" s="187">
        <f>Jan!I117+Feb!I117+Mar!I117</f>
        <v>-322.64</v>
      </c>
      <c r="K117" s="174"/>
      <c r="L117" s="115"/>
      <c r="M117" s="116">
        <f>(90.09-15.91-21.94)</f>
        <v>52.240000000000009</v>
      </c>
      <c r="N117" s="116">
        <v>111</v>
      </c>
      <c r="O117" s="131" t="s">
        <v>602</v>
      </c>
    </row>
    <row r="118" spans="1:15" s="131" customFormat="1" ht="13.5">
      <c r="I118" s="152"/>
      <c r="J118" s="187"/>
      <c r="K118" s="174"/>
      <c r="L118" s="115"/>
      <c r="M118" s="116"/>
      <c r="N118" s="116"/>
    </row>
    <row r="119" spans="1:15" s="131" customFormat="1" ht="13.5">
      <c r="A119" s="149" t="s">
        <v>406</v>
      </c>
      <c r="B119" s="149">
        <f>SUM(G120:G121)</f>
        <v>149.45000000000002</v>
      </c>
      <c r="C119" s="149">
        <f>SUM(H120:H121)</f>
        <v>65</v>
      </c>
      <c r="D119" s="149">
        <f>C119-B119</f>
        <v>-84.450000000000017</v>
      </c>
      <c r="I119" s="152"/>
      <c r="J119" s="187"/>
      <c r="K119" s="174"/>
      <c r="L119" s="115"/>
      <c r="M119" s="116"/>
      <c r="N119" s="116"/>
    </row>
    <row r="120" spans="1:15" s="131" customFormat="1" ht="13.5">
      <c r="B120" s="131" t="s">
        <v>400</v>
      </c>
      <c r="G120" s="131">
        <f t="shared" si="3"/>
        <v>149.45000000000002</v>
      </c>
      <c r="H120" s="131">
        <v>60</v>
      </c>
      <c r="I120" s="152">
        <f t="shared" si="4"/>
        <v>-89.450000000000017</v>
      </c>
      <c r="J120" s="187">
        <f>Jan!I120+Feb!I120+Mar!I120</f>
        <v>-352.12</v>
      </c>
      <c r="K120" s="174"/>
      <c r="L120" s="115"/>
      <c r="M120" s="115">
        <f>71.42+4.59+10.88+36.1</f>
        <v>122.99000000000001</v>
      </c>
      <c r="N120" s="115">
        <f>11.97+14.49</f>
        <v>26.46</v>
      </c>
      <c r="O120" s="131" t="s">
        <v>581</v>
      </c>
    </row>
    <row r="121" spans="1:15" s="131" customFormat="1" ht="13.5">
      <c r="B121" s="131" t="s">
        <v>403</v>
      </c>
      <c r="G121" s="131">
        <f t="shared" si="3"/>
        <v>0</v>
      </c>
      <c r="H121" s="131">
        <v>5</v>
      </c>
      <c r="I121" s="152">
        <f t="shared" si="4"/>
        <v>5</v>
      </c>
      <c r="J121" s="187">
        <f>Jan!I121+Feb!I121+Mar!I121</f>
        <v>-36.5</v>
      </c>
      <c r="K121" s="174"/>
      <c r="L121" s="115"/>
      <c r="M121" s="115"/>
      <c r="N121" s="115"/>
    </row>
    <row r="122" spans="1:15" s="131" customFormat="1" ht="13.5">
      <c r="I122" s="152"/>
      <c r="J122" s="187"/>
      <c r="K122" s="174"/>
      <c r="L122" s="115"/>
      <c r="M122" s="115"/>
      <c r="N122" s="115"/>
    </row>
    <row r="123" spans="1:15" s="131" customFormat="1" ht="13.5">
      <c r="A123" s="149" t="s">
        <v>132</v>
      </c>
      <c r="B123" s="149">
        <f>G124</f>
        <v>0</v>
      </c>
      <c r="C123" s="149">
        <f>H124</f>
        <v>10</v>
      </c>
      <c r="D123" s="149">
        <f>C123-B123</f>
        <v>10</v>
      </c>
      <c r="I123" s="152"/>
      <c r="J123" s="187"/>
      <c r="K123" s="174"/>
      <c r="L123" s="115"/>
      <c r="M123" s="115"/>
      <c r="N123" s="115"/>
    </row>
    <row r="124" spans="1:15" s="131" customFormat="1" ht="13.5">
      <c r="B124" s="131" t="s">
        <v>133</v>
      </c>
      <c r="G124" s="131">
        <f>SUM(L124:N124)</f>
        <v>0</v>
      </c>
      <c r="H124" s="131">
        <v>10</v>
      </c>
      <c r="I124" s="152">
        <f>H124-G124</f>
        <v>10</v>
      </c>
      <c r="J124" s="187">
        <f>Jan!I124+Feb!I124+Mar!I124</f>
        <v>8.75</v>
      </c>
      <c r="K124" s="174"/>
      <c r="L124" s="115"/>
      <c r="M124" s="115"/>
      <c r="N124" s="115"/>
    </row>
    <row r="125" spans="1:15" s="131" customFormat="1" ht="13.5">
      <c r="I125" s="152"/>
      <c r="J125" s="187"/>
      <c r="K125" s="174"/>
      <c r="L125" s="115"/>
      <c r="M125" s="115"/>
      <c r="N125" s="115"/>
    </row>
    <row r="126" spans="1:15" s="131" customFormat="1" ht="13.5">
      <c r="A126" s="149" t="s">
        <v>404</v>
      </c>
      <c r="B126" s="149">
        <f>SUM(G127:G128)</f>
        <v>51.85</v>
      </c>
      <c r="C126" s="149">
        <f>SUM(H127:H128)</f>
        <v>35</v>
      </c>
      <c r="D126" s="149">
        <f>C126-B126</f>
        <v>-16.850000000000001</v>
      </c>
      <c r="I126" s="152"/>
      <c r="J126" s="187"/>
      <c r="K126" s="174"/>
      <c r="L126" s="115"/>
      <c r="M126" s="115"/>
      <c r="N126" s="115"/>
    </row>
    <row r="127" spans="1:15" s="131" customFormat="1" ht="13.5">
      <c r="B127" s="198" t="s">
        <v>128</v>
      </c>
      <c r="C127" s="198"/>
      <c r="D127" s="198"/>
      <c r="E127" s="198"/>
      <c r="F127" s="198"/>
      <c r="G127" s="131">
        <f>SUM(L127:N127)</f>
        <v>40.89</v>
      </c>
      <c r="H127" s="131">
        <v>20</v>
      </c>
      <c r="I127" s="152">
        <f>H127-G127</f>
        <v>-20.89</v>
      </c>
      <c r="J127" s="187">
        <f>Jan!I127+Feb!I127+Mar!I127</f>
        <v>1.1000000000000014</v>
      </c>
      <c r="K127" s="174"/>
      <c r="L127" s="115"/>
      <c r="M127" s="115"/>
      <c r="N127" s="115">
        <v>40.89</v>
      </c>
      <c r="O127" s="131" t="s">
        <v>600</v>
      </c>
    </row>
    <row r="128" spans="1:15" s="131" customFormat="1" ht="13.5">
      <c r="B128" s="198" t="s">
        <v>129</v>
      </c>
      <c r="C128" s="198"/>
      <c r="D128" s="198" t="s">
        <v>405</v>
      </c>
      <c r="E128" s="198"/>
      <c r="F128" s="198"/>
      <c r="G128" s="131">
        <f>SUM(L128:N128)</f>
        <v>10.96</v>
      </c>
      <c r="H128" s="131">
        <v>15</v>
      </c>
      <c r="I128" s="152">
        <f>H128-G128</f>
        <v>4.0399999999999991</v>
      </c>
      <c r="J128" s="187">
        <f>Jan!I128+Feb!I128+Mar!I128</f>
        <v>34.04</v>
      </c>
      <c r="K128" s="174"/>
      <c r="L128" s="115"/>
      <c r="M128" s="115"/>
      <c r="N128" s="115">
        <f>5.48+5.48</f>
        <v>10.96</v>
      </c>
      <c r="O128" s="131" t="s">
        <v>599</v>
      </c>
    </row>
    <row r="129" spans="1:14" s="131" customFormat="1" ht="13.5">
      <c r="I129" s="152"/>
      <c r="J129" s="187"/>
      <c r="K129" s="174"/>
      <c r="L129" s="115"/>
      <c r="M129" s="115"/>
      <c r="N129" s="115"/>
    </row>
    <row r="130" spans="1:14" s="131" customFormat="1" ht="14.25" thickBot="1">
      <c r="I130" s="152"/>
      <c r="J130" s="187"/>
      <c r="K130" s="174"/>
      <c r="L130" s="115"/>
      <c r="M130" s="115"/>
      <c r="N130" s="115"/>
    </row>
    <row r="131" spans="1:14" s="131" customFormat="1" ht="14.25" thickBot="1">
      <c r="A131" s="149" t="s">
        <v>436</v>
      </c>
      <c r="B131" s="131">
        <f>SUM(G133:G140)</f>
        <v>0</v>
      </c>
      <c r="C131" s="131">
        <f>SUM(H133:H140)</f>
        <v>450</v>
      </c>
      <c r="D131" s="131">
        <f>C131-B131</f>
        <v>450</v>
      </c>
      <c r="E131" s="185"/>
      <c r="I131" s="152"/>
      <c r="J131" s="187">
        <f>Jan!I131+Feb!I131+Mar!I131</f>
        <v>0</v>
      </c>
      <c r="K131" s="174"/>
      <c r="L131" s="115"/>
      <c r="M131" s="115"/>
      <c r="N131" s="115"/>
    </row>
    <row r="132" spans="1:14" s="131" customFormat="1" ht="13.5">
      <c r="A132" s="149" t="s">
        <v>437</v>
      </c>
      <c r="I132" s="152"/>
      <c r="J132" s="187"/>
      <c r="K132" s="174"/>
      <c r="L132" s="115"/>
      <c r="M132" s="115"/>
      <c r="N132" s="115"/>
    </row>
    <row r="133" spans="1:14" s="131" customFormat="1" ht="13.5">
      <c r="A133" s="149" t="s">
        <v>418</v>
      </c>
      <c r="B133" s="131" t="s">
        <v>445</v>
      </c>
      <c r="G133" s="131">
        <f t="shared" ref="G133:G140" si="5">SUM(L133:N133)</f>
        <v>0</v>
      </c>
      <c r="H133" s="131">
        <v>100</v>
      </c>
      <c r="I133" s="152">
        <f t="shared" ref="I133:I140" si="6">H133-G133</f>
        <v>100</v>
      </c>
      <c r="J133" s="187">
        <f>Jan!I133+Feb!I133+Mar!I133</f>
        <v>300</v>
      </c>
      <c r="K133" s="174"/>
      <c r="L133" s="115"/>
      <c r="M133" s="115"/>
      <c r="N133" s="115"/>
    </row>
    <row r="134" spans="1:14" s="131" customFormat="1" ht="13.5">
      <c r="A134" s="149" t="s">
        <v>516</v>
      </c>
      <c r="I134" s="152"/>
      <c r="J134" s="187"/>
      <c r="K134" s="174"/>
      <c r="L134" s="115"/>
      <c r="M134" s="115"/>
      <c r="N134" s="115"/>
    </row>
    <row r="135" spans="1:14" s="131" customFormat="1" ht="13.5">
      <c r="B135" s="131" t="s">
        <v>401</v>
      </c>
      <c r="G135" s="131">
        <f t="shared" si="5"/>
        <v>0</v>
      </c>
      <c r="H135" s="131">
        <v>100</v>
      </c>
      <c r="I135" s="152">
        <f t="shared" si="6"/>
        <v>100</v>
      </c>
      <c r="J135" s="187">
        <f>Jan!I135+Feb!I135+Mar!I135</f>
        <v>300</v>
      </c>
      <c r="K135" s="174"/>
      <c r="L135" s="115"/>
      <c r="M135" s="115"/>
      <c r="N135" s="115"/>
    </row>
    <row r="136" spans="1:14" s="131" customFormat="1" ht="13.5">
      <c r="B136" s="131" t="s">
        <v>402</v>
      </c>
      <c r="G136" s="131">
        <f t="shared" si="5"/>
        <v>0</v>
      </c>
      <c r="H136" s="131">
        <v>100</v>
      </c>
      <c r="I136" s="152">
        <f t="shared" si="6"/>
        <v>100</v>
      </c>
      <c r="J136" s="187">
        <f>Jan!I136+Feb!I136+Mar!I136</f>
        <v>300</v>
      </c>
      <c r="K136" s="174"/>
      <c r="L136" s="115"/>
      <c r="M136" s="115"/>
      <c r="N136" s="115"/>
    </row>
    <row r="137" spans="1:14" s="131" customFormat="1" ht="13.5">
      <c r="B137" s="131" t="s">
        <v>126</v>
      </c>
      <c r="G137" s="131">
        <f t="shared" si="5"/>
        <v>0</v>
      </c>
      <c r="H137" s="131">
        <v>30</v>
      </c>
      <c r="I137" s="152">
        <f t="shared" si="6"/>
        <v>30</v>
      </c>
      <c r="J137" s="187">
        <f>Jan!I137+Feb!I137+Mar!I137</f>
        <v>90</v>
      </c>
      <c r="K137" s="174"/>
      <c r="L137" s="115"/>
      <c r="M137" s="115"/>
      <c r="N137" s="115"/>
    </row>
    <row r="138" spans="1:14" s="131" customFormat="1" ht="13.5">
      <c r="B138" s="131" t="s">
        <v>127</v>
      </c>
      <c r="G138" s="131">
        <f t="shared" si="5"/>
        <v>0</v>
      </c>
      <c r="H138" s="131">
        <v>50</v>
      </c>
      <c r="I138" s="152">
        <f t="shared" si="6"/>
        <v>50</v>
      </c>
      <c r="J138" s="187">
        <f>Jan!I138+Feb!I138+Mar!I138</f>
        <v>150</v>
      </c>
      <c r="K138" s="174"/>
      <c r="L138" s="115"/>
      <c r="M138" s="115"/>
      <c r="N138" s="115"/>
    </row>
    <row r="139" spans="1:14" s="131" customFormat="1" ht="13.5">
      <c r="I139" s="152"/>
      <c r="J139" s="187"/>
      <c r="K139" s="179"/>
      <c r="L139" s="115"/>
      <c r="M139" s="115"/>
      <c r="N139" s="115"/>
    </row>
    <row r="140" spans="1:14" s="131" customFormat="1" ht="13.5">
      <c r="A140" s="149" t="s">
        <v>431</v>
      </c>
      <c r="G140" s="131">
        <f t="shared" si="5"/>
        <v>0</v>
      </c>
      <c r="H140" s="131">
        <v>70</v>
      </c>
      <c r="I140" s="152">
        <f t="shared" si="6"/>
        <v>70</v>
      </c>
      <c r="J140" s="187">
        <f>Jan!I140+Feb!I140+Mar!I140</f>
        <v>210</v>
      </c>
      <c r="K140" s="179"/>
      <c r="L140" s="115"/>
      <c r="M140" s="115"/>
      <c r="N140" s="115"/>
    </row>
    <row r="141" spans="1:14">
      <c r="J141" s="190"/>
    </row>
    <row r="142" spans="1:14">
      <c r="J142" s="190"/>
    </row>
    <row r="143" spans="1:14">
      <c r="J143" s="190"/>
    </row>
    <row r="144" spans="1:14">
      <c r="J144" s="190"/>
    </row>
    <row r="145" spans="10:10">
      <c r="J145" s="190"/>
    </row>
    <row r="146" spans="10:10">
      <c r="J146" s="190"/>
    </row>
    <row r="147" spans="10:10">
      <c r="J147" s="190"/>
    </row>
    <row r="148" spans="10:10">
      <c r="J148" s="190"/>
    </row>
    <row r="149" spans="10:10">
      <c r="J149" s="190"/>
    </row>
    <row r="150" spans="10:10">
      <c r="J150" s="190"/>
    </row>
  </sheetData>
  <sheetProtection selectLockedCells="1" selectUnlockedCells="1"/>
  <pageMargins left="0.75" right="0.75" top="1" bottom="1" header="0.51180555555555551" footer="0.51180555555555551"/>
  <pageSetup firstPageNumber="0"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0"/>
  <sheetViews>
    <sheetView topLeftCell="A29" zoomScale="90" zoomScaleNormal="90" workbookViewId="0">
      <selection activeCell="E46" sqref="E46"/>
    </sheetView>
  </sheetViews>
  <sheetFormatPr defaultColWidth="9" defaultRowHeight="15.75"/>
  <cols>
    <col min="1" max="1" width="24.42578125" style="165" customWidth="1"/>
    <col min="2" max="2" width="18" style="156" customWidth="1"/>
    <col min="3" max="3" width="17.140625" style="156" customWidth="1"/>
    <col min="4" max="5" width="16.5703125" style="156" customWidth="1"/>
    <col min="6" max="6" width="15.28515625" style="156" customWidth="1"/>
    <col min="7" max="7" width="13.5703125" style="156" customWidth="1"/>
    <col min="8" max="8" width="13.85546875" style="156" customWidth="1"/>
    <col min="9" max="10" width="14" style="156" customWidth="1"/>
    <col min="11" max="11" width="2.28515625" style="172" customWidth="1"/>
    <col min="12" max="12" width="11.5703125" style="156" customWidth="1"/>
    <col min="13" max="13" width="11.85546875" style="156" customWidth="1"/>
    <col min="14" max="15" width="11.5703125" style="156" customWidth="1"/>
    <col min="16" max="16" width="1.7109375" style="156" customWidth="1"/>
    <col min="17" max="17" width="11.7109375" style="156" customWidth="1"/>
    <col min="18" max="18" width="11.5703125" style="156" customWidth="1"/>
    <col min="19" max="16384" width="9" style="156"/>
  </cols>
  <sheetData>
    <row r="1" spans="1:17">
      <c r="A1" s="162" t="s">
        <v>277</v>
      </c>
      <c r="B1" s="163">
        <v>2013</v>
      </c>
      <c r="C1" s="163"/>
      <c r="L1" s="156" t="s">
        <v>519</v>
      </c>
    </row>
    <row r="2" spans="1:17">
      <c r="A2" s="162" t="s">
        <v>264</v>
      </c>
      <c r="B2" s="164" t="s">
        <v>10</v>
      </c>
      <c r="C2" s="164"/>
      <c r="L2" s="156" t="s">
        <v>631</v>
      </c>
      <c r="Q2" s="156" t="s">
        <v>632</v>
      </c>
    </row>
    <row r="3" spans="1:17">
      <c r="L3" s="156" t="s">
        <v>630</v>
      </c>
      <c r="O3" s="166"/>
      <c r="Q3" s="156">
        <f>3000+4670</f>
        <v>7670</v>
      </c>
    </row>
    <row r="4" spans="1:17">
      <c r="A4" s="162" t="s">
        <v>4</v>
      </c>
      <c r="B4" s="167">
        <f>SUM(G5:G9)</f>
        <v>14702.36</v>
      </c>
      <c r="C4" s="167"/>
      <c r="G4" s="156" t="s">
        <v>71</v>
      </c>
      <c r="L4" s="168" t="s">
        <v>633</v>
      </c>
      <c r="O4" s="166"/>
      <c r="Q4" s="156">
        <v>587.5</v>
      </c>
    </row>
    <row r="5" spans="1:17">
      <c r="B5" s="156" t="s">
        <v>27</v>
      </c>
      <c r="C5" s="156">
        <v>3284.14</v>
      </c>
      <c r="D5" s="166">
        <v>3284.14</v>
      </c>
      <c r="F5" s="156">
        <v>0</v>
      </c>
      <c r="G5" s="168">
        <f>SUM(C5:F5)</f>
        <v>6568.28</v>
      </c>
      <c r="H5" s="168"/>
      <c r="I5" s="168"/>
      <c r="J5" s="168"/>
      <c r="K5" s="173"/>
      <c r="L5" s="168" t="s">
        <v>697</v>
      </c>
      <c r="O5" s="166"/>
      <c r="Q5" s="156">
        <v>1003</v>
      </c>
    </row>
    <row r="6" spans="1:17">
      <c r="B6" s="156" t="s">
        <v>29</v>
      </c>
      <c r="D6" s="166"/>
      <c r="G6" s="168">
        <f>SUM(C6:F6)</f>
        <v>0</v>
      </c>
      <c r="H6" s="168"/>
      <c r="I6" s="168"/>
      <c r="J6" s="168"/>
      <c r="K6" s="173"/>
      <c r="L6" s="168"/>
      <c r="O6" s="166"/>
    </row>
    <row r="7" spans="1:17">
      <c r="B7" s="156" t="s">
        <v>327</v>
      </c>
      <c r="C7" s="156">
        <v>1877.68</v>
      </c>
      <c r="D7" s="156">
        <v>1877.68</v>
      </c>
      <c r="E7" s="156">
        <v>1877.68</v>
      </c>
      <c r="F7" s="156">
        <v>1877.68</v>
      </c>
      <c r="G7" s="168">
        <f>SUM(C7:F7)</f>
        <v>7510.72</v>
      </c>
      <c r="H7" s="168"/>
      <c r="I7" s="168"/>
      <c r="J7" s="168"/>
      <c r="K7" s="173"/>
      <c r="L7" s="168"/>
      <c r="O7" s="166"/>
    </row>
    <row r="8" spans="1:17">
      <c r="B8" s="156" t="s">
        <v>30</v>
      </c>
      <c r="C8" s="156">
        <v>311.69</v>
      </c>
      <c r="D8" s="156">
        <v>311.67</v>
      </c>
      <c r="G8" s="168">
        <f>SUM(C8:F8)</f>
        <v>623.36</v>
      </c>
      <c r="H8" s="168"/>
      <c r="I8" s="168"/>
      <c r="J8" s="168"/>
      <c r="K8" s="173"/>
      <c r="L8" s="168" t="s">
        <v>520</v>
      </c>
      <c r="P8" s="166"/>
    </row>
    <row r="9" spans="1:17">
      <c r="L9" s="156" t="s">
        <v>703</v>
      </c>
    </row>
    <row r="10" spans="1:17" s="131" customFormat="1" ht="13.5">
      <c r="A10" s="149"/>
      <c r="B10" s="153"/>
      <c r="G10" s="140"/>
      <c r="I10" s="152" t="s">
        <v>80</v>
      </c>
      <c r="J10" s="187" t="s">
        <v>439</v>
      </c>
      <c r="K10" s="174"/>
      <c r="L10" s="131" t="s">
        <v>711</v>
      </c>
    </row>
    <row r="11" spans="1:17" s="131" customFormat="1" ht="13.5">
      <c r="A11" s="149"/>
      <c r="B11" s="153"/>
      <c r="G11" s="140" t="s">
        <v>331</v>
      </c>
      <c r="H11" s="131" t="s">
        <v>84</v>
      </c>
      <c r="I11" s="154" t="s">
        <v>83</v>
      </c>
      <c r="J11" s="188" t="s">
        <v>83</v>
      </c>
      <c r="K11" s="175"/>
      <c r="L11" s="131" t="s">
        <v>712</v>
      </c>
    </row>
    <row r="12" spans="1:17" s="131" customFormat="1" ht="13.5">
      <c r="A12" s="149" t="s">
        <v>422</v>
      </c>
      <c r="B12" s="153"/>
      <c r="D12" s="131" t="s">
        <v>426</v>
      </c>
      <c r="E12" s="131">
        <f>G12/B4</f>
        <v>4.5570915145595671E-2</v>
      </c>
      <c r="G12" s="132">
        <f>Tithe!D9</f>
        <v>670</v>
      </c>
      <c r="H12" s="131">
        <v>800</v>
      </c>
      <c r="I12" s="155">
        <f>H12-G12</f>
        <v>130</v>
      </c>
      <c r="J12" s="189">
        <f>Jan!I12+Feb!I12+Mar!I12+Apr!I12</f>
        <v>760</v>
      </c>
      <c r="K12" s="176"/>
    </row>
    <row r="13" spans="1:17" s="131" customFormat="1" ht="13.5">
      <c r="A13" s="149"/>
      <c r="B13" s="153"/>
      <c r="G13" s="140"/>
      <c r="I13" s="155"/>
      <c r="J13" s="189"/>
      <c r="K13" s="176"/>
    </row>
    <row r="14" spans="1:17" s="131" customFormat="1" ht="13.5">
      <c r="A14" s="149" t="s">
        <v>427</v>
      </c>
      <c r="B14" s="153"/>
      <c r="G14" s="140"/>
      <c r="I14" s="155"/>
      <c r="J14" s="189"/>
      <c r="K14" s="176"/>
      <c r="L14" s="131" t="s">
        <v>704</v>
      </c>
    </row>
    <row r="15" spans="1:17" s="131" customFormat="1" ht="13.5">
      <c r="B15" s="149" t="s">
        <v>329</v>
      </c>
      <c r="G15" s="132">
        <v>750</v>
      </c>
      <c r="H15" s="131">
        <v>750</v>
      </c>
      <c r="I15" s="155">
        <f t="shared" ref="I15:I26" si="0">H15-G15</f>
        <v>0</v>
      </c>
      <c r="J15" s="189">
        <f>Jan!I15+Feb!I15+Mar!I15+Apr!I15</f>
        <v>0</v>
      </c>
      <c r="K15" s="176"/>
      <c r="L15" s="131" t="s">
        <v>705</v>
      </c>
    </row>
    <row r="16" spans="1:17" s="131" customFormat="1" ht="13.5">
      <c r="B16" s="149" t="s">
        <v>395</v>
      </c>
      <c r="G16" s="132">
        <v>200</v>
      </c>
      <c r="H16" s="131">
        <v>200</v>
      </c>
      <c r="I16" s="155">
        <f t="shared" si="0"/>
        <v>0</v>
      </c>
      <c r="J16" s="189">
        <f>Jan!I16+Feb!I16+Mar!I16+Apr!I16</f>
        <v>0</v>
      </c>
      <c r="K16" s="176"/>
    </row>
    <row r="17" spans="1:12" s="131" customFormat="1" ht="13.5">
      <c r="B17" s="149" t="s">
        <v>460</v>
      </c>
      <c r="G17" s="132">
        <v>300</v>
      </c>
      <c r="H17" s="131">
        <v>300</v>
      </c>
      <c r="I17" s="155">
        <f t="shared" si="0"/>
        <v>0</v>
      </c>
      <c r="J17" s="189">
        <f>Jan!I17+Feb!I17+Mar!I17+Apr!I17</f>
        <v>0</v>
      </c>
      <c r="K17" s="176"/>
    </row>
    <row r="18" spans="1:12" s="131" customFormat="1" ht="15.95" customHeight="1">
      <c r="B18" s="149" t="s">
        <v>396</v>
      </c>
      <c r="G18" s="132">
        <v>200</v>
      </c>
      <c r="H18" s="131">
        <v>200</v>
      </c>
      <c r="I18" s="155">
        <f t="shared" si="0"/>
        <v>0</v>
      </c>
      <c r="J18" s="189">
        <f>Jan!I18+Feb!I18+Mar!I18+Apr!I18</f>
        <v>0</v>
      </c>
      <c r="K18" s="176"/>
    </row>
    <row r="19" spans="1:12" s="131" customFormat="1" ht="15.95" customHeight="1">
      <c r="B19" s="149" t="s">
        <v>461</v>
      </c>
      <c r="G19" s="132">
        <v>300</v>
      </c>
      <c r="H19" s="131">
        <v>300</v>
      </c>
      <c r="I19" s="155">
        <f t="shared" si="0"/>
        <v>0</v>
      </c>
      <c r="J19" s="189">
        <f>Jan!I19+Feb!I19+Mar!I19+Apr!I19</f>
        <v>0</v>
      </c>
      <c r="K19" s="176"/>
    </row>
    <row r="20" spans="1:12" s="131" customFormat="1" ht="15.95" customHeight="1">
      <c r="B20" s="149" t="s">
        <v>397</v>
      </c>
      <c r="G20" s="132">
        <v>50</v>
      </c>
      <c r="H20" s="131">
        <v>50</v>
      </c>
      <c r="I20" s="155">
        <f t="shared" si="0"/>
        <v>0</v>
      </c>
      <c r="J20" s="189">
        <f>Jan!I20+Feb!I20+Mar!I20+Apr!I20</f>
        <v>0</v>
      </c>
      <c r="K20" s="176"/>
    </row>
    <row r="21" spans="1:12" s="131" customFormat="1" ht="15.95" customHeight="1">
      <c r="A21" s="149"/>
      <c r="B21" s="153"/>
      <c r="G21" s="140"/>
      <c r="I21" s="155"/>
      <c r="J21" s="189"/>
      <c r="K21" s="176"/>
    </row>
    <row r="22" spans="1:12" s="131" customFormat="1" ht="15.95" customHeight="1">
      <c r="A22" s="149" t="s">
        <v>428</v>
      </c>
      <c r="B22" s="149" t="s">
        <v>594</v>
      </c>
      <c r="G22" s="140">
        <v>500</v>
      </c>
      <c r="H22" s="131">
        <v>500</v>
      </c>
      <c r="I22" s="155">
        <f t="shared" si="0"/>
        <v>0</v>
      </c>
      <c r="J22" s="189">
        <f>Jan!I22+Feb!I22+Mar!I22+Apr!I22</f>
        <v>0</v>
      </c>
      <c r="K22" s="176"/>
    </row>
    <row r="23" spans="1:12" s="131" customFormat="1" ht="15.95" customHeight="1">
      <c r="A23" s="149"/>
      <c r="B23" s="153" t="s">
        <v>595</v>
      </c>
      <c r="G23" s="140"/>
      <c r="I23" s="155"/>
      <c r="J23" s="189"/>
      <c r="K23" s="176"/>
    </row>
    <row r="24" spans="1:12" s="131" customFormat="1" ht="15.95" customHeight="1">
      <c r="A24" s="149" t="s">
        <v>429</v>
      </c>
      <c r="B24" s="153"/>
      <c r="G24" s="140"/>
      <c r="I24" s="155"/>
      <c r="J24" s="189"/>
      <c r="K24" s="176"/>
    </row>
    <row r="25" spans="1:12" s="131" customFormat="1" ht="15.95" customHeight="1">
      <c r="B25" s="149" t="s">
        <v>363</v>
      </c>
      <c r="G25" s="140"/>
      <c r="H25" s="131">
        <v>1500</v>
      </c>
      <c r="I25" s="155">
        <f t="shared" si="0"/>
        <v>1500</v>
      </c>
      <c r="J25" s="189">
        <f>Jan!I25+Feb!I25+Mar!I25+Apr!I25</f>
        <v>4500</v>
      </c>
      <c r="K25" s="176"/>
    </row>
    <row r="26" spans="1:12" s="131" customFormat="1" ht="12.75" customHeight="1">
      <c r="B26" s="149" t="s">
        <v>399</v>
      </c>
      <c r="H26" s="131">
        <v>500</v>
      </c>
      <c r="I26" s="155">
        <f t="shared" si="0"/>
        <v>500</v>
      </c>
      <c r="J26" s="192">
        <f>Jan!I26+Feb!I26+Mar!I26+Apr!I26</f>
        <v>2000</v>
      </c>
      <c r="K26" s="176"/>
    </row>
    <row r="27" spans="1:12" s="131" customFormat="1" ht="12.75" customHeight="1">
      <c r="A27" s="149"/>
      <c r="G27" s="157"/>
      <c r="H27" s="157"/>
      <c r="I27" s="159"/>
      <c r="J27" s="171"/>
      <c r="K27" s="171"/>
    </row>
    <row r="28" spans="1:12" s="131" customFormat="1" ht="12.75" customHeight="1" thickBot="1">
      <c r="A28" s="149"/>
      <c r="B28" s="149"/>
      <c r="G28" s="158">
        <f>SUM(G12:G26)</f>
        <v>2970</v>
      </c>
      <c r="H28" s="158">
        <f>SUM(H12:H26)</f>
        <v>5100</v>
      </c>
      <c r="I28" s="158">
        <f>SUM(I12:I26)</f>
        <v>2130</v>
      </c>
      <c r="J28" s="158">
        <f>SUM(J12:J26)</f>
        <v>7260</v>
      </c>
      <c r="K28" s="177"/>
    </row>
    <row r="29" spans="1:12" s="131" customFormat="1" ht="12.75" customHeight="1" thickTop="1">
      <c r="A29" s="149"/>
      <c r="B29" s="149"/>
      <c r="G29" s="142"/>
      <c r="H29" s="142"/>
      <c r="I29" s="142"/>
      <c r="J29" s="142"/>
      <c r="K29" s="177"/>
    </row>
    <row r="30" spans="1:12" s="131" customFormat="1" ht="12.75" customHeight="1" thickBot="1">
      <c r="A30" s="149"/>
      <c r="B30" s="149"/>
      <c r="G30" s="142"/>
      <c r="H30" s="142"/>
      <c r="I30" s="142"/>
      <c r="J30" s="142"/>
      <c r="K30" s="177"/>
    </row>
    <row r="31" spans="1:12" s="131" customFormat="1" ht="12.75" customHeight="1" thickBot="1">
      <c r="A31" s="149" t="s">
        <v>442</v>
      </c>
      <c r="B31" s="149"/>
      <c r="G31" s="185">
        <v>0</v>
      </c>
      <c r="H31" s="142" t="s">
        <v>684</v>
      </c>
      <c r="I31" s="142"/>
      <c r="J31" s="142"/>
      <c r="K31" s="177"/>
      <c r="L31" s="142"/>
    </row>
    <row r="32" spans="1:12" s="131" customFormat="1" ht="12.75" customHeight="1" thickBot="1">
      <c r="A32" s="149"/>
      <c r="B32" s="149"/>
      <c r="G32" s="142"/>
      <c r="H32" s="142"/>
      <c r="I32" s="142"/>
      <c r="J32" s="142"/>
      <c r="K32" s="177"/>
      <c r="L32" s="142"/>
    </row>
    <row r="33" spans="1:14" s="131" customFormat="1" ht="12.75" customHeight="1" thickBot="1">
      <c r="A33" s="149" t="s">
        <v>425</v>
      </c>
      <c r="B33" s="149"/>
      <c r="G33" s="169">
        <f>B4-G28</f>
        <v>11732.36</v>
      </c>
      <c r="H33" s="142"/>
      <c r="I33" s="142"/>
      <c r="J33" s="142"/>
      <c r="K33" s="177"/>
      <c r="L33" s="142"/>
    </row>
    <row r="34" spans="1:14" s="131" customFormat="1" ht="12.75" customHeight="1">
      <c r="A34" s="149"/>
      <c r="B34" s="149"/>
      <c r="G34" s="170"/>
      <c r="H34" s="142"/>
      <c r="I34" s="142"/>
      <c r="J34" s="142"/>
      <c r="K34" s="177"/>
      <c r="L34" s="142"/>
    </row>
    <row r="35" spans="1:14" s="131" customFormat="1" ht="12.75" customHeight="1">
      <c r="A35" s="149" t="s">
        <v>432</v>
      </c>
      <c r="B35" s="149"/>
      <c r="G35" s="170">
        <f>E46</f>
        <v>14020.09</v>
      </c>
      <c r="H35" s="142"/>
      <c r="I35" s="142"/>
      <c r="J35" s="142"/>
      <c r="K35" s="177"/>
      <c r="L35" s="142"/>
    </row>
    <row r="36" spans="1:14" s="131" customFormat="1" ht="12.75" customHeight="1">
      <c r="A36" s="149"/>
      <c r="B36" s="149"/>
      <c r="G36" s="170"/>
      <c r="H36" s="142"/>
      <c r="I36" s="142"/>
      <c r="J36" s="142"/>
      <c r="K36" s="177"/>
      <c r="L36" s="142"/>
    </row>
    <row r="37" spans="1:14" s="131" customFormat="1" ht="13.5">
      <c r="A37" s="149" t="s">
        <v>433</v>
      </c>
      <c r="B37" s="149"/>
      <c r="G37" s="170">
        <f>B131</f>
        <v>0</v>
      </c>
      <c r="H37" s="142" t="s">
        <v>435</v>
      </c>
      <c r="I37" s="142"/>
      <c r="J37" s="142"/>
      <c r="K37" s="177"/>
      <c r="L37" s="142"/>
    </row>
    <row r="38" spans="1:14" s="131" customFormat="1" ht="14.25" thickBot="1">
      <c r="A38" s="149"/>
      <c r="B38" s="149"/>
      <c r="G38" s="170"/>
      <c r="H38" s="142"/>
      <c r="I38" s="142"/>
      <c r="J38" s="142"/>
      <c r="K38" s="177"/>
      <c r="L38" s="142"/>
    </row>
    <row r="39" spans="1:14" s="131" customFormat="1" ht="14.25" thickBot="1">
      <c r="A39" s="149" t="s">
        <v>430</v>
      </c>
      <c r="B39" s="149"/>
      <c r="G39" s="186">
        <f>G33-G35-G37+G31</f>
        <v>-2287.7299999999996</v>
      </c>
      <c r="H39" s="142"/>
      <c r="I39" s="142"/>
      <c r="J39" s="142"/>
      <c r="K39" s="177"/>
      <c r="L39" s="142"/>
    </row>
    <row r="40" spans="1:14" s="131" customFormat="1" ht="13.5">
      <c r="A40" s="149"/>
      <c r="B40" s="149"/>
      <c r="G40" s="196"/>
      <c r="H40" s="142"/>
      <c r="I40" s="142"/>
      <c r="J40" s="142"/>
      <c r="K40" s="177"/>
      <c r="L40" s="142"/>
      <c r="M40" s="131">
        <v>5357.28</v>
      </c>
      <c r="N40" s="131">
        <v>481.75</v>
      </c>
    </row>
    <row r="41" spans="1:14" s="131" customFormat="1" ht="13.5">
      <c r="A41" s="197" t="s">
        <v>478</v>
      </c>
      <c r="B41" s="149"/>
      <c r="G41" s="196"/>
      <c r="H41" s="142"/>
      <c r="I41" s="142"/>
      <c r="J41" s="142"/>
      <c r="K41" s="177"/>
      <c r="L41" s="142"/>
    </row>
    <row r="42" spans="1:14" s="131" customFormat="1" ht="13.5">
      <c r="B42" s="197" t="s">
        <v>464</v>
      </c>
      <c r="C42" s="150">
        <f>H57+H58+H63+H64+H72+H73+H74+H81+H82+H83+H88+H91+H92+H93+H94+H95+H100+H104+H105+H106+H107+H108+H109+H110+H113+H117+H120+H121+H124</f>
        <v>1650</v>
      </c>
      <c r="D42" s="197" t="s">
        <v>465</v>
      </c>
      <c r="E42" s="150">
        <f>G57+G58+G63+G64+G72+G73+G74+G81+G82+G83+G88+G91+G92+G93+G94+G95+G100+G104+G105+G106+G107+G108+G109+G110+G113+G117+G120+G121+G124</f>
        <v>1802.3200000000004</v>
      </c>
      <c r="G42" s="196"/>
      <c r="H42" s="142"/>
      <c r="I42" s="142"/>
      <c r="J42" s="142"/>
      <c r="K42" s="177"/>
      <c r="L42" s="142"/>
      <c r="M42" s="131">
        <f>M46+M44-M43</f>
        <v>5357.2800000000007</v>
      </c>
      <c r="N42" s="131">
        <f>N46</f>
        <v>481.74999999999994</v>
      </c>
    </row>
    <row r="43" spans="1:14" s="131" customFormat="1" ht="13.5">
      <c r="A43" s="149"/>
      <c r="B43" s="149"/>
      <c r="I43" s="152"/>
      <c r="J43" s="187" t="s">
        <v>439</v>
      </c>
      <c r="K43" s="174"/>
      <c r="L43" s="131" t="s">
        <v>534</v>
      </c>
      <c r="M43" s="131">
        <v>100</v>
      </c>
    </row>
    <row r="44" spans="1:14" s="131" customFormat="1" ht="13.5">
      <c r="A44" s="149"/>
      <c r="B44" s="149"/>
      <c r="G44" s="140"/>
      <c r="I44" s="152" t="s">
        <v>80</v>
      </c>
      <c r="J44" s="187" t="s">
        <v>440</v>
      </c>
      <c r="K44" s="174"/>
      <c r="L44" s="131" t="s">
        <v>515</v>
      </c>
      <c r="M44" s="131">
        <v>100</v>
      </c>
    </row>
    <row r="45" spans="1:14" s="131" customFormat="1" ht="14.25" thickBot="1">
      <c r="B45" s="149"/>
      <c r="G45" s="140" t="s">
        <v>331</v>
      </c>
      <c r="H45" s="131" t="s">
        <v>84</v>
      </c>
      <c r="I45" s="154" t="s">
        <v>83</v>
      </c>
      <c r="J45" s="188" t="s">
        <v>441</v>
      </c>
      <c r="K45" s="175"/>
      <c r="L45" s="180" t="s">
        <v>332</v>
      </c>
      <c r="M45" s="181" t="s">
        <v>333</v>
      </c>
      <c r="N45" s="181" t="s">
        <v>334</v>
      </c>
    </row>
    <row r="46" spans="1:14" s="131" customFormat="1" ht="14.25" thickBot="1">
      <c r="A46" s="149" t="s">
        <v>434</v>
      </c>
      <c r="D46"/>
      <c r="E46" s="262">
        <f>B48+B56+B62+B66+B71+B80+B85+B90+B97+B103+B112+B116+B119+B123+B126</f>
        <v>14020.09</v>
      </c>
      <c r="G46" s="191">
        <f>SUM(G49:G128)</f>
        <v>14020.09</v>
      </c>
      <c r="H46" s="191">
        <f>SUM(H49:H128)</f>
        <v>6153.14</v>
      </c>
      <c r="I46" s="191">
        <f>H46-G46</f>
        <v>-7866.95</v>
      </c>
      <c r="J46" s="191">
        <f>SUM(J48:J128)</f>
        <v>-5491.6600000000008</v>
      </c>
      <c r="K46" s="178"/>
      <c r="L46" s="183">
        <f>SUM(L49:L139)</f>
        <v>8181.0599999999995</v>
      </c>
      <c r="M46" s="183">
        <f>SUM(M49:M139)</f>
        <v>5357.2800000000007</v>
      </c>
      <c r="N46" s="183">
        <f>SUM(N49:N139)</f>
        <v>481.74999999999994</v>
      </c>
    </row>
    <row r="47" spans="1:14" s="131" customFormat="1" ht="13.5">
      <c r="A47" s="131" t="s">
        <v>421</v>
      </c>
      <c r="I47" s="152"/>
      <c r="J47" s="187"/>
      <c r="K47" s="174"/>
      <c r="L47" s="115"/>
      <c r="M47" s="116"/>
      <c r="N47" s="116"/>
    </row>
    <row r="48" spans="1:14" s="131" customFormat="1" ht="13.5">
      <c r="A48" s="149" t="s">
        <v>547</v>
      </c>
      <c r="B48" s="149">
        <f>SUM(G49:G54)</f>
        <v>10948.7</v>
      </c>
      <c r="C48" s="149">
        <f>SUM(H49:H54)</f>
        <v>3739.6400000000003</v>
      </c>
      <c r="D48" s="149">
        <f>SUM(I49:I54)</f>
        <v>-7209.0599999999995</v>
      </c>
      <c r="I48" s="152"/>
      <c r="J48" s="187"/>
      <c r="K48" s="174"/>
      <c r="L48" s="115"/>
      <c r="M48" s="116"/>
      <c r="N48" s="116"/>
    </row>
    <row r="49" spans="1:15" s="131" customFormat="1" ht="13.5">
      <c r="B49" s="131" t="s">
        <v>550</v>
      </c>
      <c r="G49" s="131">
        <f t="shared" ref="G49:G54" si="1">SUM(L49:N49)</f>
        <v>0</v>
      </c>
      <c r="H49" s="131">
        <v>0</v>
      </c>
      <c r="I49" s="152">
        <f t="shared" ref="I49:I54" si="2">H49-G49</f>
        <v>0</v>
      </c>
      <c r="J49" s="187">
        <f>Jan!I49+Feb!I49+Mar!I49+Apr!I49</f>
        <v>-1550</v>
      </c>
      <c r="K49" s="174"/>
      <c r="L49" s="115"/>
      <c r="M49" s="116"/>
      <c r="N49" s="116"/>
    </row>
    <row r="50" spans="1:15" s="131" customFormat="1" ht="13.5">
      <c r="B50" s="131" t="s">
        <v>622</v>
      </c>
      <c r="G50" s="131">
        <f t="shared" si="1"/>
        <v>10948.7</v>
      </c>
      <c r="H50" s="131">
        <v>1250</v>
      </c>
      <c r="I50" s="152">
        <f t="shared" si="2"/>
        <v>-9698.7000000000007</v>
      </c>
      <c r="J50" s="187">
        <f>Jan!I50+Feb!I50+Mar!I50+Apr!I50</f>
        <v>-5997.7000000000007</v>
      </c>
      <c r="K50" s="174"/>
      <c r="L50" s="115">
        <f>3000+4670</f>
        <v>7670</v>
      </c>
      <c r="M50" s="116">
        <f>587.5+2691.2</f>
        <v>3278.7</v>
      </c>
      <c r="N50" s="116"/>
      <c r="O50" s="131" t="s">
        <v>629</v>
      </c>
    </row>
    <row r="51" spans="1:15" s="131" customFormat="1" ht="13.5">
      <c r="B51" s="131" t="s">
        <v>624</v>
      </c>
      <c r="G51" s="131">
        <f t="shared" si="1"/>
        <v>0</v>
      </c>
      <c r="H51" s="131">
        <v>540.45000000000005</v>
      </c>
      <c r="I51" s="152">
        <f t="shared" si="2"/>
        <v>540.45000000000005</v>
      </c>
      <c r="J51" s="187">
        <f>Jan!I51+Feb!I51+Mar!I51+Apr!I51</f>
        <v>801.95</v>
      </c>
      <c r="K51" s="174"/>
      <c r="L51" s="115"/>
      <c r="M51" s="116"/>
      <c r="N51" s="116"/>
    </row>
    <row r="52" spans="1:15" s="131" customFormat="1" ht="13.5">
      <c r="B52" s="131" t="s">
        <v>551</v>
      </c>
      <c r="G52" s="131">
        <f t="shared" si="1"/>
        <v>0</v>
      </c>
      <c r="H52" s="131">
        <v>1636.68</v>
      </c>
      <c r="I52" s="152">
        <f t="shared" si="2"/>
        <v>1636.68</v>
      </c>
      <c r="J52" s="187">
        <f>Jan!I52+Feb!I52+Mar!I52+Apr!I52</f>
        <v>1636.68</v>
      </c>
      <c r="K52" s="174"/>
      <c r="L52" s="115"/>
      <c r="M52" s="116"/>
      <c r="N52" s="116"/>
    </row>
    <row r="53" spans="1:15" s="131" customFormat="1" ht="13.5">
      <c r="B53" s="131" t="s">
        <v>720</v>
      </c>
      <c r="G53" s="131">
        <f t="shared" si="1"/>
        <v>0</v>
      </c>
      <c r="H53" s="131">
        <v>312.51</v>
      </c>
      <c r="I53" s="152">
        <f t="shared" si="2"/>
        <v>312.51</v>
      </c>
      <c r="J53" s="187">
        <f>Jan!I53+Feb!I53+Mar!I53+Apr!I53</f>
        <v>312.51</v>
      </c>
      <c r="K53" s="174"/>
      <c r="L53" s="115"/>
      <c r="M53" s="116"/>
      <c r="N53" s="116"/>
    </row>
    <row r="54" spans="1:15" s="131" customFormat="1" ht="13.5">
      <c r="B54" s="131" t="s">
        <v>625</v>
      </c>
      <c r="G54" s="131">
        <f t="shared" si="1"/>
        <v>0</v>
      </c>
      <c r="H54" s="131">
        <v>0</v>
      </c>
      <c r="I54" s="152">
        <f t="shared" si="2"/>
        <v>0</v>
      </c>
      <c r="J54" s="187">
        <f>Jan!I54+Feb!I54+Mar!I54+Apr!I54</f>
        <v>0</v>
      </c>
      <c r="K54" s="174"/>
      <c r="L54" s="115"/>
      <c r="M54" s="116"/>
      <c r="N54" s="116"/>
    </row>
    <row r="55" spans="1:15" s="131" customFormat="1" ht="13.5">
      <c r="I55" s="152"/>
      <c r="J55" s="187"/>
      <c r="K55" s="174"/>
      <c r="L55" s="115"/>
      <c r="M55" s="116"/>
      <c r="N55" s="116"/>
    </row>
    <row r="56" spans="1:15" s="131" customFormat="1" ht="13.5">
      <c r="A56" s="149" t="s">
        <v>85</v>
      </c>
      <c r="B56" s="149">
        <f>SUM(G57:G60)</f>
        <v>1336.06</v>
      </c>
      <c r="C56" s="149">
        <f>SUM(H57:H60)</f>
        <v>355</v>
      </c>
      <c r="D56" s="149">
        <f>C56-B56</f>
        <v>-981.06</v>
      </c>
      <c r="I56" s="152"/>
      <c r="J56" s="187"/>
      <c r="K56" s="174"/>
      <c r="L56" s="115"/>
      <c r="M56" s="116"/>
      <c r="N56" s="116"/>
    </row>
    <row r="57" spans="1:15" s="131" customFormat="1" ht="13.5">
      <c r="B57" s="131" t="s">
        <v>41</v>
      </c>
      <c r="C57" s="131" t="s">
        <v>42</v>
      </c>
      <c r="G57" s="131">
        <f>SUM(L57:N57)</f>
        <v>110.94</v>
      </c>
      <c r="H57" s="131">
        <v>110</v>
      </c>
      <c r="I57" s="152">
        <f>H57-G57</f>
        <v>-0.93999999999999773</v>
      </c>
      <c r="J57" s="187">
        <f>Jan!I57+Feb!I57+Mar!I57+Apr!I57</f>
        <v>-23.279999999999987</v>
      </c>
      <c r="K57" s="174"/>
      <c r="L57" s="115">
        <v>110.94</v>
      </c>
      <c r="M57" s="116"/>
      <c r="N57" s="116"/>
    </row>
    <row r="58" spans="1:15" s="131" customFormat="1" ht="13.5">
      <c r="B58" s="131" t="s">
        <v>43</v>
      </c>
      <c r="C58" s="131" t="s">
        <v>44</v>
      </c>
      <c r="G58" s="131">
        <f t="shared" ref="G58:G121" si="3">SUM(L58:N58)</f>
        <v>0</v>
      </c>
      <c r="H58" s="131">
        <v>45</v>
      </c>
      <c r="I58" s="152">
        <f t="shared" ref="I58:I121" si="4">H58-G58</f>
        <v>45</v>
      </c>
      <c r="J58" s="187">
        <f>Jan!I58+Feb!I58+Mar!I58+Apr!I58</f>
        <v>180</v>
      </c>
      <c r="K58" s="174"/>
      <c r="L58" s="115"/>
      <c r="M58" s="116"/>
      <c r="N58" s="116"/>
    </row>
    <row r="59" spans="1:15" s="131" customFormat="1" ht="13.5">
      <c r="B59" s="198" t="s">
        <v>86</v>
      </c>
      <c r="C59" s="198" t="s">
        <v>87</v>
      </c>
      <c r="D59" s="198" t="s">
        <v>423</v>
      </c>
      <c r="E59" s="198"/>
      <c r="F59" s="198"/>
      <c r="G59" s="131">
        <f t="shared" si="3"/>
        <v>1115</v>
      </c>
      <c r="H59" s="131">
        <v>90</v>
      </c>
      <c r="I59" s="152">
        <f t="shared" si="4"/>
        <v>-1025</v>
      </c>
      <c r="J59" s="187">
        <f>Jan!I59+Feb!I59+Mar!I59+Apr!I59</f>
        <v>-865</v>
      </c>
      <c r="K59" s="174"/>
      <c r="L59" s="115"/>
      <c r="M59" s="116">
        <f>1003+112</f>
        <v>1115</v>
      </c>
      <c r="N59" s="116"/>
      <c r="O59" s="131" t="s">
        <v>603</v>
      </c>
    </row>
    <row r="60" spans="1:15" s="131" customFormat="1" ht="13.5">
      <c r="B60" s="198" t="s">
        <v>88</v>
      </c>
      <c r="C60" s="198" t="s">
        <v>89</v>
      </c>
      <c r="D60" s="198" t="s">
        <v>424</v>
      </c>
      <c r="E60" s="198"/>
      <c r="F60" s="198"/>
      <c r="G60" s="131">
        <f t="shared" si="3"/>
        <v>110.12</v>
      </c>
      <c r="H60" s="131">
        <v>110</v>
      </c>
      <c r="I60" s="152">
        <f t="shared" si="4"/>
        <v>-0.12000000000000455</v>
      </c>
      <c r="J60" s="187">
        <f>Jan!I60+Feb!I60+Mar!I60+Apr!I60</f>
        <v>329.88</v>
      </c>
      <c r="K60" s="174"/>
      <c r="L60" s="115">
        <v>110.12</v>
      </c>
      <c r="M60" s="116"/>
      <c r="N60" s="116"/>
      <c r="O60" s="131" t="s">
        <v>722</v>
      </c>
    </row>
    <row r="61" spans="1:15" s="131" customFormat="1" ht="13.5">
      <c r="I61" s="152"/>
      <c r="J61" s="187"/>
      <c r="K61" s="174"/>
      <c r="L61" s="115"/>
      <c r="M61" s="116"/>
      <c r="N61" s="116"/>
    </row>
    <row r="62" spans="1:15" s="131" customFormat="1" ht="13.5">
      <c r="A62" s="149" t="s">
        <v>91</v>
      </c>
      <c r="B62" s="149">
        <f>SUM(G63:G64)</f>
        <v>139.23000000000002</v>
      </c>
      <c r="C62" s="149">
        <f>SUM(H63:H64)</f>
        <v>138</v>
      </c>
      <c r="D62" s="149">
        <f>C62-B62</f>
        <v>-1.2300000000000182</v>
      </c>
      <c r="I62" s="152"/>
      <c r="J62" s="187"/>
      <c r="K62" s="174"/>
      <c r="L62" s="115"/>
      <c r="M62" s="116"/>
      <c r="N62" s="116"/>
    </row>
    <row r="63" spans="1:15" s="131" customFormat="1" ht="13.5">
      <c r="B63" s="131" t="s">
        <v>50</v>
      </c>
      <c r="C63" s="131" t="s">
        <v>51</v>
      </c>
      <c r="G63" s="131">
        <f t="shared" si="3"/>
        <v>65.97</v>
      </c>
      <c r="H63" s="131">
        <v>63</v>
      </c>
      <c r="I63" s="152">
        <f t="shared" si="4"/>
        <v>-2.9699999999999989</v>
      </c>
      <c r="J63" s="187">
        <f>Jan!I63+Feb!I63+Mar!I63+Apr!I63</f>
        <v>-5.8799999999999955</v>
      </c>
      <c r="K63" s="174"/>
      <c r="L63" s="115"/>
      <c r="M63" s="116">
        <v>65.97</v>
      </c>
      <c r="N63" s="116"/>
    </row>
    <row r="64" spans="1:15" s="131" customFormat="1" ht="13.5">
      <c r="B64" s="131" t="s">
        <v>92</v>
      </c>
      <c r="C64" s="131" t="s">
        <v>93</v>
      </c>
      <c r="D64" s="156"/>
      <c r="G64" s="131">
        <f t="shared" si="3"/>
        <v>73.260000000000005</v>
      </c>
      <c r="H64" s="131">
        <v>75</v>
      </c>
      <c r="I64" s="152">
        <f t="shared" si="4"/>
        <v>1.7399999999999949</v>
      </c>
      <c r="J64" s="187">
        <f>Jan!I64+Feb!I64+Mar!I64+Apr!I64</f>
        <v>7.3400000000000034</v>
      </c>
      <c r="K64" s="174"/>
      <c r="L64" s="115"/>
      <c r="M64" s="116">
        <v>73.260000000000005</v>
      </c>
      <c r="N64" s="116"/>
    </row>
    <row r="65" spans="1:15" s="131" customFormat="1" ht="13.5">
      <c r="I65" s="152"/>
      <c r="J65" s="187"/>
      <c r="K65" s="174"/>
      <c r="L65" s="115"/>
      <c r="M65" s="116"/>
      <c r="N65" s="116"/>
    </row>
    <row r="66" spans="1:15" s="131" customFormat="1" ht="13.5">
      <c r="A66" s="193" t="s">
        <v>94</v>
      </c>
      <c r="B66" s="149">
        <f>SUM(G67:G69)</f>
        <v>0</v>
      </c>
      <c r="C66" s="149">
        <f>SUM(H67:H69)</f>
        <v>177</v>
      </c>
      <c r="D66" s="149">
        <f>C66-B66</f>
        <v>177</v>
      </c>
      <c r="I66" s="152"/>
      <c r="J66" s="187"/>
      <c r="K66" s="174"/>
      <c r="L66" s="115"/>
      <c r="M66" s="116"/>
      <c r="N66" s="116"/>
    </row>
    <row r="67" spans="1:15" s="131" customFormat="1" ht="13.5">
      <c r="B67" s="198" t="s">
        <v>95</v>
      </c>
      <c r="C67" s="198"/>
      <c r="D67" s="198" t="s">
        <v>96</v>
      </c>
      <c r="E67" s="198"/>
      <c r="F67" s="198"/>
      <c r="G67" s="131">
        <f t="shared" si="3"/>
        <v>0</v>
      </c>
      <c r="H67" s="131">
        <v>56.5</v>
      </c>
      <c r="I67" s="152">
        <f t="shared" si="4"/>
        <v>56.5</v>
      </c>
      <c r="J67" s="187">
        <f>Jan!I67+Feb!I67+Mar!I67+Apr!I67</f>
        <v>-490</v>
      </c>
      <c r="K67" s="174"/>
      <c r="L67" s="115"/>
      <c r="M67" s="116"/>
      <c r="N67" s="116"/>
    </row>
    <row r="68" spans="1:15" s="131" customFormat="1" ht="13.5">
      <c r="B68" s="198" t="s">
        <v>97</v>
      </c>
      <c r="C68" s="198"/>
      <c r="D68" s="198" t="s">
        <v>96</v>
      </c>
      <c r="E68" s="198"/>
      <c r="F68" s="198"/>
      <c r="G68" s="131">
        <f t="shared" si="3"/>
        <v>0</v>
      </c>
      <c r="H68" s="131">
        <v>84.5</v>
      </c>
      <c r="I68" s="152">
        <f t="shared" si="4"/>
        <v>84.5</v>
      </c>
      <c r="J68" s="187">
        <f>Jan!I68+Feb!I68+Mar!I68+Apr!I68</f>
        <v>-617</v>
      </c>
      <c r="K68" s="174"/>
      <c r="L68" s="115"/>
      <c r="M68" s="116"/>
      <c r="N68" s="116"/>
    </row>
    <row r="69" spans="1:15" s="131" customFormat="1" ht="13.5">
      <c r="B69" s="198" t="s">
        <v>98</v>
      </c>
      <c r="C69" s="198"/>
      <c r="D69" s="198" t="s">
        <v>477</v>
      </c>
      <c r="E69" s="198"/>
      <c r="F69" s="198"/>
      <c r="G69" s="131">
        <f t="shared" si="3"/>
        <v>0</v>
      </c>
      <c r="H69" s="131">
        <v>36</v>
      </c>
      <c r="I69" s="152">
        <f t="shared" si="4"/>
        <v>36</v>
      </c>
      <c r="J69" s="187">
        <f>Jan!I69+Feb!I69+Mar!I69+Apr!I69</f>
        <v>144</v>
      </c>
      <c r="K69" s="174"/>
      <c r="L69" s="115"/>
      <c r="M69" s="116"/>
      <c r="N69" s="116"/>
    </row>
    <row r="70" spans="1:15" s="131" customFormat="1" ht="13.5">
      <c r="I70" s="152"/>
      <c r="J70" s="187"/>
      <c r="K70" s="174"/>
      <c r="L70" s="115"/>
      <c r="M70" s="116"/>
      <c r="N70" s="116"/>
    </row>
    <row r="71" spans="1:15" s="131" customFormat="1" ht="13.5">
      <c r="A71" s="149" t="s">
        <v>99</v>
      </c>
      <c r="B71" s="149">
        <f>SUM(G72:G78)</f>
        <v>181.76</v>
      </c>
      <c r="C71" s="149">
        <f>SUM(H72:H78)</f>
        <v>166.5</v>
      </c>
      <c r="D71" s="149">
        <f>C71-B71</f>
        <v>-15.259999999999991</v>
      </c>
      <c r="I71" s="152"/>
      <c r="J71" s="187"/>
      <c r="K71" s="174"/>
      <c r="L71" s="115"/>
      <c r="M71" s="116"/>
      <c r="N71" s="116"/>
    </row>
    <row r="72" spans="1:15" s="131" customFormat="1" ht="13.5">
      <c r="B72" s="131" t="s">
        <v>100</v>
      </c>
      <c r="G72" s="131">
        <f t="shared" si="3"/>
        <v>0</v>
      </c>
      <c r="H72" s="131">
        <v>15</v>
      </c>
      <c r="I72" s="152">
        <f t="shared" si="4"/>
        <v>15</v>
      </c>
      <c r="J72" s="187">
        <f>Jan!I72+Feb!I72+Mar!I72+Apr!I72</f>
        <v>-1.1700000000000017</v>
      </c>
      <c r="K72" s="174"/>
      <c r="L72" s="115"/>
      <c r="M72" s="116"/>
      <c r="N72" s="116"/>
    </row>
    <row r="73" spans="1:15" s="131" customFormat="1" ht="13.5">
      <c r="B73" s="131" t="s">
        <v>384</v>
      </c>
      <c r="G73" s="131">
        <f t="shared" si="3"/>
        <v>15.88</v>
      </c>
      <c r="H73" s="131">
        <v>5</v>
      </c>
      <c r="I73" s="152">
        <f t="shared" si="4"/>
        <v>-10.88</v>
      </c>
      <c r="J73" s="187">
        <f>Jan!I73+Feb!I73+Mar!I73+Apr!I73</f>
        <v>4.1199999999999992</v>
      </c>
      <c r="K73" s="174"/>
      <c r="L73" s="115"/>
      <c r="M73" s="116"/>
      <c r="N73" s="116">
        <v>15.88</v>
      </c>
      <c r="O73" s="131" t="s">
        <v>689</v>
      </c>
    </row>
    <row r="74" spans="1:15" s="131" customFormat="1" ht="13.5">
      <c r="B74" s="131" t="s">
        <v>385</v>
      </c>
      <c r="G74" s="131">
        <f t="shared" si="3"/>
        <v>165.88</v>
      </c>
      <c r="H74" s="131">
        <v>65</v>
      </c>
      <c r="I74" s="152">
        <f t="shared" si="4"/>
        <v>-100.88</v>
      </c>
      <c r="J74" s="187">
        <f>Jan!I74+Feb!I74+Mar!I74+Apr!I74</f>
        <v>94.12</v>
      </c>
      <c r="K74" s="174"/>
      <c r="L74" s="115">
        <v>40</v>
      </c>
      <c r="M74" s="116">
        <v>109.88</v>
      </c>
      <c r="N74" s="116">
        <f>(55-39)</f>
        <v>16</v>
      </c>
      <c r="O74" s="131" t="s">
        <v>605</v>
      </c>
    </row>
    <row r="75" spans="1:15" s="131" customFormat="1" ht="13.5">
      <c r="B75" s="131" t="s">
        <v>386</v>
      </c>
      <c r="G75" s="131">
        <f t="shared" si="3"/>
        <v>0</v>
      </c>
      <c r="H75" s="131">
        <v>15</v>
      </c>
      <c r="I75" s="152">
        <f t="shared" si="4"/>
        <v>15</v>
      </c>
      <c r="J75" s="187">
        <f>Jan!I75+Feb!I75+Mar!I75+Apr!I75</f>
        <v>60</v>
      </c>
      <c r="K75" s="174"/>
      <c r="L75" s="115"/>
      <c r="M75" s="116"/>
      <c r="N75" s="116"/>
    </row>
    <row r="76" spans="1:15" s="131" customFormat="1" ht="13.5">
      <c r="B76" s="198" t="s">
        <v>390</v>
      </c>
      <c r="C76" s="198"/>
      <c r="D76" s="198"/>
      <c r="E76" s="198"/>
      <c r="F76" s="198"/>
      <c r="G76" s="131">
        <f t="shared" si="3"/>
        <v>0</v>
      </c>
      <c r="H76" s="131">
        <v>35</v>
      </c>
      <c r="I76" s="152">
        <f t="shared" si="4"/>
        <v>35</v>
      </c>
      <c r="J76" s="187">
        <f>Jan!I76+Feb!I76+Mar!I76+Apr!I76</f>
        <v>140</v>
      </c>
      <c r="K76" s="174"/>
      <c r="L76" s="115"/>
      <c r="M76" s="116"/>
      <c r="N76" s="116"/>
    </row>
    <row r="77" spans="1:15" s="131" customFormat="1" ht="13.5">
      <c r="B77" s="198" t="s">
        <v>387</v>
      </c>
      <c r="C77" s="198"/>
      <c r="D77" s="198"/>
      <c r="E77" s="198"/>
      <c r="F77" s="198"/>
      <c r="G77" s="131">
        <f t="shared" si="3"/>
        <v>0</v>
      </c>
      <c r="H77" s="131">
        <v>20</v>
      </c>
      <c r="I77" s="152">
        <f t="shared" si="4"/>
        <v>20</v>
      </c>
      <c r="J77" s="187">
        <f>Jan!I77+Feb!I77+Mar!I77+Apr!I77</f>
        <v>80</v>
      </c>
      <c r="K77" s="174"/>
      <c r="L77" s="115"/>
      <c r="M77" s="116"/>
      <c r="N77" s="116"/>
    </row>
    <row r="78" spans="1:15" s="131" customFormat="1" ht="13.5">
      <c r="B78" s="198" t="s">
        <v>388</v>
      </c>
      <c r="C78" s="198"/>
      <c r="D78" s="198"/>
      <c r="E78" s="198"/>
      <c r="F78" s="198"/>
      <c r="G78" s="131">
        <f t="shared" si="3"/>
        <v>0</v>
      </c>
      <c r="H78" s="131">
        <v>11.5</v>
      </c>
      <c r="I78" s="152">
        <f t="shared" si="4"/>
        <v>11.5</v>
      </c>
      <c r="J78" s="187">
        <f>Jan!I78+Feb!I78+Mar!I78+Apr!I78</f>
        <v>46</v>
      </c>
      <c r="K78" s="174"/>
      <c r="L78" s="115"/>
      <c r="M78" s="116"/>
      <c r="N78" s="116"/>
    </row>
    <row r="79" spans="1:15" s="131" customFormat="1" ht="13.5">
      <c r="I79" s="152"/>
      <c r="J79" s="187"/>
      <c r="K79" s="174"/>
      <c r="L79" s="115"/>
      <c r="M79" s="116"/>
      <c r="N79" s="116"/>
    </row>
    <row r="80" spans="1:15" s="131" customFormat="1" ht="13.5">
      <c r="A80" s="149" t="s">
        <v>335</v>
      </c>
      <c r="B80" s="149">
        <f>SUM(G81:G83)</f>
        <v>100.89</v>
      </c>
      <c r="C80" s="149">
        <f>SUM(H81:H83)</f>
        <v>30</v>
      </c>
      <c r="D80" s="149">
        <f>C80-B80</f>
        <v>-70.89</v>
      </c>
      <c r="I80" s="152"/>
      <c r="J80" s="187"/>
      <c r="K80" s="174"/>
      <c r="L80" s="115"/>
      <c r="M80" s="116"/>
      <c r="N80" s="116"/>
    </row>
    <row r="81" spans="1:15" s="131" customFormat="1" ht="13.5">
      <c r="B81" s="198" t="s">
        <v>101</v>
      </c>
      <c r="C81" s="198"/>
      <c r="D81" s="198"/>
      <c r="E81" s="198"/>
      <c r="F81" s="198"/>
      <c r="G81" s="131">
        <f t="shared" si="3"/>
        <v>0</v>
      </c>
      <c r="H81" s="131">
        <v>10</v>
      </c>
      <c r="I81" s="152">
        <f t="shared" si="4"/>
        <v>10</v>
      </c>
      <c r="J81" s="187">
        <f>Jan!I81+Feb!I81+Mar!I81+Apr!I81</f>
        <v>40</v>
      </c>
      <c r="K81" s="174"/>
      <c r="L81" s="115"/>
      <c r="M81" s="116"/>
      <c r="N81" s="116"/>
    </row>
    <row r="82" spans="1:15" s="131" customFormat="1" ht="13.5">
      <c r="B82" s="198" t="s">
        <v>102</v>
      </c>
      <c r="C82" s="198"/>
      <c r="D82" s="198"/>
      <c r="E82" s="198"/>
      <c r="F82" s="198"/>
      <c r="G82" s="131">
        <f t="shared" si="3"/>
        <v>39</v>
      </c>
      <c r="H82" s="131">
        <v>10</v>
      </c>
      <c r="I82" s="152">
        <f t="shared" si="4"/>
        <v>-29</v>
      </c>
      <c r="J82" s="187">
        <f>Jan!I82+Feb!I82+Mar!I82+Apr!I82</f>
        <v>-26.939999999999998</v>
      </c>
      <c r="K82" s="174"/>
      <c r="L82" s="115"/>
      <c r="M82" s="116"/>
      <c r="N82" s="116">
        <v>39</v>
      </c>
    </row>
    <row r="83" spans="1:15" s="131" customFormat="1" ht="13.5">
      <c r="B83" s="198" t="s">
        <v>383</v>
      </c>
      <c r="C83" s="198"/>
      <c r="D83" s="198"/>
      <c r="E83" s="198"/>
      <c r="F83" s="198"/>
      <c r="G83" s="131">
        <f t="shared" si="3"/>
        <v>61.89</v>
      </c>
      <c r="H83" s="131">
        <v>10</v>
      </c>
      <c r="I83" s="152">
        <f t="shared" si="4"/>
        <v>-51.89</v>
      </c>
      <c r="J83" s="187">
        <f>Jan!I83+Feb!I83+Mar!I83+Apr!I83</f>
        <v>-21.89</v>
      </c>
      <c r="K83" s="174"/>
      <c r="L83" s="115"/>
      <c r="M83" s="116">
        <f>(44.91-7)+23.98</f>
        <v>61.89</v>
      </c>
      <c r="N83" s="116"/>
      <c r="O83" s="131" t="s">
        <v>634</v>
      </c>
    </row>
    <row r="84" spans="1:15" s="131" customFormat="1" ht="13.5">
      <c r="I84" s="152"/>
      <c r="J84" s="187"/>
      <c r="K84" s="174"/>
      <c r="L84" s="115"/>
      <c r="M84" s="116"/>
      <c r="N84" s="116"/>
    </row>
    <row r="85" spans="1:15" s="131" customFormat="1" ht="13.5">
      <c r="A85" s="149" t="s">
        <v>110</v>
      </c>
      <c r="B85" s="149">
        <f>SUM(G86:G88)</f>
        <v>116.18</v>
      </c>
      <c r="C85" s="149">
        <f>SUM(H86:H88)</f>
        <v>115</v>
      </c>
      <c r="D85" s="149">
        <f>C85-B85</f>
        <v>-1.1800000000000068</v>
      </c>
      <c r="I85" s="152"/>
      <c r="J85" s="187"/>
      <c r="K85" s="174"/>
      <c r="L85" s="115"/>
      <c r="M85" s="116"/>
      <c r="N85" s="116"/>
    </row>
    <row r="86" spans="1:15" s="131" customFormat="1" ht="13.5">
      <c r="B86" s="198" t="s">
        <v>389</v>
      </c>
      <c r="C86" s="198"/>
      <c r="D86" s="198"/>
      <c r="E86" s="198"/>
      <c r="F86" s="198"/>
      <c r="G86" s="131">
        <f t="shared" si="3"/>
        <v>0</v>
      </c>
      <c r="H86" s="131">
        <v>30</v>
      </c>
      <c r="I86" s="152">
        <f t="shared" si="4"/>
        <v>30</v>
      </c>
      <c r="J86" s="187">
        <f>Jan!I86+Feb!I86+Mar!I86+Apr!I86</f>
        <v>42.930000000000007</v>
      </c>
      <c r="K86" s="174"/>
      <c r="L86" s="115"/>
      <c r="M86" s="116"/>
      <c r="N86" s="116"/>
    </row>
    <row r="87" spans="1:15" s="131" customFormat="1" ht="13.5">
      <c r="B87" s="198" t="s">
        <v>111</v>
      </c>
      <c r="C87" s="198"/>
      <c r="D87" s="198"/>
      <c r="E87" s="198"/>
      <c r="F87" s="198"/>
      <c r="G87" s="131">
        <f t="shared" si="3"/>
        <v>0</v>
      </c>
      <c r="H87" s="131">
        <v>20</v>
      </c>
      <c r="I87" s="152">
        <f t="shared" si="4"/>
        <v>20</v>
      </c>
      <c r="J87" s="187">
        <f>Jan!I87+Feb!I87+Mar!I87+Apr!I87</f>
        <v>-153.39999999999998</v>
      </c>
      <c r="K87" s="174"/>
      <c r="L87" s="115"/>
      <c r="M87" s="116"/>
      <c r="N87" s="116"/>
    </row>
    <row r="88" spans="1:15" s="131" customFormat="1" ht="13.5">
      <c r="B88" s="131" t="s">
        <v>391</v>
      </c>
      <c r="G88" s="131">
        <f t="shared" si="3"/>
        <v>116.18</v>
      </c>
      <c r="H88" s="131">
        <v>65</v>
      </c>
      <c r="I88" s="152">
        <f t="shared" si="4"/>
        <v>-51.180000000000007</v>
      </c>
      <c r="J88" s="187">
        <f>Jan!I88+Feb!I88+Mar!I88+Apr!I88</f>
        <v>-170.32999999999998</v>
      </c>
      <c r="K88" s="174"/>
      <c r="L88" s="115"/>
      <c r="M88" s="116">
        <f>62.26+53.92</f>
        <v>116.18</v>
      </c>
      <c r="N88" s="116"/>
    </row>
    <row r="89" spans="1:15" s="131" customFormat="1" ht="13.5">
      <c r="I89" s="152"/>
      <c r="J89" s="187"/>
      <c r="K89" s="174"/>
      <c r="L89" s="115"/>
      <c r="M89" s="116"/>
      <c r="N89" s="116"/>
    </row>
    <row r="90" spans="1:15" s="131" customFormat="1" ht="13.5">
      <c r="A90" s="149" t="s">
        <v>112</v>
      </c>
      <c r="B90" s="149">
        <f>SUM(G91:G95)</f>
        <v>143.34</v>
      </c>
      <c r="C90" s="149">
        <f>SUM(H91:H95)</f>
        <v>220</v>
      </c>
      <c r="D90" s="149">
        <f>C90-B90</f>
        <v>76.66</v>
      </c>
      <c r="I90" s="152"/>
      <c r="J90" s="187"/>
      <c r="K90" s="174"/>
      <c r="L90" s="115"/>
      <c r="M90" s="116"/>
      <c r="N90" s="116"/>
    </row>
    <row r="91" spans="1:15" s="131" customFormat="1" ht="13.5">
      <c r="B91" s="131" t="s">
        <v>113</v>
      </c>
      <c r="G91" s="131">
        <f t="shared" si="3"/>
        <v>35.36</v>
      </c>
      <c r="H91" s="131">
        <v>40</v>
      </c>
      <c r="I91" s="152">
        <f t="shared" si="4"/>
        <v>4.6400000000000006</v>
      </c>
      <c r="J91" s="187">
        <f>Jan!I91+Feb!I91+Mar!I91+Apr!I91</f>
        <v>49.65</v>
      </c>
      <c r="K91" s="174"/>
      <c r="L91" s="115"/>
      <c r="M91" s="116">
        <f>35.36</f>
        <v>35.36</v>
      </c>
      <c r="N91" s="116"/>
    </row>
    <row r="92" spans="1:15" s="131" customFormat="1" ht="13.5">
      <c r="B92" s="131" t="s">
        <v>114</v>
      </c>
      <c r="D92" s="131" t="s">
        <v>115</v>
      </c>
      <c r="G92" s="131">
        <f t="shared" si="3"/>
        <v>0</v>
      </c>
      <c r="H92" s="131">
        <v>120</v>
      </c>
      <c r="I92" s="152">
        <f t="shared" si="4"/>
        <v>120</v>
      </c>
      <c r="J92" s="187">
        <f>Jan!I92+Feb!I92+Mar!I92+Apr!I92</f>
        <v>216</v>
      </c>
      <c r="K92" s="174"/>
      <c r="L92" s="115"/>
      <c r="M92" s="116"/>
      <c r="N92" s="116"/>
    </row>
    <row r="93" spans="1:15" s="131" customFormat="1" ht="13.5">
      <c r="B93" s="131" t="s">
        <v>116</v>
      </c>
      <c r="G93" s="131">
        <f t="shared" si="3"/>
        <v>36.090000000000003</v>
      </c>
      <c r="H93" s="131">
        <v>20</v>
      </c>
      <c r="I93" s="152">
        <f t="shared" si="4"/>
        <v>-16.090000000000003</v>
      </c>
      <c r="J93" s="187">
        <f>Jan!I93+Feb!I93+Mar!I93+Apr!I93</f>
        <v>6.9699999999999953</v>
      </c>
      <c r="K93" s="174"/>
      <c r="L93" s="115"/>
      <c r="M93" s="116">
        <v>36.090000000000003</v>
      </c>
      <c r="N93" s="116"/>
    </row>
    <row r="94" spans="1:15" s="131" customFormat="1" ht="13.5">
      <c r="A94" s="149"/>
      <c r="B94" s="131" t="s">
        <v>117</v>
      </c>
      <c r="G94" s="131">
        <f t="shared" si="3"/>
        <v>0</v>
      </c>
      <c r="H94" s="131">
        <v>20</v>
      </c>
      <c r="I94" s="152">
        <f t="shared" si="4"/>
        <v>20</v>
      </c>
      <c r="J94" s="187">
        <f>Jan!I94+Feb!I94+Mar!I94+Apr!I94</f>
        <v>-86.3</v>
      </c>
      <c r="K94" s="174"/>
      <c r="L94" s="115"/>
      <c r="M94" s="116"/>
      <c r="N94" s="116"/>
    </row>
    <row r="95" spans="1:15" s="131" customFormat="1" ht="13.5">
      <c r="A95" s="149"/>
      <c r="B95" s="131" t="s">
        <v>118</v>
      </c>
      <c r="G95" s="131">
        <f t="shared" si="3"/>
        <v>71.89</v>
      </c>
      <c r="H95" s="131">
        <v>20</v>
      </c>
      <c r="I95" s="152">
        <f t="shared" si="4"/>
        <v>-51.89</v>
      </c>
      <c r="J95" s="187">
        <f>Jan!I95+Feb!I95+Mar!I95+Apr!I95</f>
        <v>-148.04000000000002</v>
      </c>
      <c r="K95" s="174"/>
      <c r="L95" s="115"/>
      <c r="M95" s="116">
        <f>9.52+1.65+1.65+1.6+1.7+54+1.77</f>
        <v>71.89</v>
      </c>
      <c r="N95" s="116"/>
    </row>
    <row r="96" spans="1:15" s="131" customFormat="1" ht="13.5">
      <c r="A96" s="149"/>
      <c r="B96" s="149"/>
      <c r="I96" s="152"/>
      <c r="J96" s="187"/>
      <c r="K96" s="174"/>
      <c r="L96" s="115"/>
      <c r="M96" s="116"/>
      <c r="N96" s="116"/>
    </row>
    <row r="97" spans="1:15" s="131" customFormat="1" ht="13.5">
      <c r="A97" s="149" t="s">
        <v>119</v>
      </c>
      <c r="B97" s="149">
        <f>SUM(G98:G101)</f>
        <v>150</v>
      </c>
      <c r="C97" s="149">
        <f>SUM(H98:H101)</f>
        <v>435</v>
      </c>
      <c r="D97" s="149">
        <f>C97-B97</f>
        <v>285</v>
      </c>
      <c r="I97" s="152"/>
      <c r="J97" s="187"/>
      <c r="K97" s="174"/>
      <c r="L97" s="115"/>
      <c r="M97" s="116"/>
      <c r="N97" s="116"/>
    </row>
    <row r="98" spans="1:15" s="131" customFormat="1" ht="13.5">
      <c r="B98" s="198" t="s">
        <v>120</v>
      </c>
      <c r="C98" s="198"/>
      <c r="D98" s="198" t="s">
        <v>121</v>
      </c>
      <c r="E98" s="198"/>
      <c r="F98" s="198"/>
      <c r="G98" s="131">
        <f t="shared" si="3"/>
        <v>0</v>
      </c>
      <c r="H98" s="131">
        <v>150</v>
      </c>
      <c r="I98" s="152">
        <f t="shared" si="4"/>
        <v>150</v>
      </c>
      <c r="J98" s="187">
        <f>Jan!I98+Feb!I98+Mar!I98+Apr!I98</f>
        <v>600</v>
      </c>
      <c r="K98" s="174"/>
      <c r="L98" s="115"/>
      <c r="M98" s="116"/>
      <c r="N98" s="116"/>
    </row>
    <row r="99" spans="1:15" s="131" customFormat="1" ht="13.5">
      <c r="B99" s="198" t="s">
        <v>122</v>
      </c>
      <c r="C99" s="198"/>
      <c r="D99" s="198" t="s">
        <v>123</v>
      </c>
      <c r="E99" s="198"/>
      <c r="F99" s="198"/>
      <c r="G99" s="131">
        <f t="shared" si="3"/>
        <v>0</v>
      </c>
      <c r="H99" s="131">
        <v>20</v>
      </c>
      <c r="I99" s="152">
        <f t="shared" si="4"/>
        <v>20</v>
      </c>
      <c r="J99" s="187">
        <f>Jan!I99+Feb!I99+Mar!I99+Apr!I99</f>
        <v>-46.97</v>
      </c>
      <c r="K99" s="174"/>
      <c r="L99" s="115"/>
      <c r="M99" s="116"/>
      <c r="N99" s="116"/>
    </row>
    <row r="100" spans="1:15" s="131" customFormat="1" ht="13.5">
      <c r="A100" s="149"/>
      <c r="B100" s="131" t="s">
        <v>124</v>
      </c>
      <c r="G100" s="131">
        <f t="shared" si="3"/>
        <v>150</v>
      </c>
      <c r="H100" s="131">
        <v>215</v>
      </c>
      <c r="I100" s="152">
        <f t="shared" si="4"/>
        <v>65</v>
      </c>
      <c r="J100" s="187">
        <f>Jan!I100+Feb!I100+Mar!I100+Apr!I100</f>
        <v>102.5</v>
      </c>
      <c r="K100" s="174"/>
      <c r="L100" s="115">
        <v>150</v>
      </c>
      <c r="M100" s="116"/>
      <c r="N100" s="116"/>
    </row>
    <row r="101" spans="1:15" s="131" customFormat="1" ht="13.5">
      <c r="A101" s="149"/>
      <c r="B101" s="198" t="s">
        <v>125</v>
      </c>
      <c r="C101" s="198"/>
      <c r="D101" s="198"/>
      <c r="E101" s="198"/>
      <c r="F101" s="198"/>
      <c r="G101" s="131">
        <f t="shared" si="3"/>
        <v>0</v>
      </c>
      <c r="H101" s="131">
        <v>50</v>
      </c>
      <c r="I101" s="152">
        <f t="shared" si="4"/>
        <v>50</v>
      </c>
      <c r="J101" s="187">
        <f>Jan!I101+Feb!I101+Mar!I101+Apr!I101</f>
        <v>171.01999999999998</v>
      </c>
      <c r="K101" s="174"/>
      <c r="L101" s="115"/>
      <c r="M101" s="116"/>
      <c r="N101" s="116"/>
    </row>
    <row r="102" spans="1:15" s="131" customFormat="1" ht="13.5">
      <c r="A102" s="149"/>
      <c r="I102" s="152"/>
      <c r="J102" s="187"/>
      <c r="K102" s="174"/>
      <c r="L102" s="115"/>
      <c r="M102" s="116"/>
      <c r="N102" s="116"/>
    </row>
    <row r="103" spans="1:15" s="131" customFormat="1" ht="13.5">
      <c r="A103" s="149" t="s">
        <v>103</v>
      </c>
      <c r="B103" s="149">
        <f>SUM(G104:G110)</f>
        <v>629.41</v>
      </c>
      <c r="C103" s="149">
        <f>SUM(H104:H110)</f>
        <v>637</v>
      </c>
      <c r="D103" s="149">
        <f>C103-B103</f>
        <v>7.5900000000000318</v>
      </c>
      <c r="I103" s="152"/>
      <c r="J103" s="187"/>
      <c r="K103" s="174"/>
      <c r="L103" s="115"/>
      <c r="M103" s="116"/>
      <c r="N103" s="116"/>
    </row>
    <row r="104" spans="1:15" s="131" customFormat="1" ht="13.5">
      <c r="B104" s="131" t="s">
        <v>456</v>
      </c>
      <c r="G104" s="131">
        <f t="shared" si="3"/>
        <v>100</v>
      </c>
      <c r="H104" s="131">
        <v>50</v>
      </c>
      <c r="I104" s="152">
        <f t="shared" si="4"/>
        <v>-50</v>
      </c>
      <c r="J104" s="187">
        <f>Jan!I104+Feb!I104+Mar!I104+Apr!I104</f>
        <v>-60</v>
      </c>
      <c r="K104" s="174"/>
      <c r="L104" s="115">
        <v>100</v>
      </c>
      <c r="M104" s="116"/>
      <c r="N104" s="116"/>
      <c r="O104" s="231">
        <v>41398</v>
      </c>
    </row>
    <row r="105" spans="1:15" s="131" customFormat="1" ht="13.5">
      <c r="B105" s="131" t="s">
        <v>105</v>
      </c>
      <c r="D105" s="131" t="s">
        <v>457</v>
      </c>
      <c r="E105" s="131" t="s">
        <v>496</v>
      </c>
      <c r="G105" s="131">
        <f t="shared" si="3"/>
        <v>488.74999999999994</v>
      </c>
      <c r="H105" s="131">
        <v>500</v>
      </c>
      <c r="I105" s="152">
        <f t="shared" si="4"/>
        <v>11.250000000000057</v>
      </c>
      <c r="J105" s="187">
        <f>Jan!I105+Feb!I105+Mar!I105+Apr!I105</f>
        <v>398.73</v>
      </c>
      <c r="K105" s="174"/>
      <c r="L105" s="115"/>
      <c r="M105" s="116">
        <f>7+(40.72-6.77)-25.98+80.86</f>
        <v>95.83</v>
      </c>
      <c r="N105" s="116">
        <f>26.94+58.6+27.55+21.44+72.93+62.04+25.39+21.95+76.08</f>
        <v>392.91999999999996</v>
      </c>
      <c r="O105" s="131" t="s">
        <v>593</v>
      </c>
    </row>
    <row r="106" spans="1:15" s="131" customFormat="1" ht="13.5">
      <c r="B106" s="131" t="s">
        <v>392</v>
      </c>
      <c r="G106" s="131">
        <f t="shared" si="3"/>
        <v>0</v>
      </c>
      <c r="H106" s="131">
        <v>27</v>
      </c>
      <c r="I106" s="152">
        <f t="shared" si="4"/>
        <v>27</v>
      </c>
      <c r="J106" s="187">
        <f>Jan!I106+Feb!I106+Mar!I106+Apr!I106</f>
        <v>31.75</v>
      </c>
      <c r="K106" s="174"/>
      <c r="L106" s="115"/>
      <c r="M106" s="116"/>
      <c r="N106" s="116"/>
    </row>
    <row r="107" spans="1:15" s="131" customFormat="1" ht="13.5">
      <c r="B107" s="131" t="s">
        <v>106</v>
      </c>
      <c r="G107" s="131">
        <f t="shared" si="3"/>
        <v>0</v>
      </c>
      <c r="H107" s="131">
        <v>15</v>
      </c>
      <c r="I107" s="152">
        <f t="shared" si="4"/>
        <v>15</v>
      </c>
      <c r="J107" s="187">
        <f>Jan!I107+Feb!I107+Mar!I107+Apr!I107</f>
        <v>40.71</v>
      </c>
      <c r="K107" s="174"/>
      <c r="L107" s="115"/>
      <c r="M107" s="116"/>
      <c r="N107" s="116"/>
    </row>
    <row r="108" spans="1:15" s="131" customFormat="1" ht="13.5">
      <c r="B108" s="131" t="s">
        <v>107</v>
      </c>
      <c r="G108" s="131">
        <f t="shared" si="3"/>
        <v>6.77</v>
      </c>
      <c r="H108" s="131">
        <v>20</v>
      </c>
      <c r="I108" s="152">
        <f t="shared" si="4"/>
        <v>13.23</v>
      </c>
      <c r="J108" s="187">
        <f>Jan!I108+Feb!I108+Mar!I108+Apr!I108</f>
        <v>0.33999999999999986</v>
      </c>
      <c r="K108" s="174"/>
      <c r="L108" s="115"/>
      <c r="M108" s="116">
        <v>6.77</v>
      </c>
      <c r="N108" s="116"/>
    </row>
    <row r="109" spans="1:15" s="131" customFormat="1" ht="13.5">
      <c r="B109" s="131" t="s">
        <v>108</v>
      </c>
      <c r="G109" s="131">
        <f t="shared" si="3"/>
        <v>33.89</v>
      </c>
      <c r="H109" s="131">
        <v>20</v>
      </c>
      <c r="I109" s="152">
        <f t="shared" si="4"/>
        <v>-13.89</v>
      </c>
      <c r="J109" s="187">
        <f>Jan!I109+Feb!I109+Mar!I109+Apr!I109</f>
        <v>-4.2500000000000018</v>
      </c>
      <c r="K109" s="174"/>
      <c r="L109" s="115"/>
      <c r="M109" s="116">
        <f>(39.92-23.98)</f>
        <v>15.940000000000001</v>
      </c>
      <c r="N109" s="116">
        <v>17.95</v>
      </c>
    </row>
    <row r="110" spans="1:15" s="131" customFormat="1" ht="13.5">
      <c r="B110" s="131" t="s">
        <v>109</v>
      </c>
      <c r="G110" s="131">
        <f t="shared" si="3"/>
        <v>0</v>
      </c>
      <c r="H110" s="131">
        <v>5</v>
      </c>
      <c r="I110" s="152">
        <f t="shared" si="4"/>
        <v>5</v>
      </c>
      <c r="J110" s="187">
        <f>Jan!I110+Feb!I110+Mar!I110+Apr!I110</f>
        <v>3.9999999999999147E-2</v>
      </c>
      <c r="K110" s="174"/>
      <c r="L110" s="115"/>
      <c r="M110" s="116"/>
      <c r="N110" s="116"/>
    </row>
    <row r="111" spans="1:15" s="131" customFormat="1" ht="13.5">
      <c r="I111" s="152"/>
      <c r="J111" s="187"/>
      <c r="K111" s="174"/>
      <c r="L111" s="115"/>
      <c r="M111" s="116"/>
      <c r="N111" s="116"/>
    </row>
    <row r="112" spans="1:15" s="131" customFormat="1" ht="13.5">
      <c r="A112" s="149" t="s">
        <v>407</v>
      </c>
      <c r="B112" s="149">
        <f>G113+G114</f>
        <v>0</v>
      </c>
      <c r="C112" s="149">
        <f>H113</f>
        <v>20</v>
      </c>
      <c r="D112" s="149">
        <f>C112-B112</f>
        <v>20</v>
      </c>
      <c r="I112" s="152"/>
      <c r="J112" s="187"/>
      <c r="K112" s="174"/>
      <c r="L112" s="115"/>
      <c r="M112" s="116"/>
      <c r="N112" s="116"/>
    </row>
    <row r="113" spans="1:15" s="131" customFormat="1" ht="13.5">
      <c r="B113" s="131" t="s">
        <v>408</v>
      </c>
      <c r="G113" s="131">
        <f t="shared" si="3"/>
        <v>0</v>
      </c>
      <c r="H113" s="131">
        <v>20</v>
      </c>
      <c r="I113" s="152">
        <f t="shared" si="4"/>
        <v>20</v>
      </c>
      <c r="J113" s="187">
        <f>Jan!I113+Feb!I113+Mar!I113+Apr!I113</f>
        <v>61.14</v>
      </c>
      <c r="K113" s="174"/>
      <c r="L113" s="115"/>
      <c r="M113" s="116"/>
      <c r="N113" s="116"/>
    </row>
    <row r="114" spans="1:15" s="131" customFormat="1" ht="13.5">
      <c r="I114" s="152"/>
      <c r="J114" s="187"/>
      <c r="K114" s="174"/>
      <c r="L114" s="115"/>
      <c r="M114" s="116"/>
      <c r="N114" s="116"/>
    </row>
    <row r="115" spans="1:15" s="131" customFormat="1" ht="13.5">
      <c r="I115" s="152"/>
      <c r="J115" s="187"/>
      <c r="K115" s="174"/>
      <c r="L115" s="115"/>
      <c r="M115" s="116"/>
      <c r="N115" s="116"/>
    </row>
    <row r="116" spans="1:15" s="131" customFormat="1" ht="13.5">
      <c r="A116" s="149" t="s">
        <v>130</v>
      </c>
      <c r="B116" s="149">
        <f>G117</f>
        <v>137.87</v>
      </c>
      <c r="C116" s="149">
        <f>H117</f>
        <v>10</v>
      </c>
      <c r="D116" s="149">
        <f>I117</f>
        <v>-127.87</v>
      </c>
      <c r="I116" s="152"/>
      <c r="J116" s="187"/>
      <c r="K116" s="174"/>
      <c r="L116" s="115"/>
      <c r="M116" s="116"/>
      <c r="N116" s="116"/>
    </row>
    <row r="117" spans="1:15" s="131" customFormat="1" ht="13.5">
      <c r="B117" s="131" t="s">
        <v>455</v>
      </c>
      <c r="G117" s="131">
        <f t="shared" si="3"/>
        <v>137.87</v>
      </c>
      <c r="H117" s="131">
        <v>10</v>
      </c>
      <c r="I117" s="152">
        <f t="shared" si="4"/>
        <v>-127.87</v>
      </c>
      <c r="J117" s="187">
        <f>Jan!I117+Feb!I117+Mar!I117+Apr!I117</f>
        <v>-450.51</v>
      </c>
      <c r="K117" s="174"/>
      <c r="L117" s="115"/>
      <c r="M117" s="116">
        <f>34.76+103.11</f>
        <v>137.87</v>
      </c>
      <c r="N117" s="116"/>
      <c r="O117" s="131" t="s">
        <v>628</v>
      </c>
    </row>
    <row r="118" spans="1:15" s="131" customFormat="1" ht="13.5">
      <c r="I118" s="152"/>
      <c r="J118" s="187"/>
      <c r="K118" s="174"/>
      <c r="L118" s="115"/>
      <c r="M118" s="116"/>
      <c r="N118" s="116"/>
    </row>
    <row r="119" spans="1:15" s="131" customFormat="1" ht="13.5">
      <c r="A119" s="149" t="s">
        <v>406</v>
      </c>
      <c r="B119" s="149">
        <f>SUM(G120:G121)</f>
        <v>86.73</v>
      </c>
      <c r="C119" s="149">
        <f>SUM(H120:H121)</f>
        <v>65</v>
      </c>
      <c r="D119" s="149">
        <f>C119-B119</f>
        <v>-21.730000000000004</v>
      </c>
      <c r="I119" s="152"/>
      <c r="J119" s="187"/>
      <c r="K119" s="174"/>
      <c r="L119" s="115"/>
      <c r="M119" s="116"/>
      <c r="N119" s="116"/>
    </row>
    <row r="120" spans="1:15" s="131" customFormat="1" ht="13.5">
      <c r="B120" s="131" t="s">
        <v>400</v>
      </c>
      <c r="G120" s="131">
        <f t="shared" si="3"/>
        <v>86.73</v>
      </c>
      <c r="H120" s="131">
        <v>60</v>
      </c>
      <c r="I120" s="152">
        <f t="shared" si="4"/>
        <v>-26.730000000000004</v>
      </c>
      <c r="J120" s="187">
        <f>Jan!I120+Feb!I120+Mar!I120+Apr!I120</f>
        <v>-378.85</v>
      </c>
      <c r="K120" s="174"/>
      <c r="L120" s="115"/>
      <c r="M120" s="115">
        <f>29+12.89+44.84</f>
        <v>86.73</v>
      </c>
      <c r="N120" s="115"/>
    </row>
    <row r="121" spans="1:15" s="131" customFormat="1" ht="13.5">
      <c r="B121" s="131" t="s">
        <v>403</v>
      </c>
      <c r="G121" s="131">
        <f t="shared" si="3"/>
        <v>0</v>
      </c>
      <c r="H121" s="131">
        <v>5</v>
      </c>
      <c r="I121" s="152">
        <f t="shared" si="4"/>
        <v>5</v>
      </c>
      <c r="J121" s="187">
        <f>Jan!I121+Feb!I121+Mar!I121+Apr!I121</f>
        <v>-31.5</v>
      </c>
      <c r="K121" s="174"/>
      <c r="L121" s="115"/>
      <c r="M121" s="115"/>
      <c r="N121" s="115"/>
    </row>
    <row r="122" spans="1:15" s="131" customFormat="1" ht="13.5">
      <c r="I122" s="152"/>
      <c r="J122" s="187"/>
      <c r="K122" s="174"/>
      <c r="L122" s="115"/>
      <c r="M122" s="115"/>
      <c r="N122" s="115"/>
    </row>
    <row r="123" spans="1:15" s="131" customFormat="1" ht="13.5">
      <c r="A123" s="149" t="s">
        <v>132</v>
      </c>
      <c r="B123" s="149">
        <f>G124</f>
        <v>5.97</v>
      </c>
      <c r="C123" s="149">
        <f>H124</f>
        <v>10</v>
      </c>
      <c r="D123" s="149">
        <f>C123-B123</f>
        <v>4.03</v>
      </c>
      <c r="I123" s="152"/>
      <c r="J123" s="187"/>
      <c r="K123" s="174"/>
      <c r="L123" s="115"/>
      <c r="M123" s="115"/>
      <c r="N123" s="115"/>
    </row>
    <row r="124" spans="1:15" s="131" customFormat="1" ht="13.5">
      <c r="B124" s="131" t="s">
        <v>133</v>
      </c>
      <c r="G124" s="131">
        <f>SUM(L124:N124)</f>
        <v>5.97</v>
      </c>
      <c r="H124" s="131">
        <v>10</v>
      </c>
      <c r="I124" s="152">
        <f>H124-G124</f>
        <v>4.03</v>
      </c>
      <c r="J124" s="187">
        <f>Jan!I124+Feb!I124+Mar!I124+Apr!I124</f>
        <v>12.780000000000001</v>
      </c>
      <c r="K124" s="174"/>
      <c r="L124" s="115"/>
      <c r="M124" s="115">
        <v>5.97</v>
      </c>
      <c r="N124" s="115"/>
    </row>
    <row r="125" spans="1:15" s="131" customFormat="1" ht="13.5">
      <c r="I125" s="152"/>
      <c r="J125" s="187"/>
      <c r="K125" s="174"/>
      <c r="L125" s="115"/>
      <c r="M125" s="115"/>
      <c r="N125" s="115"/>
    </row>
    <row r="126" spans="1:15" s="131" customFormat="1" ht="13.5">
      <c r="A126" s="149" t="s">
        <v>404</v>
      </c>
      <c r="B126" s="149">
        <f>SUM(G127:G128)</f>
        <v>43.95</v>
      </c>
      <c r="C126" s="149">
        <f>SUM(H127:H128)</f>
        <v>35</v>
      </c>
      <c r="D126" s="149">
        <f>C126-B126</f>
        <v>-8.9500000000000028</v>
      </c>
      <c r="I126" s="152"/>
      <c r="J126" s="187"/>
      <c r="K126" s="174"/>
      <c r="L126" s="115"/>
      <c r="M126" s="115"/>
      <c r="N126" s="115"/>
    </row>
    <row r="127" spans="1:15" s="131" customFormat="1" ht="13.5">
      <c r="B127" s="198" t="s">
        <v>128</v>
      </c>
      <c r="C127" s="198"/>
      <c r="D127" s="198"/>
      <c r="E127" s="198"/>
      <c r="F127" s="198"/>
      <c r="G127" s="131">
        <f>SUM(L127:N127)</f>
        <v>43.95</v>
      </c>
      <c r="H127" s="131">
        <v>20</v>
      </c>
      <c r="I127" s="152">
        <f>H127-G127</f>
        <v>-23.950000000000003</v>
      </c>
      <c r="J127" s="187">
        <f>Jan!I127+Feb!I127+Mar!I127+Apr!I127</f>
        <v>-22.85</v>
      </c>
      <c r="K127" s="174"/>
      <c r="L127" s="115"/>
      <c r="M127" s="115">
        <f>24.96+18.99</f>
        <v>43.95</v>
      </c>
      <c r="N127" s="115"/>
      <c r="O127" s="131" t="s">
        <v>604</v>
      </c>
    </row>
    <row r="128" spans="1:15" s="131" customFormat="1" ht="13.5">
      <c r="B128" s="198" t="s">
        <v>129</v>
      </c>
      <c r="C128" s="198"/>
      <c r="D128" s="198" t="s">
        <v>405</v>
      </c>
      <c r="E128" s="198"/>
      <c r="F128" s="198"/>
      <c r="G128" s="131">
        <f>SUM(L128:N128)</f>
        <v>0</v>
      </c>
      <c r="H128" s="131">
        <v>15</v>
      </c>
      <c r="I128" s="152">
        <f>H128-G128</f>
        <v>15</v>
      </c>
      <c r="J128" s="187">
        <f>Jan!I128+Feb!I128+Mar!I128+Apr!I128</f>
        <v>49.04</v>
      </c>
      <c r="K128" s="174"/>
      <c r="L128" s="115"/>
      <c r="M128" s="115"/>
      <c r="N128" s="115"/>
    </row>
    <row r="129" spans="1:14" s="131" customFormat="1" ht="13.5">
      <c r="I129" s="152"/>
      <c r="J129" s="187"/>
      <c r="K129" s="174"/>
      <c r="L129" s="115"/>
      <c r="M129" s="115"/>
      <c r="N129" s="115"/>
    </row>
    <row r="130" spans="1:14" s="131" customFormat="1" ht="14.25" thickBot="1">
      <c r="I130" s="152"/>
      <c r="J130" s="187"/>
      <c r="K130" s="174"/>
      <c r="L130" s="115"/>
      <c r="M130" s="115"/>
      <c r="N130" s="115"/>
    </row>
    <row r="131" spans="1:14" s="131" customFormat="1" ht="14.25" thickBot="1">
      <c r="A131" s="149" t="s">
        <v>436</v>
      </c>
      <c r="B131" s="131">
        <f>SUM(G133:G140)</f>
        <v>0</v>
      </c>
      <c r="C131" s="131">
        <f>SUM(H133:H140)</f>
        <v>450</v>
      </c>
      <c r="D131" s="131">
        <f>C131-B131</f>
        <v>450</v>
      </c>
      <c r="E131" s="185"/>
      <c r="I131" s="152"/>
      <c r="J131" s="187">
        <f>Jan!I131+Feb!I131+Mar!I131+Apr!I131</f>
        <v>0</v>
      </c>
      <c r="K131" s="174"/>
      <c r="L131" s="115"/>
      <c r="M131" s="115"/>
      <c r="N131" s="115"/>
    </row>
    <row r="132" spans="1:14" s="131" customFormat="1" ht="13.5">
      <c r="A132" s="149" t="s">
        <v>437</v>
      </c>
      <c r="I132" s="152"/>
      <c r="J132" s="187"/>
      <c r="K132" s="174"/>
      <c r="L132" s="115"/>
      <c r="M132" s="115"/>
      <c r="N132" s="115"/>
    </row>
    <row r="133" spans="1:14" s="131" customFormat="1" ht="13.5">
      <c r="A133" s="149" t="s">
        <v>418</v>
      </c>
      <c r="B133" s="131" t="s">
        <v>445</v>
      </c>
      <c r="G133" s="131">
        <f t="shared" ref="G133:G140" si="5">SUM(L133:N133)</f>
        <v>0</v>
      </c>
      <c r="H133" s="131">
        <v>100</v>
      </c>
      <c r="I133" s="152">
        <f t="shared" ref="I133:I140" si="6">H133-G133</f>
        <v>100</v>
      </c>
      <c r="J133" s="187">
        <f>Jan!I133+Feb!I133+Mar!I133+Apr!I133</f>
        <v>400</v>
      </c>
      <c r="K133" s="174"/>
      <c r="L133" s="115"/>
      <c r="M133" s="115"/>
      <c r="N133" s="115"/>
    </row>
    <row r="134" spans="1:14" s="131" customFormat="1" ht="13.5">
      <c r="A134" s="149" t="s">
        <v>516</v>
      </c>
      <c r="I134" s="152"/>
      <c r="J134" s="187"/>
      <c r="K134" s="174"/>
      <c r="L134" s="115"/>
      <c r="M134" s="115"/>
      <c r="N134" s="115"/>
    </row>
    <row r="135" spans="1:14" s="131" customFormat="1" ht="13.5">
      <c r="B135" s="131" t="s">
        <v>401</v>
      </c>
      <c r="G135" s="131">
        <f t="shared" si="5"/>
        <v>0</v>
      </c>
      <c r="H135" s="131">
        <v>100</v>
      </c>
      <c r="I135" s="152">
        <f t="shared" si="6"/>
        <v>100</v>
      </c>
      <c r="J135" s="187">
        <f>Jan!I135+Feb!I135+Mar!I135+Apr!I135</f>
        <v>400</v>
      </c>
      <c r="K135" s="174"/>
      <c r="L135" s="115"/>
      <c r="M135" s="115"/>
      <c r="N135" s="115"/>
    </row>
    <row r="136" spans="1:14" s="131" customFormat="1" ht="13.5">
      <c r="B136" s="131" t="s">
        <v>402</v>
      </c>
      <c r="G136" s="131">
        <f t="shared" si="5"/>
        <v>0</v>
      </c>
      <c r="H136" s="131">
        <v>100</v>
      </c>
      <c r="I136" s="152">
        <f t="shared" si="6"/>
        <v>100</v>
      </c>
      <c r="J136" s="187">
        <f>Jan!I136+Feb!I136+Mar!I136+Apr!I136</f>
        <v>400</v>
      </c>
      <c r="K136" s="174"/>
      <c r="L136" s="115"/>
      <c r="M136" s="115"/>
      <c r="N136" s="115"/>
    </row>
    <row r="137" spans="1:14" s="131" customFormat="1" ht="13.5">
      <c r="B137" s="131" t="s">
        <v>126</v>
      </c>
      <c r="G137" s="131">
        <f t="shared" si="5"/>
        <v>0</v>
      </c>
      <c r="H137" s="131">
        <v>30</v>
      </c>
      <c r="I137" s="152">
        <f t="shared" si="6"/>
        <v>30</v>
      </c>
      <c r="J137" s="187">
        <f>Jan!I137+Feb!I137+Mar!I137+Apr!I137</f>
        <v>120</v>
      </c>
      <c r="K137" s="174"/>
      <c r="L137" s="115"/>
      <c r="M137" s="115"/>
      <c r="N137" s="115"/>
    </row>
    <row r="138" spans="1:14" s="131" customFormat="1" ht="13.5">
      <c r="B138" s="131" t="s">
        <v>127</v>
      </c>
      <c r="G138" s="131">
        <f t="shared" si="5"/>
        <v>0</v>
      </c>
      <c r="H138" s="131">
        <v>50</v>
      </c>
      <c r="I138" s="152">
        <f t="shared" si="6"/>
        <v>50</v>
      </c>
      <c r="J138" s="187">
        <f>Jan!I138+Feb!I138+Mar!I138+Apr!I138</f>
        <v>200</v>
      </c>
      <c r="K138" s="174"/>
      <c r="L138" s="115"/>
      <c r="M138" s="115"/>
      <c r="N138" s="115"/>
    </row>
    <row r="139" spans="1:14" s="131" customFormat="1" ht="13.5">
      <c r="I139" s="152"/>
      <c r="J139" s="187"/>
      <c r="K139" s="179"/>
      <c r="L139" s="115"/>
      <c r="M139" s="115"/>
      <c r="N139" s="115"/>
    </row>
    <row r="140" spans="1:14" s="131" customFormat="1" ht="13.5">
      <c r="A140" s="149" t="s">
        <v>431</v>
      </c>
      <c r="G140" s="131">
        <f t="shared" si="5"/>
        <v>0</v>
      </c>
      <c r="H140" s="131">
        <v>70</v>
      </c>
      <c r="I140" s="152">
        <f t="shared" si="6"/>
        <v>70</v>
      </c>
      <c r="J140" s="187">
        <f>Jan!I140+Feb!I140+Mar!I140+Apr!I140</f>
        <v>280</v>
      </c>
      <c r="K140" s="179"/>
      <c r="L140" s="115"/>
      <c r="M140" s="115"/>
      <c r="N140" s="115"/>
    </row>
    <row r="141" spans="1:14">
      <c r="J141" s="190"/>
    </row>
    <row r="142" spans="1:14">
      <c r="J142" s="190"/>
    </row>
    <row r="143" spans="1:14">
      <c r="J143" s="190"/>
    </row>
    <row r="144" spans="1:14">
      <c r="J144" s="190"/>
    </row>
    <row r="145" spans="10:10">
      <c r="J145" s="190"/>
    </row>
    <row r="146" spans="10:10">
      <c r="J146" s="190"/>
    </row>
    <row r="147" spans="10:10">
      <c r="J147" s="190"/>
    </row>
    <row r="148" spans="10:10">
      <c r="J148" s="190"/>
    </row>
    <row r="149" spans="10:10">
      <c r="J149" s="190"/>
    </row>
    <row r="150" spans="10:10">
      <c r="J150" s="190"/>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Overview</vt:lpstr>
      <vt:lpstr>Summary</vt:lpstr>
      <vt:lpstr>Budgeting</vt:lpstr>
      <vt:lpstr>Tithe</vt:lpstr>
      <vt:lpstr>Utilities</vt:lpstr>
      <vt:lpstr>Jan</vt:lpstr>
      <vt:lpstr>Feb</vt:lpstr>
      <vt:lpstr>Mar</vt:lpstr>
      <vt:lpstr>Apr</vt:lpstr>
      <vt:lpstr>May</vt:lpstr>
      <vt:lpstr>Jun</vt:lpstr>
      <vt:lpstr>July</vt:lpstr>
      <vt:lpstr>Aug</vt:lpstr>
      <vt:lpstr>Sep</vt:lpstr>
      <vt:lpstr>Oct</vt:lpstr>
      <vt:lpstr>Nov</vt:lpstr>
      <vt:lpstr>Dec</vt:lpstr>
      <vt:lpstr>Saving</vt:lpstr>
      <vt:lpstr>2106-EZ</vt:lpstr>
      <vt:lpstr>Adams Street</vt:lpstr>
      <vt:lpstr>'2106-EZ'!Print_Area</vt:lpstr>
      <vt:lpstr>Tithe!Print_Area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Franes</dc:creator>
  <cp:lastModifiedBy>chris</cp:lastModifiedBy>
  <cp:lastPrinted>2014-04-04T20:14:28Z</cp:lastPrinted>
  <dcterms:created xsi:type="dcterms:W3CDTF">2012-08-12T19:52:52Z</dcterms:created>
  <dcterms:modified xsi:type="dcterms:W3CDTF">2015-02-04T00:19:44Z</dcterms:modified>
</cp:coreProperties>
</file>