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wnloads\Finance\Home Finance\"/>
    </mc:Choice>
  </mc:AlternateContent>
  <bookViews>
    <workbookView xWindow="0" yWindow="0" windowWidth="24000" windowHeight="9735" tabRatio="630" firstSheet="1" activeTab="1"/>
  </bookViews>
  <sheets>
    <sheet name="Overview" sheetId="23" r:id="rId1"/>
    <sheet name="Summary" sheetId="1" r:id="rId2"/>
    <sheet name="Budgeting" sheetId="2" r:id="rId3"/>
    <sheet name="Tithe" sheetId="3" r:id="rId4"/>
    <sheet name="Saving" sheetId="17" r:id="rId5"/>
    <sheet name="Utilities" sheetId="4" r:id="rId6"/>
    <sheet name="Heating" sheetId="22" r:id="rId7"/>
    <sheet name="Jan" sheetId="5" r:id="rId8"/>
    <sheet name="Feb" sheetId="6" r:id="rId9"/>
    <sheet name="Mar" sheetId="7" r:id="rId10"/>
    <sheet name="Apr" sheetId="8" r:id="rId11"/>
    <sheet name="May" sheetId="9" r:id="rId12"/>
    <sheet name="Jun" sheetId="10" r:id="rId13"/>
    <sheet name="July" sheetId="11" r:id="rId14"/>
    <sheet name="Aug" sheetId="12" r:id="rId15"/>
    <sheet name="Sep" sheetId="13" r:id="rId16"/>
    <sheet name="Oct" sheetId="14" r:id="rId17"/>
    <sheet name="Nov" sheetId="15" r:id="rId18"/>
    <sheet name="Dec" sheetId="16" r:id="rId19"/>
    <sheet name="2106EZ" sheetId="19" r:id="rId20"/>
    <sheet name="Glendale, NY" sheetId="24" r:id="rId21"/>
    <sheet name="Planning next year" sheetId="20" r:id="rId22"/>
    <sheet name="Sheet1" sheetId="25" r:id="rId23"/>
  </sheets>
  <definedNames>
    <definedName name="_xlnm.Print_Area" localSheetId="19">'2106EZ'!$A$1:$J$209</definedName>
    <definedName name="_xlnm.Print_Area" localSheetId="3">Tithe!$A$25:$F$42</definedName>
  </definedNames>
  <calcPr calcId="152511"/>
  <fileRecoveryPr repairLoad="1"/>
</workbook>
</file>

<file path=xl/calcChain.xml><?xml version="1.0" encoding="utf-8"?>
<calcChain xmlns="http://schemas.openxmlformats.org/spreadsheetml/2006/main">
  <c r="B36" i="19" l="1"/>
  <c r="F38" i="3" l="1"/>
  <c r="E62" i="19"/>
  <c r="C69" i="1" l="1"/>
  <c r="C74" i="1"/>
  <c r="C67" i="1"/>
  <c r="C73" i="1" l="1"/>
  <c r="C65" i="1"/>
  <c r="C63" i="1"/>
  <c r="D14" i="19"/>
  <c r="D20" i="19"/>
  <c r="D12" i="19"/>
  <c r="E164" i="19"/>
  <c r="D21" i="19" l="1"/>
  <c r="B37" i="19"/>
  <c r="E123" i="19"/>
  <c r="F59" i="1"/>
  <c r="C58" i="17"/>
  <c r="C85" i="19" l="1"/>
  <c r="L28" i="19"/>
  <c r="L29" i="19"/>
  <c r="L30" i="19"/>
  <c r="I50" i="1"/>
  <c r="I53" i="1" l="1"/>
  <c r="I54" i="1" l="1"/>
  <c r="I57" i="1"/>
  <c r="H57" i="1"/>
  <c r="G57" i="1"/>
  <c r="F57" i="1"/>
  <c r="E57" i="1"/>
  <c r="D57" i="1"/>
  <c r="L118" i="16" l="1"/>
  <c r="L118" i="14"/>
  <c r="L118" i="13"/>
  <c r="L114" i="10"/>
  <c r="O27" i="17"/>
  <c r="H56" i="24"/>
  <c r="H55" i="24"/>
  <c r="F28" i="24"/>
  <c r="L80" i="14"/>
  <c r="G144" i="2" l="1"/>
  <c r="G145" i="2"/>
  <c r="G146" i="2"/>
  <c r="G147" i="2"/>
  <c r="G148" i="2"/>
  <c r="G150" i="2"/>
  <c r="G141" i="2"/>
  <c r="G81" i="14" l="1"/>
  <c r="G69" i="2"/>
  <c r="C43" i="1"/>
  <c r="C41" i="1"/>
  <c r="H37" i="1"/>
  <c r="K55" i="17"/>
  <c r="O55" i="17" s="1"/>
  <c r="H38" i="1"/>
  <c r="G31" i="24"/>
  <c r="C53" i="24"/>
  <c r="H51" i="24"/>
  <c r="H54" i="24"/>
  <c r="C31" i="24"/>
  <c r="C26" i="24"/>
  <c r="C21" i="24"/>
  <c r="L80" i="16"/>
  <c r="F31" i="24"/>
  <c r="F21" i="24"/>
  <c r="D31" i="24"/>
  <c r="C15" i="24"/>
  <c r="C17" i="24" s="1"/>
  <c r="B104" i="17"/>
  <c r="B97" i="17"/>
  <c r="B103" i="17"/>
  <c r="K92" i="17"/>
  <c r="I92" i="17"/>
  <c r="L92" i="17"/>
  <c r="B118" i="17" s="1"/>
  <c r="O56" i="17"/>
  <c r="O77" i="17"/>
  <c r="G81" i="16"/>
  <c r="L81" i="16"/>
  <c r="M134" i="16"/>
  <c r="G83" i="15"/>
  <c r="M41" i="15"/>
  <c r="L81" i="15"/>
  <c r="L80" i="15"/>
  <c r="O68" i="22"/>
  <c r="F67" i="22"/>
  <c r="H67" i="22"/>
  <c r="AA92" i="22"/>
  <c r="Y92" i="22"/>
  <c r="W92" i="22"/>
  <c r="U92" i="22"/>
  <c r="S92" i="22"/>
  <c r="H92" i="22"/>
  <c r="O54" i="22"/>
  <c r="Q48" i="22"/>
  <c r="AE54" i="4"/>
  <c r="Z57" i="4"/>
  <c r="AD24" i="4"/>
  <c r="AD23" i="4"/>
  <c r="AD22" i="4"/>
  <c r="AD21" i="4"/>
  <c r="AD25" i="4"/>
  <c r="Z28" i="4"/>
  <c r="F218" i="3"/>
  <c r="H46" i="13"/>
  <c r="M46" i="13"/>
  <c r="N46" i="13"/>
  <c r="L46" i="13"/>
  <c r="L114" i="13"/>
  <c r="M80" i="13"/>
  <c r="M71" i="13"/>
  <c r="C20" i="24" l="1"/>
  <c r="N119" i="12"/>
  <c r="G81" i="15" l="1"/>
  <c r="L114" i="12"/>
  <c r="G81" i="13"/>
  <c r="G81" i="12"/>
  <c r="G81" i="11"/>
  <c r="B189" i="3"/>
  <c r="B204" i="3"/>
  <c r="B174" i="3"/>
  <c r="B159" i="3"/>
  <c r="O93" i="17"/>
  <c r="J92" i="17"/>
  <c r="C78" i="8" l="1"/>
  <c r="D78" i="8"/>
  <c r="G80" i="5"/>
  <c r="G79" i="5"/>
  <c r="D78" i="5"/>
  <c r="C78" i="5"/>
  <c r="G80" i="6"/>
  <c r="G79" i="6"/>
  <c r="D78" i="6"/>
  <c r="C78" i="6"/>
  <c r="G80" i="7"/>
  <c r="G79" i="7"/>
  <c r="D78" i="7"/>
  <c r="C78" i="7"/>
  <c r="G80" i="8"/>
  <c r="G79" i="8"/>
  <c r="B78" i="8"/>
  <c r="G80" i="9"/>
  <c r="G79" i="9"/>
  <c r="B78" i="9" s="1"/>
  <c r="D78" i="9"/>
  <c r="C78" i="9"/>
  <c r="G80" i="10"/>
  <c r="G79" i="10"/>
  <c r="D78" i="10"/>
  <c r="C78" i="10"/>
  <c r="G80" i="11"/>
  <c r="G79" i="11"/>
  <c r="D78" i="11"/>
  <c r="C78" i="11"/>
  <c r="C66" i="2"/>
  <c r="D66" i="2"/>
  <c r="G80" i="16"/>
  <c r="G79" i="16"/>
  <c r="D78" i="16"/>
  <c r="C78" i="16"/>
  <c r="G79" i="15"/>
  <c r="G80" i="15"/>
  <c r="D78" i="15"/>
  <c r="C78" i="15"/>
  <c r="G79" i="14"/>
  <c r="G67" i="2" s="1"/>
  <c r="G80" i="14"/>
  <c r="G68" i="2" s="1"/>
  <c r="C78" i="13"/>
  <c r="D78" i="13"/>
  <c r="G79" i="13"/>
  <c r="G80" i="13"/>
  <c r="G79" i="12"/>
  <c r="G80" i="12"/>
  <c r="C78" i="12"/>
  <c r="D78" i="12"/>
  <c r="C78" i="14"/>
  <c r="D78" i="14"/>
  <c r="G59" i="11"/>
  <c r="G59" i="12"/>
  <c r="B66" i="2" l="1"/>
  <c r="B78" i="16"/>
  <c r="B78" i="15"/>
  <c r="B78" i="14"/>
  <c r="B78" i="13"/>
  <c r="B78" i="11"/>
  <c r="B78" i="10"/>
  <c r="B78" i="7"/>
  <c r="B78" i="6"/>
  <c r="B78" i="5"/>
  <c r="B78" i="12"/>
  <c r="G58" i="12"/>
  <c r="N122" i="12"/>
  <c r="N139" i="12"/>
  <c r="M66" i="12"/>
  <c r="M67" i="12"/>
  <c r="M110" i="12"/>
  <c r="M119" i="12"/>
  <c r="M134" i="12"/>
  <c r="L118" i="12"/>
  <c r="AE45" i="4"/>
  <c r="AE48" i="4"/>
  <c r="AE51" i="4"/>
  <c r="N119" i="11"/>
  <c r="M122" i="12"/>
  <c r="M123" i="12"/>
  <c r="E125" i="12"/>
  <c r="E124" i="12"/>
  <c r="M122" i="11"/>
  <c r="M123" i="11"/>
  <c r="E124" i="11"/>
  <c r="M150" i="12"/>
  <c r="L118" i="11"/>
  <c r="N46" i="12"/>
  <c r="L46" i="12"/>
  <c r="M74" i="12"/>
  <c r="N96" i="11"/>
  <c r="G58" i="11"/>
  <c r="M134" i="11"/>
  <c r="M139" i="11"/>
  <c r="E126" i="11"/>
  <c r="E127" i="11"/>
  <c r="C4" i="24"/>
  <c r="N122" i="11"/>
  <c r="L83" i="11"/>
  <c r="AC19" i="4"/>
  <c r="AC22" i="4"/>
  <c r="AC23" i="4"/>
  <c r="AC24" i="4"/>
  <c r="AC25" i="4"/>
  <c r="AC18" i="4"/>
  <c r="AD20" i="4"/>
  <c r="M74" i="11"/>
  <c r="M67" i="11"/>
  <c r="M110" i="11"/>
  <c r="N119" i="10"/>
  <c r="E7" i="20"/>
  <c r="M46" i="12" l="1"/>
  <c r="N134" i="10"/>
  <c r="M104" i="11"/>
  <c r="G47" i="20"/>
  <c r="M70" i="11"/>
  <c r="N46" i="11"/>
  <c r="L46" i="11"/>
  <c r="M150" i="11"/>
  <c r="M149" i="11"/>
  <c r="M46" i="11" s="1"/>
  <c r="L115" i="10"/>
  <c r="M67" i="10"/>
  <c r="M66" i="10"/>
  <c r="L118" i="10"/>
  <c r="M134" i="10"/>
  <c r="M74" i="10"/>
  <c r="M70" i="10"/>
  <c r="M71" i="10"/>
  <c r="M110" i="10"/>
  <c r="AD19" i="4"/>
  <c r="L26" i="19"/>
  <c r="G6" i="10"/>
  <c r="M61" i="20"/>
  <c r="B58" i="20" s="1"/>
  <c r="B61" i="20" s="1"/>
  <c r="M60" i="20"/>
  <c r="M56" i="20"/>
  <c r="G66" i="20"/>
  <c r="G60" i="20"/>
  <c r="B63" i="20" s="1"/>
  <c r="G59" i="20"/>
  <c r="G58" i="20"/>
  <c r="B59" i="20"/>
  <c r="E38" i="20"/>
  <c r="E40" i="20" s="1"/>
  <c r="E52" i="20" s="1"/>
  <c r="G18" i="20"/>
  <c r="G38" i="20" s="1"/>
  <c r="G22" i="20"/>
  <c r="J28" i="20"/>
  <c r="I26" i="20"/>
  <c r="I28" i="20" s="1"/>
  <c r="B64" i="20" l="1"/>
  <c r="E43" i="20"/>
  <c r="N46" i="10"/>
  <c r="M150" i="10"/>
  <c r="M149" i="10"/>
  <c r="M119" i="10"/>
  <c r="M46" i="10" s="1"/>
  <c r="L119" i="10"/>
  <c r="L46" i="10" s="1"/>
  <c r="L118" i="9"/>
  <c r="N119" i="9"/>
  <c r="G57" i="17"/>
  <c r="B18" i="3"/>
  <c r="B145" i="3"/>
  <c r="E127" i="10"/>
  <c r="E125" i="10"/>
  <c r="M72" i="9"/>
  <c r="M74" i="9"/>
  <c r="M110" i="9"/>
  <c r="M119" i="9"/>
  <c r="F64" i="22"/>
  <c r="B54" i="22"/>
  <c r="D54" i="22" s="1"/>
  <c r="B29" i="22"/>
  <c r="AD18" i="4"/>
  <c r="M67" i="22"/>
  <c r="F66" i="22"/>
  <c r="F65" i="22"/>
  <c r="F92" i="22"/>
  <c r="K92" i="22" s="1"/>
  <c r="L151" i="9"/>
  <c r="M67" i="9"/>
  <c r="M143" i="9"/>
  <c r="M134" i="9"/>
  <c r="O79" i="17" l="1"/>
  <c r="O80" i="17"/>
  <c r="E124" i="9"/>
  <c r="N123" i="9"/>
  <c r="E126" i="9"/>
  <c r="L114" i="9" l="1"/>
  <c r="M96" i="9"/>
  <c r="N119" i="8"/>
  <c r="E127" i="9" l="1"/>
  <c r="M123" i="9"/>
  <c r="M131" i="8"/>
  <c r="M122" i="8"/>
  <c r="N46" i="9" l="1"/>
  <c r="G92" i="17"/>
  <c r="AC15" i="4" l="1"/>
  <c r="AC16" i="4"/>
  <c r="AC17" i="4"/>
  <c r="L149" i="9"/>
  <c r="L46" i="9" s="1"/>
  <c r="O52" i="22"/>
  <c r="K67" i="22"/>
  <c r="O67" i="22" s="1"/>
  <c r="M66" i="22"/>
  <c r="M65" i="22"/>
  <c r="M64" i="22"/>
  <c r="H66" i="22"/>
  <c r="K66" i="22" s="1"/>
  <c r="H65" i="22"/>
  <c r="K65" i="22" s="1"/>
  <c r="O65" i="22" s="1"/>
  <c r="H64" i="22"/>
  <c r="K64" i="22" s="1"/>
  <c r="K79" i="22"/>
  <c r="W43" i="22"/>
  <c r="Y43" i="22" s="1"/>
  <c r="Q54" i="22"/>
  <c r="D34" i="1"/>
  <c r="D33" i="1"/>
  <c r="D32" i="1"/>
  <c r="D31" i="1"/>
  <c r="D30" i="1"/>
  <c r="D29" i="1"/>
  <c r="D28" i="1"/>
  <c r="D27" i="1"/>
  <c r="D26" i="1"/>
  <c r="D25" i="1"/>
  <c r="D24" i="1"/>
  <c r="M122" i="9"/>
  <c r="M46" i="9" s="1"/>
  <c r="M41" i="9" s="1"/>
  <c r="O53" i="17"/>
  <c r="O54" i="17"/>
  <c r="D26" i="17"/>
  <c r="E26" i="17"/>
  <c r="F26" i="17"/>
  <c r="G26" i="17"/>
  <c r="H26" i="17"/>
  <c r="I26" i="17"/>
  <c r="J26" i="17"/>
  <c r="K26" i="17"/>
  <c r="L26" i="17"/>
  <c r="M26" i="17"/>
  <c r="N26" i="17"/>
  <c r="C26" i="17"/>
  <c r="O26" i="17" s="1"/>
  <c r="B19" i="3"/>
  <c r="L160" i="8"/>
  <c r="M136" i="8"/>
  <c r="M119" i="8"/>
  <c r="M67" i="8"/>
  <c r="M74" i="8"/>
  <c r="B89" i="3"/>
  <c r="G6" i="9"/>
  <c r="N122" i="8"/>
  <c r="M72" i="8"/>
  <c r="M134" i="8"/>
  <c r="M128" i="8"/>
  <c r="M110" i="8"/>
  <c r="L25" i="19"/>
  <c r="M27" i="19" s="1"/>
  <c r="C172" i="19"/>
  <c r="E172" i="19" s="1"/>
  <c r="E153" i="19"/>
  <c r="E105" i="19"/>
  <c r="E89" i="19"/>
  <c r="B62" i="19"/>
  <c r="C61" i="19"/>
  <c r="E33" i="19"/>
  <c r="C32" i="19"/>
  <c r="F32" i="19" s="1"/>
  <c r="C31" i="19"/>
  <c r="F31" i="19" s="1"/>
  <c r="B38" i="19" l="1"/>
  <c r="B39" i="19" s="1"/>
  <c r="C39" i="19" s="1"/>
  <c r="F33" i="19"/>
  <c r="O66" i="22"/>
  <c r="O64" i="22"/>
  <c r="C88" i="19"/>
  <c r="AD17" i="4" l="1"/>
  <c r="M85" i="8"/>
  <c r="Q50" i="22"/>
  <c r="Q51" i="22"/>
  <c r="Q49" i="22"/>
  <c r="Q42" i="22"/>
  <c r="N46" i="8" l="1"/>
  <c r="L118" i="8"/>
  <c r="L46" i="8" s="1"/>
  <c r="L149" i="8"/>
  <c r="M66" i="8"/>
  <c r="M46" i="8" s="1"/>
  <c r="M41" i="8" s="1"/>
  <c r="M150" i="8"/>
  <c r="M149" i="8"/>
  <c r="M70" i="8"/>
  <c r="M108" i="8"/>
  <c r="N119" i="7" l="1"/>
  <c r="L90" i="7"/>
  <c r="D6" i="7"/>
  <c r="M134" i="7"/>
  <c r="M67" i="7"/>
  <c r="M119" i="7"/>
  <c r="H110" i="22"/>
  <c r="K110" i="22" s="1"/>
  <c r="U107" i="22"/>
  <c r="Y109" i="22" s="1"/>
  <c r="H109" i="22"/>
  <c r="AD16" i="4"/>
  <c r="M85" i="7"/>
  <c r="M122" i="7"/>
  <c r="E125" i="7"/>
  <c r="M123" i="7"/>
  <c r="M66" i="7"/>
  <c r="M74" i="7"/>
  <c r="M110" i="7"/>
  <c r="M142" i="7"/>
  <c r="M70" i="7"/>
  <c r="Q43" i="22"/>
  <c r="S43" i="22" s="1"/>
  <c r="B75" i="3"/>
  <c r="B62" i="3"/>
  <c r="E120" i="7"/>
  <c r="M104" i="7"/>
  <c r="M72" i="7"/>
  <c r="E127" i="7"/>
  <c r="N119" i="6"/>
  <c r="M72" i="6"/>
  <c r="M94" i="6"/>
  <c r="N131" i="6"/>
  <c r="M70" i="6"/>
  <c r="M51" i="6"/>
  <c r="M103" i="6"/>
  <c r="M131" i="7"/>
  <c r="U51" i="22"/>
  <c r="W41" i="22"/>
  <c r="Y41" i="22" s="1"/>
  <c r="M119" i="6"/>
  <c r="M66" i="6"/>
  <c r="AD15" i="4"/>
  <c r="M123" i="6"/>
  <c r="N96" i="6"/>
  <c r="E127" i="6"/>
  <c r="E126" i="6"/>
  <c r="M134" i="6"/>
  <c r="M67" i="6"/>
  <c r="M115" i="6"/>
  <c r="D55" i="22"/>
  <c r="K75" i="22"/>
  <c r="K80" i="22" s="1"/>
  <c r="H80" i="22"/>
  <c r="AA28" i="22"/>
  <c r="AA27" i="22"/>
  <c r="F75" i="22"/>
  <c r="F74" i="22"/>
  <c r="F79" i="22"/>
  <c r="F78" i="22"/>
  <c r="F77" i="22"/>
  <c r="F76" i="22"/>
  <c r="F73" i="22"/>
  <c r="O78" i="22"/>
  <c r="O74" i="22"/>
  <c r="C90" i="17"/>
  <c r="E125" i="6"/>
  <c r="M110" i="6"/>
  <c r="E120" i="5"/>
  <c r="L119" i="5"/>
  <c r="N119" i="5"/>
  <c r="N92" i="17"/>
  <c r="M92" i="17"/>
  <c r="H92" i="17"/>
  <c r="F92" i="17"/>
  <c r="E92" i="17"/>
  <c r="D92" i="17"/>
  <c r="C92" i="17"/>
  <c r="O88" i="17"/>
  <c r="M74" i="6"/>
  <c r="S44" i="22"/>
  <c r="S45" i="22"/>
  <c r="S46" i="22"/>
  <c r="S47" i="22"/>
  <c r="S48" i="22"/>
  <c r="S49" i="22"/>
  <c r="S50" i="22"/>
  <c r="S51" i="22"/>
  <c r="B93" i="22"/>
  <c r="W51" i="22"/>
  <c r="J29" i="22"/>
  <c r="L24" i="22"/>
  <c r="L17" i="22"/>
  <c r="N23" i="22"/>
  <c r="N17" i="22"/>
  <c r="P23" i="22"/>
  <c r="P17" i="22"/>
  <c r="L83" i="5"/>
  <c r="J26" i="4"/>
  <c r="P20" i="4"/>
  <c r="P14" i="4"/>
  <c r="M21" i="4"/>
  <c r="AC21" i="4" s="1"/>
  <c r="M14" i="4"/>
  <c r="M26" i="4" s="1"/>
  <c r="S20" i="4"/>
  <c r="S26" i="4" s="1"/>
  <c r="S14" i="4"/>
  <c r="W28" i="4"/>
  <c r="T28" i="4"/>
  <c r="Q28" i="4"/>
  <c r="N28" i="4"/>
  <c r="AB14" i="4"/>
  <c r="AB26" i="4" s="1"/>
  <c r="Y20" i="4"/>
  <c r="Y14" i="4"/>
  <c r="Y26" i="4" s="1"/>
  <c r="V20" i="4"/>
  <c r="V14" i="4"/>
  <c r="V26" i="4" s="1"/>
  <c r="K28" i="4"/>
  <c r="H29" i="4"/>
  <c r="H28" i="4"/>
  <c r="F28" i="4"/>
  <c r="D28" i="4"/>
  <c r="D29" i="4" s="1"/>
  <c r="C40" i="22"/>
  <c r="C46" i="22"/>
  <c r="J40" i="22"/>
  <c r="P40" i="22"/>
  <c r="P52" i="22" s="1"/>
  <c r="J46" i="22"/>
  <c r="AD14" i="4"/>
  <c r="L109" i="6"/>
  <c r="M110" i="5"/>
  <c r="Q41" i="22"/>
  <c r="S41" i="22" s="1"/>
  <c r="S42" i="22"/>
  <c r="Q40" i="22"/>
  <c r="S40" i="22" s="1"/>
  <c r="Y51" i="22"/>
  <c r="N122" i="5"/>
  <c r="N95" i="5"/>
  <c r="N104" i="5"/>
  <c r="N143" i="5"/>
  <c r="M74" i="5"/>
  <c r="M119" i="5"/>
  <c r="M94" i="5"/>
  <c r="M66" i="5"/>
  <c r="M67" i="5"/>
  <c r="M71" i="5"/>
  <c r="AC20" i="4" l="1"/>
  <c r="N29" i="22"/>
  <c r="P26" i="4"/>
  <c r="AC14" i="4"/>
  <c r="AC26" i="4" s="1"/>
  <c r="P29" i="22"/>
  <c r="L29" i="22"/>
  <c r="O80" i="22"/>
  <c r="O82" i="22" s="1"/>
  <c r="F80" i="22"/>
  <c r="J52" i="22"/>
  <c r="C52" i="22"/>
  <c r="B116" i="17"/>
  <c r="N35" i="17" l="1"/>
  <c r="M35" i="17"/>
  <c r="L35" i="17"/>
  <c r="K35" i="17"/>
  <c r="J35" i="17"/>
  <c r="I35" i="17"/>
  <c r="H35" i="17"/>
  <c r="G35" i="17"/>
  <c r="F35" i="17"/>
  <c r="E35" i="17"/>
  <c r="D35" i="17"/>
  <c r="N18" i="17"/>
  <c r="M18" i="17"/>
  <c r="L18" i="17"/>
  <c r="K18" i="17"/>
  <c r="J18" i="17"/>
  <c r="I18" i="17"/>
  <c r="H18" i="17"/>
  <c r="H27" i="17" s="1"/>
  <c r="G18" i="17"/>
  <c r="F18" i="17"/>
  <c r="E18" i="17"/>
  <c r="D18" i="17"/>
  <c r="N11" i="17"/>
  <c r="M11" i="17"/>
  <c r="L11" i="17"/>
  <c r="K11" i="17"/>
  <c r="J11" i="17"/>
  <c r="I11" i="17"/>
  <c r="H11" i="17"/>
  <c r="G11" i="17"/>
  <c r="F11" i="17"/>
  <c r="E11" i="17"/>
  <c r="D11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N6" i="17"/>
  <c r="N8" i="17" s="1"/>
  <c r="M6" i="17"/>
  <c r="M8" i="17" s="1"/>
  <c r="L6" i="17"/>
  <c r="L8" i="17" s="1"/>
  <c r="K6" i="17"/>
  <c r="K8" i="17" s="1"/>
  <c r="J6" i="17"/>
  <c r="I6" i="17"/>
  <c r="H6" i="17"/>
  <c r="G6" i="17"/>
  <c r="F6" i="17"/>
  <c r="E6" i="17"/>
  <c r="D6" i="17"/>
  <c r="C30" i="17"/>
  <c r="C32" i="17" s="1"/>
  <c r="C65" i="5"/>
  <c r="N41" i="12"/>
  <c r="N41" i="11"/>
  <c r="N41" i="10"/>
  <c r="N41" i="9"/>
  <c r="N41" i="8"/>
  <c r="F36" i="3"/>
  <c r="G114" i="5"/>
  <c r="G115" i="5"/>
  <c r="G116" i="5"/>
  <c r="G118" i="5"/>
  <c r="G113" i="5"/>
  <c r="M122" i="5"/>
  <c r="M104" i="5"/>
  <c r="M128" i="5"/>
  <c r="M103" i="5"/>
  <c r="M150" i="5"/>
  <c r="M62" i="5"/>
  <c r="M134" i="5"/>
  <c r="M44" i="5"/>
  <c r="M43" i="5"/>
  <c r="G94" i="5"/>
  <c r="G89" i="5"/>
  <c r="M149" i="5"/>
  <c r="B42" i="17"/>
  <c r="D27" i="17" l="1"/>
  <c r="L27" i="17"/>
  <c r="N27" i="17"/>
  <c r="E27" i="17"/>
  <c r="I27" i="17"/>
  <c r="K27" i="17"/>
  <c r="J27" i="17"/>
  <c r="M27" i="17"/>
  <c r="L107" i="2"/>
  <c r="L119" i="2" l="1"/>
  <c r="L34" i="2" l="1"/>
  <c r="G153" i="16"/>
  <c r="I153" i="16" s="1"/>
  <c r="I153" i="15"/>
  <c r="G153" i="15"/>
  <c r="G153" i="14"/>
  <c r="G153" i="13"/>
  <c r="I153" i="13" s="1"/>
  <c r="I153" i="12"/>
  <c r="G153" i="12"/>
  <c r="G153" i="11"/>
  <c r="I153" i="11" s="1"/>
  <c r="G153" i="10"/>
  <c r="I153" i="10" s="1"/>
  <c r="G153" i="9"/>
  <c r="I153" i="9" s="1"/>
  <c r="I153" i="8"/>
  <c r="G153" i="8"/>
  <c r="G153" i="7"/>
  <c r="I153" i="7" s="1"/>
  <c r="G153" i="6"/>
  <c r="I153" i="6"/>
  <c r="I156" i="5"/>
  <c r="J156" i="5" s="1"/>
  <c r="I160" i="5"/>
  <c r="J160" i="5" s="1"/>
  <c r="G153" i="5"/>
  <c r="I153" i="5" s="1"/>
  <c r="H141" i="2"/>
  <c r="M139" i="2"/>
  <c r="M148" i="2"/>
  <c r="M46" i="16"/>
  <c r="M41" i="16" s="1"/>
  <c r="N46" i="16"/>
  <c r="N41" i="16" s="1"/>
  <c r="L46" i="16"/>
  <c r="M46" i="15"/>
  <c r="N46" i="15"/>
  <c r="N41" i="15" s="1"/>
  <c r="L46" i="15"/>
  <c r="J58" i="15"/>
  <c r="J59" i="15"/>
  <c r="J60" i="15"/>
  <c r="J61" i="15"/>
  <c r="J64" i="15"/>
  <c r="J65" i="15"/>
  <c r="J68" i="15"/>
  <c r="J69" i="15"/>
  <c r="J73" i="15"/>
  <c r="J87" i="15"/>
  <c r="J88" i="15"/>
  <c r="J92" i="15"/>
  <c r="J93" i="15"/>
  <c r="J101" i="15"/>
  <c r="J102" i="15"/>
  <c r="J106" i="15"/>
  <c r="J107" i="15"/>
  <c r="J111" i="15"/>
  <c r="J112" i="15"/>
  <c r="J116" i="15"/>
  <c r="J117" i="15"/>
  <c r="J120" i="15"/>
  <c r="J121" i="15"/>
  <c r="J124" i="15"/>
  <c r="J125" i="15"/>
  <c r="J126" i="15"/>
  <c r="J127" i="15"/>
  <c r="J129" i="15"/>
  <c r="J130" i="15"/>
  <c r="J132" i="15"/>
  <c r="J133" i="15"/>
  <c r="C147" i="16"/>
  <c r="C141" i="16"/>
  <c r="C138" i="16"/>
  <c r="C133" i="16"/>
  <c r="C130" i="16"/>
  <c r="E124" i="16"/>
  <c r="E121" i="16"/>
  <c r="E120" i="16"/>
  <c r="C117" i="16"/>
  <c r="C112" i="16"/>
  <c r="C107" i="16"/>
  <c r="C102" i="16"/>
  <c r="C93" i="16"/>
  <c r="C88" i="16"/>
  <c r="C82" i="16"/>
  <c r="C65" i="16"/>
  <c r="C61" i="16"/>
  <c r="C147" i="15"/>
  <c r="C141" i="15"/>
  <c r="C138" i="15"/>
  <c r="C133" i="15"/>
  <c r="C130" i="15"/>
  <c r="E125" i="15"/>
  <c r="E121" i="15"/>
  <c r="E120" i="15"/>
  <c r="C117" i="15"/>
  <c r="C112" i="15"/>
  <c r="C107" i="15"/>
  <c r="C102" i="15"/>
  <c r="C93" i="15"/>
  <c r="C88" i="15"/>
  <c r="C82" i="15"/>
  <c r="C65" i="15"/>
  <c r="C61" i="15"/>
  <c r="C147" i="14"/>
  <c r="C141" i="14"/>
  <c r="C138" i="14"/>
  <c r="C133" i="14"/>
  <c r="C130" i="14"/>
  <c r="E120" i="14"/>
  <c r="C117" i="14"/>
  <c r="C112" i="14"/>
  <c r="C107" i="14"/>
  <c r="C102" i="14"/>
  <c r="C93" i="14"/>
  <c r="C88" i="14"/>
  <c r="C82" i="14"/>
  <c r="C65" i="14"/>
  <c r="C61" i="14"/>
  <c r="C147" i="13"/>
  <c r="C141" i="13"/>
  <c r="C138" i="13"/>
  <c r="C133" i="13"/>
  <c r="C130" i="13"/>
  <c r="E127" i="13"/>
  <c r="E125" i="13"/>
  <c r="E124" i="13"/>
  <c r="E121" i="13"/>
  <c r="E120" i="13"/>
  <c r="C117" i="13"/>
  <c r="C112" i="13"/>
  <c r="C107" i="13"/>
  <c r="C102" i="13"/>
  <c r="C93" i="13"/>
  <c r="C88" i="13"/>
  <c r="C82" i="13"/>
  <c r="C65" i="13"/>
  <c r="C61" i="13"/>
  <c r="C147" i="12"/>
  <c r="C141" i="12"/>
  <c r="C138" i="12"/>
  <c r="C133" i="12"/>
  <c r="C130" i="12"/>
  <c r="E127" i="12"/>
  <c r="E126" i="12"/>
  <c r="E120" i="12"/>
  <c r="C117" i="12"/>
  <c r="C112" i="12"/>
  <c r="C107" i="12"/>
  <c r="C102" i="12"/>
  <c r="C93" i="12"/>
  <c r="C88" i="12"/>
  <c r="C82" i="12"/>
  <c r="C65" i="12"/>
  <c r="C61" i="12"/>
  <c r="C147" i="11"/>
  <c r="C141" i="11"/>
  <c r="C138" i="11"/>
  <c r="C133" i="11"/>
  <c r="C130" i="11"/>
  <c r="E121" i="11"/>
  <c r="E120" i="11"/>
  <c r="C117" i="11"/>
  <c r="C112" i="11"/>
  <c r="C107" i="11"/>
  <c r="C102" i="11"/>
  <c r="C93" i="11"/>
  <c r="C88" i="11"/>
  <c r="C82" i="11"/>
  <c r="C65" i="11"/>
  <c r="C61" i="11"/>
  <c r="C147" i="10"/>
  <c r="C141" i="10"/>
  <c r="C138" i="10"/>
  <c r="C133" i="10"/>
  <c r="C130" i="10"/>
  <c r="E120" i="10"/>
  <c r="C117" i="10"/>
  <c r="C112" i="10"/>
  <c r="C107" i="10"/>
  <c r="C102" i="10"/>
  <c r="C93" i="10"/>
  <c r="C88" i="10"/>
  <c r="C82" i="10"/>
  <c r="C65" i="10"/>
  <c r="C61" i="10"/>
  <c r="C147" i="9"/>
  <c r="C141" i="9"/>
  <c r="C138" i="9"/>
  <c r="C133" i="9"/>
  <c r="C130" i="9"/>
  <c r="C117" i="9"/>
  <c r="C112" i="9"/>
  <c r="C107" i="9"/>
  <c r="C102" i="9"/>
  <c r="C93" i="9"/>
  <c r="C88" i="9"/>
  <c r="C82" i="9"/>
  <c r="C65" i="9"/>
  <c r="C61" i="9"/>
  <c r="C147" i="8"/>
  <c r="C141" i="8"/>
  <c r="C138" i="8"/>
  <c r="C133" i="8"/>
  <c r="C130" i="8"/>
  <c r="E127" i="8"/>
  <c r="E126" i="8"/>
  <c r="E125" i="8"/>
  <c r="E121" i="8"/>
  <c r="E120" i="8"/>
  <c r="C117" i="8"/>
  <c r="C112" i="8"/>
  <c r="C107" i="8"/>
  <c r="C102" i="8"/>
  <c r="C93" i="8"/>
  <c r="C88" i="8"/>
  <c r="C82" i="8"/>
  <c r="C65" i="8"/>
  <c r="C61" i="8"/>
  <c r="C147" i="7"/>
  <c r="C141" i="7"/>
  <c r="C138" i="7"/>
  <c r="C133" i="7"/>
  <c r="C130" i="7"/>
  <c r="E126" i="7"/>
  <c r="E124" i="7"/>
  <c r="C117" i="7"/>
  <c r="C112" i="7"/>
  <c r="C107" i="7"/>
  <c r="C102" i="7"/>
  <c r="C93" i="7"/>
  <c r="C88" i="7"/>
  <c r="C82" i="7"/>
  <c r="C76" i="7" s="1"/>
  <c r="C65" i="7"/>
  <c r="C61" i="7"/>
  <c r="C147" i="6"/>
  <c r="C141" i="6"/>
  <c r="C138" i="6"/>
  <c r="C133" i="6"/>
  <c r="C130" i="6"/>
  <c r="E124" i="6"/>
  <c r="C117" i="6"/>
  <c r="C112" i="6"/>
  <c r="C107" i="6"/>
  <c r="C102" i="6"/>
  <c r="C93" i="6"/>
  <c r="C88" i="6"/>
  <c r="C82" i="6"/>
  <c r="C65" i="6"/>
  <c r="C61" i="6"/>
  <c r="C147" i="5"/>
  <c r="C141" i="5"/>
  <c r="C138" i="5"/>
  <c r="C133" i="5"/>
  <c r="C130" i="5"/>
  <c r="E127" i="5"/>
  <c r="E126" i="5"/>
  <c r="E125" i="5"/>
  <c r="E124" i="5"/>
  <c r="C117" i="5"/>
  <c r="C112" i="5"/>
  <c r="C107" i="5"/>
  <c r="C102" i="5"/>
  <c r="C93" i="5"/>
  <c r="C88" i="5"/>
  <c r="C82" i="5"/>
  <c r="C61" i="5"/>
  <c r="M46" i="14"/>
  <c r="M41" i="14" s="1"/>
  <c r="N46" i="14"/>
  <c r="N41" i="14" s="1"/>
  <c r="L46" i="14"/>
  <c r="I158" i="13"/>
  <c r="I160" i="13"/>
  <c r="I157" i="12"/>
  <c r="I159" i="12"/>
  <c r="I156" i="10"/>
  <c r="I158" i="10"/>
  <c r="I160" i="10"/>
  <c r="I156" i="9"/>
  <c r="I158" i="9"/>
  <c r="I160" i="9"/>
  <c r="G162" i="16"/>
  <c r="I162" i="16" s="1"/>
  <c r="G160" i="16"/>
  <c r="G159" i="16"/>
  <c r="N23" i="17" s="1"/>
  <c r="G158" i="16"/>
  <c r="G157" i="16"/>
  <c r="N21" i="17" s="1"/>
  <c r="G156" i="16"/>
  <c r="G152" i="16"/>
  <c r="I152" i="16" s="1"/>
  <c r="G151" i="16"/>
  <c r="I151" i="16" s="1"/>
  <c r="I150" i="16"/>
  <c r="G150" i="16"/>
  <c r="G162" i="15"/>
  <c r="I162" i="15" s="1"/>
  <c r="G160" i="15"/>
  <c r="M24" i="17" s="1"/>
  <c r="G159" i="15"/>
  <c r="G158" i="15"/>
  <c r="M22" i="17" s="1"/>
  <c r="G157" i="15"/>
  <c r="G156" i="15"/>
  <c r="M20" i="17" s="1"/>
  <c r="G152" i="15"/>
  <c r="I152" i="15" s="1"/>
  <c r="G151" i="15"/>
  <c r="I151" i="15" s="1"/>
  <c r="G150" i="15"/>
  <c r="I150" i="15" s="1"/>
  <c r="G162" i="14"/>
  <c r="I162" i="14" s="1"/>
  <c r="G160" i="14"/>
  <c r="G159" i="14"/>
  <c r="L23" i="17" s="1"/>
  <c r="G158" i="14"/>
  <c r="G157" i="14"/>
  <c r="L21" i="17" s="1"/>
  <c r="G156" i="14"/>
  <c r="G152" i="14"/>
  <c r="I152" i="14" s="1"/>
  <c r="G151" i="14"/>
  <c r="I151" i="14" s="1"/>
  <c r="G150" i="14"/>
  <c r="I150" i="14" s="1"/>
  <c r="G162" i="13"/>
  <c r="I162" i="13" s="1"/>
  <c r="G160" i="13"/>
  <c r="K24" i="17" s="1"/>
  <c r="G159" i="13"/>
  <c r="G158" i="13"/>
  <c r="K22" i="17" s="1"/>
  <c r="G157" i="13"/>
  <c r="G156" i="13"/>
  <c r="K20" i="17" s="1"/>
  <c r="G152" i="13"/>
  <c r="I152" i="13" s="1"/>
  <c r="G151" i="13"/>
  <c r="I151" i="13" s="1"/>
  <c r="G150" i="13"/>
  <c r="I150" i="13" s="1"/>
  <c r="G162" i="12"/>
  <c r="I162" i="12" s="1"/>
  <c r="G160" i="12"/>
  <c r="G159" i="12"/>
  <c r="J23" i="17" s="1"/>
  <c r="G158" i="12"/>
  <c r="G157" i="12"/>
  <c r="J21" i="17" s="1"/>
  <c r="G156" i="12"/>
  <c r="G152" i="12"/>
  <c r="I152" i="12" s="1"/>
  <c r="G151" i="12"/>
  <c r="I151" i="12" s="1"/>
  <c r="G150" i="12"/>
  <c r="I150" i="12" s="1"/>
  <c r="I149" i="12"/>
  <c r="G149" i="12"/>
  <c r="G162" i="11"/>
  <c r="I162" i="11" s="1"/>
  <c r="G160" i="11"/>
  <c r="I24" i="17" s="1"/>
  <c r="G159" i="11"/>
  <c r="I23" i="17" s="1"/>
  <c r="G158" i="11"/>
  <c r="I22" i="17" s="1"/>
  <c r="G157" i="11"/>
  <c r="I21" i="17" s="1"/>
  <c r="G156" i="11"/>
  <c r="I20" i="17" s="1"/>
  <c r="G152" i="11"/>
  <c r="I152" i="11" s="1"/>
  <c r="G151" i="11"/>
  <c r="I151" i="11" s="1"/>
  <c r="G150" i="11"/>
  <c r="I150" i="11" s="1"/>
  <c r="G149" i="11"/>
  <c r="I149" i="11" s="1"/>
  <c r="G162" i="10"/>
  <c r="I162" i="10" s="1"/>
  <c r="G160" i="10"/>
  <c r="H24" i="17" s="1"/>
  <c r="G159" i="10"/>
  <c r="G158" i="10"/>
  <c r="H22" i="17" s="1"/>
  <c r="G157" i="10"/>
  <c r="G156" i="10"/>
  <c r="H20" i="17" s="1"/>
  <c r="G152" i="10"/>
  <c r="I152" i="10" s="1"/>
  <c r="G151" i="10"/>
  <c r="I151" i="10" s="1"/>
  <c r="G150" i="10"/>
  <c r="I150" i="10" s="1"/>
  <c r="G149" i="10"/>
  <c r="G162" i="9"/>
  <c r="I162" i="9" s="1"/>
  <c r="G160" i="9"/>
  <c r="G24" i="17" s="1"/>
  <c r="G159" i="9"/>
  <c r="G158" i="9"/>
  <c r="G22" i="17" s="1"/>
  <c r="G157" i="9"/>
  <c r="G21" i="17" s="1"/>
  <c r="G156" i="9"/>
  <c r="G20" i="17" s="1"/>
  <c r="G152" i="9"/>
  <c r="I152" i="9" s="1"/>
  <c r="G151" i="9"/>
  <c r="I151" i="9" s="1"/>
  <c r="G150" i="9"/>
  <c r="I150" i="9" s="1"/>
  <c r="G149" i="9"/>
  <c r="G162" i="8"/>
  <c r="I162" i="8" s="1"/>
  <c r="G160" i="8"/>
  <c r="F24" i="17" s="1"/>
  <c r="F27" i="17" s="1"/>
  <c r="G159" i="8"/>
  <c r="F23" i="17" s="1"/>
  <c r="G158" i="8"/>
  <c r="F22" i="17" s="1"/>
  <c r="G157" i="8"/>
  <c r="F21" i="17" s="1"/>
  <c r="G156" i="8"/>
  <c r="F20" i="17" s="1"/>
  <c r="G152" i="8"/>
  <c r="I152" i="8" s="1"/>
  <c r="G151" i="8"/>
  <c r="I151" i="8" s="1"/>
  <c r="G150" i="8"/>
  <c r="I150" i="8" s="1"/>
  <c r="G149" i="8"/>
  <c r="G162" i="7"/>
  <c r="I162" i="7" s="1"/>
  <c r="G160" i="7"/>
  <c r="G159" i="7"/>
  <c r="G158" i="7"/>
  <c r="G157" i="7"/>
  <c r="G156" i="7"/>
  <c r="G152" i="7"/>
  <c r="G151" i="7"/>
  <c r="I151" i="7" s="1"/>
  <c r="G150" i="7"/>
  <c r="G149" i="7"/>
  <c r="I149" i="7" s="1"/>
  <c r="G162" i="6"/>
  <c r="I162" i="6" s="1"/>
  <c r="G160" i="6"/>
  <c r="D24" i="17" s="1"/>
  <c r="G159" i="6"/>
  <c r="D23" i="17" s="1"/>
  <c r="G158" i="6"/>
  <c r="D22" i="17" s="1"/>
  <c r="G157" i="6"/>
  <c r="D21" i="17" s="1"/>
  <c r="G156" i="6"/>
  <c r="D20" i="17" s="1"/>
  <c r="G152" i="6"/>
  <c r="I152" i="6" s="1"/>
  <c r="G151" i="6"/>
  <c r="I151" i="6" s="1"/>
  <c r="G150" i="6"/>
  <c r="I150" i="6" s="1"/>
  <c r="G149" i="6"/>
  <c r="G149" i="5"/>
  <c r="G150" i="5"/>
  <c r="G151" i="5"/>
  <c r="G152" i="5"/>
  <c r="G156" i="5"/>
  <c r="C20" i="17" s="1"/>
  <c r="G157" i="5"/>
  <c r="G158" i="5"/>
  <c r="C22" i="17" s="1"/>
  <c r="G159" i="5"/>
  <c r="G160" i="5"/>
  <c r="C24" i="17" s="1"/>
  <c r="G162" i="5"/>
  <c r="M127" i="2"/>
  <c r="M34" i="2" s="1"/>
  <c r="I159" i="14" l="1"/>
  <c r="G140" i="2"/>
  <c r="I157" i="14"/>
  <c r="I156" i="13"/>
  <c r="E23" i="17"/>
  <c r="G23" i="17"/>
  <c r="I159" i="9"/>
  <c r="H21" i="17"/>
  <c r="O21" i="17" s="1"/>
  <c r="I157" i="10"/>
  <c r="L22" i="17"/>
  <c r="I158" i="14"/>
  <c r="A157" i="10"/>
  <c r="C21" i="17"/>
  <c r="I157" i="5"/>
  <c r="J157" i="5" s="1"/>
  <c r="N20" i="17"/>
  <c r="I156" i="16"/>
  <c r="A157" i="16"/>
  <c r="N24" i="17"/>
  <c r="I160" i="16"/>
  <c r="I159" i="8"/>
  <c r="A157" i="5"/>
  <c r="C76" i="8"/>
  <c r="C76" i="9"/>
  <c r="J153" i="5"/>
  <c r="J153" i="7"/>
  <c r="J153" i="6"/>
  <c r="J153" i="8"/>
  <c r="J153" i="9"/>
  <c r="J20" i="17"/>
  <c r="I156" i="12"/>
  <c r="A157" i="12"/>
  <c r="J24" i="17"/>
  <c r="I160" i="12"/>
  <c r="K23" i="17"/>
  <c r="I159" i="13"/>
  <c r="M21" i="17"/>
  <c r="I157" i="15"/>
  <c r="I157" i="6"/>
  <c r="J157" i="6" s="1"/>
  <c r="A150" i="7"/>
  <c r="E21" i="17"/>
  <c r="H23" i="17"/>
  <c r="I159" i="10"/>
  <c r="J22" i="17"/>
  <c r="I158" i="12"/>
  <c r="K21" i="17"/>
  <c r="I157" i="13"/>
  <c r="L20" i="17"/>
  <c r="A157" i="14"/>
  <c r="I156" i="14"/>
  <c r="L24" i="17"/>
  <c r="I160" i="14"/>
  <c r="M23" i="17"/>
  <c r="I159" i="15"/>
  <c r="I157" i="8"/>
  <c r="C23" i="17"/>
  <c r="I159" i="5"/>
  <c r="A150" i="6"/>
  <c r="B147" i="6"/>
  <c r="D147" i="6" s="1"/>
  <c r="I149" i="6"/>
  <c r="N22" i="17"/>
  <c r="I158" i="16"/>
  <c r="I159" i="6"/>
  <c r="I158" i="7"/>
  <c r="J158" i="12" s="1"/>
  <c r="E22" i="17"/>
  <c r="B147" i="8"/>
  <c r="D147" i="8" s="1"/>
  <c r="A150" i="10"/>
  <c r="I160" i="6"/>
  <c r="I156" i="6"/>
  <c r="J156" i="6" s="1"/>
  <c r="I156" i="8"/>
  <c r="C76" i="5"/>
  <c r="C76" i="6"/>
  <c r="A157" i="6"/>
  <c r="C76" i="11"/>
  <c r="A157" i="13"/>
  <c r="I160" i="15"/>
  <c r="I156" i="15"/>
  <c r="I157" i="16"/>
  <c r="I148" i="2"/>
  <c r="C76" i="14"/>
  <c r="I141" i="2"/>
  <c r="I158" i="5"/>
  <c r="A157" i="7"/>
  <c r="E20" i="17"/>
  <c r="I160" i="7"/>
  <c r="E24" i="17"/>
  <c r="J160" i="6"/>
  <c r="I158" i="6"/>
  <c r="I158" i="8"/>
  <c r="C76" i="10"/>
  <c r="C76" i="12"/>
  <c r="C76" i="15"/>
  <c r="A157" i="15"/>
  <c r="C76" i="16"/>
  <c r="I158" i="15"/>
  <c r="I159" i="16"/>
  <c r="I153" i="14"/>
  <c r="J153" i="15" s="1"/>
  <c r="E109" i="2"/>
  <c r="E113" i="2"/>
  <c r="E115" i="2"/>
  <c r="E108" i="2"/>
  <c r="E112" i="2"/>
  <c r="E114" i="2"/>
  <c r="I159" i="11"/>
  <c r="I157" i="11"/>
  <c r="A157" i="11"/>
  <c r="I160" i="11"/>
  <c r="I158" i="11"/>
  <c r="I156" i="11"/>
  <c r="B147" i="12"/>
  <c r="D147" i="12" s="1"/>
  <c r="A150" i="12"/>
  <c r="B147" i="11"/>
  <c r="A150" i="11"/>
  <c r="J153" i="16"/>
  <c r="J153" i="12"/>
  <c r="J153" i="11"/>
  <c r="J153" i="13"/>
  <c r="J153" i="10"/>
  <c r="I149" i="10"/>
  <c r="B147" i="10"/>
  <c r="D147" i="10" s="1"/>
  <c r="A150" i="9"/>
  <c r="G27" i="17"/>
  <c r="I157" i="9"/>
  <c r="A157" i="9"/>
  <c r="I149" i="9"/>
  <c r="B147" i="9"/>
  <c r="A157" i="8"/>
  <c r="I160" i="8"/>
  <c r="A150" i="8"/>
  <c r="I149" i="8"/>
  <c r="A150" i="5"/>
  <c r="G138" i="2"/>
  <c r="B147" i="5"/>
  <c r="D147" i="5" s="1"/>
  <c r="D147" i="11"/>
  <c r="D147" i="9"/>
  <c r="J158" i="13"/>
  <c r="J158" i="7"/>
  <c r="J160" i="15"/>
  <c r="J160" i="10"/>
  <c r="J160" i="7"/>
  <c r="J160" i="11"/>
  <c r="I159" i="7"/>
  <c r="I157" i="7"/>
  <c r="I152" i="7"/>
  <c r="I150" i="7"/>
  <c r="B147" i="7"/>
  <c r="G139" i="2"/>
  <c r="I156" i="7"/>
  <c r="D147" i="7"/>
  <c r="C76" i="13"/>
  <c r="J153" i="14" l="1"/>
  <c r="O20" i="17"/>
  <c r="O23" i="17"/>
  <c r="J158" i="15"/>
  <c r="O22" i="17"/>
  <c r="J158" i="9"/>
  <c r="J158" i="8"/>
  <c r="J158" i="14"/>
  <c r="J160" i="14"/>
  <c r="J158" i="5"/>
  <c r="J158" i="6"/>
  <c r="J159" i="5"/>
  <c r="J159" i="6"/>
  <c r="J158" i="11"/>
  <c r="J158" i="10"/>
  <c r="J160" i="13"/>
  <c r="J158" i="16"/>
  <c r="J160" i="9"/>
  <c r="J160" i="16"/>
  <c r="J160" i="8"/>
  <c r="J160" i="12"/>
  <c r="J156" i="15"/>
  <c r="J156" i="14"/>
  <c r="J156" i="13"/>
  <c r="J156" i="12"/>
  <c r="J156" i="10"/>
  <c r="J156" i="8"/>
  <c r="J156" i="7"/>
  <c r="J156" i="16"/>
  <c r="J156" i="11"/>
  <c r="J156" i="9"/>
  <c r="J157" i="16"/>
  <c r="J157" i="11"/>
  <c r="J157" i="9"/>
  <c r="J157" i="15"/>
  <c r="J157" i="14"/>
  <c r="J157" i="13"/>
  <c r="J157" i="12"/>
  <c r="J157" i="10"/>
  <c r="J157" i="8"/>
  <c r="J157" i="7"/>
  <c r="A145" i="2"/>
  <c r="J159" i="16"/>
  <c r="J159" i="11"/>
  <c r="J159" i="9"/>
  <c r="J159" i="15"/>
  <c r="J159" i="14"/>
  <c r="J159" i="13"/>
  <c r="J159" i="12"/>
  <c r="J159" i="10"/>
  <c r="J159" i="8"/>
  <c r="J159" i="7"/>
  <c r="M41" i="13" l="1"/>
  <c r="N41" i="13"/>
  <c r="G149" i="16"/>
  <c r="G143" i="16"/>
  <c r="I143" i="16" s="1"/>
  <c r="G142" i="16"/>
  <c r="B141" i="16" s="1"/>
  <c r="D141" i="16" s="1"/>
  <c r="G139" i="16"/>
  <c r="G136" i="16"/>
  <c r="I136" i="16" s="1"/>
  <c r="G135" i="16"/>
  <c r="I135" i="16" s="1"/>
  <c r="G134" i="16"/>
  <c r="G131" i="16"/>
  <c r="B130" i="16" s="1"/>
  <c r="G128" i="16"/>
  <c r="I128" i="16" s="1"/>
  <c r="G123" i="16"/>
  <c r="I123" i="16" s="1"/>
  <c r="G122" i="16"/>
  <c r="I122" i="16" s="1"/>
  <c r="G119" i="16"/>
  <c r="I119" i="16" s="1"/>
  <c r="G118" i="16"/>
  <c r="I115" i="16"/>
  <c r="G115" i="16"/>
  <c r="I114" i="16"/>
  <c r="G114" i="16"/>
  <c r="I113" i="16"/>
  <c r="G113" i="16"/>
  <c r="G110" i="16"/>
  <c r="I110" i="16" s="1"/>
  <c r="G109" i="16"/>
  <c r="I109" i="16" s="1"/>
  <c r="G108" i="16"/>
  <c r="G105" i="16"/>
  <c r="I105" i="16" s="1"/>
  <c r="G104" i="16"/>
  <c r="I104" i="16" s="1"/>
  <c r="G103" i="16"/>
  <c r="I100" i="16"/>
  <c r="G100" i="16"/>
  <c r="I99" i="16"/>
  <c r="G99" i="16"/>
  <c r="G98" i="16"/>
  <c r="I98" i="16" s="1"/>
  <c r="I97" i="16"/>
  <c r="G97" i="16"/>
  <c r="I96" i="16"/>
  <c r="G96" i="16"/>
  <c r="I95" i="16"/>
  <c r="G95" i="16"/>
  <c r="I94" i="16"/>
  <c r="G94" i="16"/>
  <c r="G91" i="16"/>
  <c r="I91" i="16" s="1"/>
  <c r="G90" i="16"/>
  <c r="I90" i="16" s="1"/>
  <c r="G89" i="16"/>
  <c r="G86" i="16"/>
  <c r="I86" i="16" s="1"/>
  <c r="G85" i="16"/>
  <c r="I85" i="16" s="1"/>
  <c r="G84" i="16"/>
  <c r="I84" i="16" s="1"/>
  <c r="G83" i="16"/>
  <c r="I83" i="16" s="1"/>
  <c r="G74" i="16"/>
  <c r="I74" i="16" s="1"/>
  <c r="G72" i="16"/>
  <c r="I72" i="16" s="1"/>
  <c r="G71" i="16"/>
  <c r="I71" i="16" s="1"/>
  <c r="G70" i="16"/>
  <c r="I70" i="16" s="1"/>
  <c r="G67" i="16"/>
  <c r="I67" i="16" s="1"/>
  <c r="G66" i="16"/>
  <c r="G63" i="16"/>
  <c r="I63" i="16" s="1"/>
  <c r="I62" i="16"/>
  <c r="G62" i="16"/>
  <c r="G57" i="16"/>
  <c r="I57" i="16" s="1"/>
  <c r="G56" i="16"/>
  <c r="I56" i="16" s="1"/>
  <c r="H55" i="16"/>
  <c r="G55" i="16"/>
  <c r="G54" i="16"/>
  <c r="I54" i="16" s="1"/>
  <c r="G53" i="16"/>
  <c r="G52" i="16"/>
  <c r="I52" i="16" s="1"/>
  <c r="G51" i="16"/>
  <c r="I51" i="16" s="1"/>
  <c r="I50" i="16"/>
  <c r="G50" i="16"/>
  <c r="I49" i="16"/>
  <c r="G49" i="16"/>
  <c r="D42" i="16"/>
  <c r="E36" i="16"/>
  <c r="H28" i="16"/>
  <c r="I26" i="16"/>
  <c r="I25" i="16"/>
  <c r="B24" i="16"/>
  <c r="I22" i="16"/>
  <c r="B22" i="16"/>
  <c r="I20" i="16"/>
  <c r="I19" i="16"/>
  <c r="I18" i="16"/>
  <c r="I17" i="16"/>
  <c r="I16" i="16"/>
  <c r="I15" i="16"/>
  <c r="I14" i="16"/>
  <c r="B13" i="16"/>
  <c r="G7" i="16"/>
  <c r="G6" i="16"/>
  <c r="G5" i="16"/>
  <c r="G149" i="15"/>
  <c r="G143" i="15"/>
  <c r="I143" i="15" s="1"/>
  <c r="G142" i="15"/>
  <c r="G139" i="15"/>
  <c r="G136" i="15"/>
  <c r="I136" i="15" s="1"/>
  <c r="G135" i="15"/>
  <c r="I135" i="15" s="1"/>
  <c r="G134" i="15"/>
  <c r="G131" i="15"/>
  <c r="B130" i="15" s="1"/>
  <c r="G128" i="15"/>
  <c r="I128" i="15" s="1"/>
  <c r="G123" i="15"/>
  <c r="I123" i="15" s="1"/>
  <c r="G122" i="15"/>
  <c r="I122" i="15" s="1"/>
  <c r="G119" i="15"/>
  <c r="I119" i="15" s="1"/>
  <c r="G118" i="15"/>
  <c r="G115" i="15"/>
  <c r="I115" i="15" s="1"/>
  <c r="G114" i="15"/>
  <c r="I114" i="15" s="1"/>
  <c r="G113" i="15"/>
  <c r="G110" i="15"/>
  <c r="I110" i="15" s="1"/>
  <c r="I109" i="15"/>
  <c r="G109" i="15"/>
  <c r="I108" i="15"/>
  <c r="G108" i="15"/>
  <c r="B107" i="15" s="1"/>
  <c r="D107" i="15" s="1"/>
  <c r="G105" i="15"/>
  <c r="I105" i="15" s="1"/>
  <c r="G104" i="15"/>
  <c r="I104" i="15" s="1"/>
  <c r="G103" i="15"/>
  <c r="G100" i="15"/>
  <c r="I100" i="15" s="1"/>
  <c r="G99" i="15"/>
  <c r="I99" i="15" s="1"/>
  <c r="G98" i="15"/>
  <c r="I98" i="15" s="1"/>
  <c r="G97" i="15"/>
  <c r="I97" i="15" s="1"/>
  <c r="G96" i="15"/>
  <c r="I96" i="15" s="1"/>
  <c r="G95" i="15"/>
  <c r="I95" i="15" s="1"/>
  <c r="G94" i="15"/>
  <c r="G91" i="15"/>
  <c r="I91" i="15" s="1"/>
  <c r="G90" i="15"/>
  <c r="I90" i="15" s="1"/>
  <c r="G89" i="15"/>
  <c r="G86" i="15"/>
  <c r="I86" i="15" s="1"/>
  <c r="G85" i="15"/>
  <c r="I85" i="15" s="1"/>
  <c r="G84" i="15"/>
  <c r="I84" i="15" s="1"/>
  <c r="I83" i="15"/>
  <c r="G74" i="15"/>
  <c r="I74" i="15" s="1"/>
  <c r="G72" i="15"/>
  <c r="I72" i="15" s="1"/>
  <c r="G71" i="15"/>
  <c r="I71" i="15" s="1"/>
  <c r="G70" i="15"/>
  <c r="I70" i="15" s="1"/>
  <c r="G67" i="15"/>
  <c r="I67" i="15" s="1"/>
  <c r="G66" i="15"/>
  <c r="G63" i="15"/>
  <c r="I63" i="15" s="1"/>
  <c r="I62" i="15"/>
  <c r="G62" i="15"/>
  <c r="G57" i="15"/>
  <c r="I57" i="15" s="1"/>
  <c r="G56" i="15"/>
  <c r="I56" i="15" s="1"/>
  <c r="H55" i="15"/>
  <c r="G55" i="15"/>
  <c r="I55" i="15" s="1"/>
  <c r="G54" i="15"/>
  <c r="I54" i="15" s="1"/>
  <c r="G53" i="15"/>
  <c r="G52" i="15"/>
  <c r="I52" i="15" s="1"/>
  <c r="G51" i="15"/>
  <c r="I51" i="15" s="1"/>
  <c r="G50" i="15"/>
  <c r="I50" i="15" s="1"/>
  <c r="G49" i="15"/>
  <c r="I49" i="15" s="1"/>
  <c r="D42" i="15"/>
  <c r="D40" i="15"/>
  <c r="H28" i="15"/>
  <c r="I26" i="15"/>
  <c r="I25" i="15"/>
  <c r="B24" i="15"/>
  <c r="I22" i="15"/>
  <c r="B22" i="15"/>
  <c r="I20" i="15"/>
  <c r="I19" i="15"/>
  <c r="I18" i="15"/>
  <c r="I17" i="15"/>
  <c r="I16" i="15"/>
  <c r="I15" i="15"/>
  <c r="I14" i="15"/>
  <c r="B13" i="15"/>
  <c r="G7" i="15"/>
  <c r="G6" i="15"/>
  <c r="G5" i="15"/>
  <c r="G149" i="14"/>
  <c r="G143" i="14"/>
  <c r="I143" i="14" s="1"/>
  <c r="G142" i="14"/>
  <c r="B141" i="14" s="1"/>
  <c r="D141" i="14" s="1"/>
  <c r="G139" i="14"/>
  <c r="I136" i="14"/>
  <c r="G136" i="14"/>
  <c r="G135" i="14"/>
  <c r="I135" i="14" s="1"/>
  <c r="I134" i="14"/>
  <c r="G134" i="14"/>
  <c r="G131" i="14"/>
  <c r="G128" i="14"/>
  <c r="I128" i="14" s="1"/>
  <c r="G123" i="14"/>
  <c r="I123" i="14" s="1"/>
  <c r="G122" i="14"/>
  <c r="I122" i="14" s="1"/>
  <c r="G119" i="14"/>
  <c r="I119" i="14" s="1"/>
  <c r="G118" i="14"/>
  <c r="G115" i="14"/>
  <c r="I115" i="14" s="1"/>
  <c r="G114" i="14"/>
  <c r="I114" i="14" s="1"/>
  <c r="G113" i="14"/>
  <c r="G110" i="14"/>
  <c r="I110" i="14" s="1"/>
  <c r="G109" i="14"/>
  <c r="I109" i="14" s="1"/>
  <c r="G108" i="14"/>
  <c r="G105" i="14"/>
  <c r="I105" i="14" s="1"/>
  <c r="G104" i="14"/>
  <c r="I104" i="14" s="1"/>
  <c r="G103" i="14"/>
  <c r="G100" i="14"/>
  <c r="I100" i="14" s="1"/>
  <c r="G99" i="14"/>
  <c r="I99" i="14" s="1"/>
  <c r="I98" i="14"/>
  <c r="G98" i="14"/>
  <c r="G97" i="14"/>
  <c r="I97" i="14" s="1"/>
  <c r="G96" i="14"/>
  <c r="I96" i="14" s="1"/>
  <c r="G95" i="14"/>
  <c r="I95" i="14" s="1"/>
  <c r="G94" i="14"/>
  <c r="G91" i="14"/>
  <c r="I91" i="14" s="1"/>
  <c r="G90" i="14"/>
  <c r="I90" i="14" s="1"/>
  <c r="G89" i="14"/>
  <c r="G86" i="14"/>
  <c r="I86" i="14" s="1"/>
  <c r="G85" i="14"/>
  <c r="I85" i="14" s="1"/>
  <c r="G84" i="14"/>
  <c r="I84" i="14" s="1"/>
  <c r="G83" i="14"/>
  <c r="G74" i="14"/>
  <c r="I74" i="14" s="1"/>
  <c r="G72" i="14"/>
  <c r="I72" i="14" s="1"/>
  <c r="G71" i="14"/>
  <c r="I71" i="14" s="1"/>
  <c r="G70" i="14"/>
  <c r="I70" i="14" s="1"/>
  <c r="G67" i="14"/>
  <c r="I67" i="14" s="1"/>
  <c r="G66" i="14"/>
  <c r="G63" i="14"/>
  <c r="I63" i="14" s="1"/>
  <c r="G62" i="14"/>
  <c r="G57" i="14"/>
  <c r="I57" i="14" s="1"/>
  <c r="G56" i="14"/>
  <c r="I56" i="14" s="1"/>
  <c r="H55" i="14"/>
  <c r="G55" i="14"/>
  <c r="G54" i="14"/>
  <c r="I54" i="14" s="1"/>
  <c r="G53" i="14"/>
  <c r="G52" i="14"/>
  <c r="I52" i="14" s="1"/>
  <c r="G51" i="14"/>
  <c r="I51" i="14" s="1"/>
  <c r="G50" i="14"/>
  <c r="I50" i="14" s="1"/>
  <c r="G49" i="14"/>
  <c r="I49" i="14" s="1"/>
  <c r="H28" i="14"/>
  <c r="I26" i="14"/>
  <c r="I25" i="14"/>
  <c r="B24" i="14"/>
  <c r="I22" i="14"/>
  <c r="B22" i="14"/>
  <c r="I20" i="14"/>
  <c r="I19" i="14"/>
  <c r="I18" i="14"/>
  <c r="I17" i="14"/>
  <c r="I16" i="14"/>
  <c r="I15" i="14"/>
  <c r="I14" i="14"/>
  <c r="B13" i="14"/>
  <c r="G7" i="14"/>
  <c r="G6" i="14"/>
  <c r="G5" i="14"/>
  <c r="G149" i="13"/>
  <c r="G143" i="13"/>
  <c r="I143" i="13" s="1"/>
  <c r="G142" i="13"/>
  <c r="G139" i="13"/>
  <c r="I136" i="13"/>
  <c r="G136" i="13"/>
  <c r="I135" i="13"/>
  <c r="G135" i="13"/>
  <c r="G134" i="13"/>
  <c r="I134" i="13" s="1"/>
  <c r="G131" i="13"/>
  <c r="G128" i="13"/>
  <c r="I128" i="13" s="1"/>
  <c r="G123" i="13"/>
  <c r="I123" i="13" s="1"/>
  <c r="G122" i="13"/>
  <c r="I122" i="13" s="1"/>
  <c r="G119" i="13"/>
  <c r="I119" i="13" s="1"/>
  <c r="G118" i="13"/>
  <c r="G46" i="13" s="1"/>
  <c r="G115" i="13"/>
  <c r="I115" i="13" s="1"/>
  <c r="G114" i="13"/>
  <c r="I114" i="13" s="1"/>
  <c r="G113" i="13"/>
  <c r="G110" i="13"/>
  <c r="I110" i="13" s="1"/>
  <c r="G109" i="13"/>
  <c r="I109" i="13" s="1"/>
  <c r="G108" i="13"/>
  <c r="G105" i="13"/>
  <c r="I105" i="13" s="1"/>
  <c r="G104" i="13"/>
  <c r="I104" i="13" s="1"/>
  <c r="G103" i="13"/>
  <c r="G100" i="13"/>
  <c r="I100" i="13" s="1"/>
  <c r="G99" i="13"/>
  <c r="I99" i="13" s="1"/>
  <c r="G98" i="13"/>
  <c r="I98" i="13" s="1"/>
  <c r="G97" i="13"/>
  <c r="I97" i="13" s="1"/>
  <c r="G96" i="13"/>
  <c r="I96" i="13" s="1"/>
  <c r="G95" i="13"/>
  <c r="I95" i="13" s="1"/>
  <c r="G94" i="13"/>
  <c r="G91" i="13"/>
  <c r="I91" i="13" s="1"/>
  <c r="G90" i="13"/>
  <c r="I90" i="13" s="1"/>
  <c r="G89" i="13"/>
  <c r="G86" i="13"/>
  <c r="I86" i="13" s="1"/>
  <c r="G85" i="13"/>
  <c r="I85" i="13" s="1"/>
  <c r="G84" i="13"/>
  <c r="I84" i="13" s="1"/>
  <c r="G83" i="13"/>
  <c r="G74" i="13"/>
  <c r="I74" i="13" s="1"/>
  <c r="G72" i="13"/>
  <c r="I72" i="13" s="1"/>
  <c r="G71" i="13"/>
  <c r="I71" i="13" s="1"/>
  <c r="G70" i="13"/>
  <c r="I70" i="13" s="1"/>
  <c r="G67" i="13"/>
  <c r="I67" i="13" s="1"/>
  <c r="G66" i="13"/>
  <c r="G63" i="13"/>
  <c r="I63" i="13" s="1"/>
  <c r="G62" i="13"/>
  <c r="G57" i="13"/>
  <c r="I57" i="13" s="1"/>
  <c r="G56" i="13"/>
  <c r="I56" i="13" s="1"/>
  <c r="H55" i="13"/>
  <c r="C48" i="13" s="1"/>
  <c r="C47" i="13" s="1"/>
  <c r="G55" i="13"/>
  <c r="G54" i="13"/>
  <c r="I54" i="13" s="1"/>
  <c r="G53" i="13"/>
  <c r="G52" i="13"/>
  <c r="I52" i="13" s="1"/>
  <c r="G51" i="13"/>
  <c r="I51" i="13" s="1"/>
  <c r="G50" i="13"/>
  <c r="I50" i="13" s="1"/>
  <c r="G49" i="13"/>
  <c r="I49" i="13" s="1"/>
  <c r="H28" i="13"/>
  <c r="I26" i="13"/>
  <c r="I25" i="13"/>
  <c r="B24" i="13"/>
  <c r="I22" i="13"/>
  <c r="B22" i="13"/>
  <c r="I20" i="13"/>
  <c r="I19" i="13"/>
  <c r="I18" i="13"/>
  <c r="I17" i="13"/>
  <c r="I16" i="13"/>
  <c r="I15" i="13"/>
  <c r="I14" i="13"/>
  <c r="B13" i="13"/>
  <c r="G7" i="13"/>
  <c r="G6" i="13"/>
  <c r="G5" i="13"/>
  <c r="B4" i="13" s="1"/>
  <c r="E44" i="12"/>
  <c r="G143" i="12"/>
  <c r="I143" i="12" s="1"/>
  <c r="G142" i="12"/>
  <c r="G139" i="12"/>
  <c r="G136" i="12"/>
  <c r="I136" i="12" s="1"/>
  <c r="G135" i="12"/>
  <c r="I135" i="12" s="1"/>
  <c r="G134" i="12"/>
  <c r="G131" i="12"/>
  <c r="G128" i="12"/>
  <c r="I128" i="12" s="1"/>
  <c r="G123" i="12"/>
  <c r="I123" i="12" s="1"/>
  <c r="G122" i="12"/>
  <c r="I122" i="12" s="1"/>
  <c r="G119" i="12"/>
  <c r="G118" i="12"/>
  <c r="G115" i="12"/>
  <c r="I115" i="12" s="1"/>
  <c r="G114" i="12"/>
  <c r="G113" i="12"/>
  <c r="I113" i="12" s="1"/>
  <c r="G110" i="12"/>
  <c r="G109" i="12"/>
  <c r="I109" i="12" s="1"/>
  <c r="G108" i="12"/>
  <c r="I108" i="12" s="1"/>
  <c r="G105" i="12"/>
  <c r="I105" i="12" s="1"/>
  <c r="G104" i="12"/>
  <c r="I104" i="12" s="1"/>
  <c r="G103" i="12"/>
  <c r="G100" i="12"/>
  <c r="I100" i="12" s="1"/>
  <c r="G99" i="12"/>
  <c r="I99" i="12" s="1"/>
  <c r="G98" i="12"/>
  <c r="I98" i="12" s="1"/>
  <c r="G97" i="12"/>
  <c r="I97" i="12" s="1"/>
  <c r="G96" i="12"/>
  <c r="I96" i="12" s="1"/>
  <c r="G95" i="12"/>
  <c r="I95" i="12" s="1"/>
  <c r="G94" i="12"/>
  <c r="G91" i="12"/>
  <c r="I91" i="12" s="1"/>
  <c r="G90" i="12"/>
  <c r="I90" i="12" s="1"/>
  <c r="G89" i="12"/>
  <c r="G86" i="12"/>
  <c r="I86" i="12" s="1"/>
  <c r="G85" i="12"/>
  <c r="I85" i="12" s="1"/>
  <c r="G84" i="12"/>
  <c r="G83" i="12"/>
  <c r="I83" i="12" s="1"/>
  <c r="G74" i="12"/>
  <c r="G72" i="12"/>
  <c r="I72" i="12" s="1"/>
  <c r="I71" i="12"/>
  <c r="G71" i="12"/>
  <c r="G70" i="12"/>
  <c r="I70" i="12" s="1"/>
  <c r="G67" i="12"/>
  <c r="I67" i="12" s="1"/>
  <c r="G66" i="12"/>
  <c r="I66" i="12" s="1"/>
  <c r="G63" i="12"/>
  <c r="G62" i="12"/>
  <c r="I62" i="12" s="1"/>
  <c r="G57" i="12"/>
  <c r="I57" i="12" s="1"/>
  <c r="G56" i="12"/>
  <c r="I56" i="12" s="1"/>
  <c r="H55" i="12"/>
  <c r="G55" i="12"/>
  <c r="G54" i="12"/>
  <c r="I54" i="12" s="1"/>
  <c r="G53" i="12"/>
  <c r="G52" i="12"/>
  <c r="I52" i="12" s="1"/>
  <c r="G51" i="12"/>
  <c r="I51" i="12" s="1"/>
  <c r="G50" i="12"/>
  <c r="I50" i="12" s="1"/>
  <c r="G49" i="12"/>
  <c r="I49" i="12" s="1"/>
  <c r="H28" i="12"/>
  <c r="I26" i="12"/>
  <c r="I25" i="12"/>
  <c r="B24" i="12"/>
  <c r="I22" i="12"/>
  <c r="B22" i="12"/>
  <c r="I20" i="12"/>
  <c r="I19" i="12"/>
  <c r="I18" i="12"/>
  <c r="I17" i="12"/>
  <c r="I16" i="12"/>
  <c r="I15" i="12"/>
  <c r="I14" i="12"/>
  <c r="B13" i="12"/>
  <c r="G7" i="12"/>
  <c r="G6" i="12"/>
  <c r="G5" i="12"/>
  <c r="G143" i="11"/>
  <c r="I143" i="11" s="1"/>
  <c r="G142" i="11"/>
  <c r="G139" i="11"/>
  <c r="G136" i="11"/>
  <c r="I136" i="11" s="1"/>
  <c r="G135" i="11"/>
  <c r="I135" i="11" s="1"/>
  <c r="G134" i="11"/>
  <c r="G131" i="11"/>
  <c r="G128" i="11"/>
  <c r="I128" i="11" s="1"/>
  <c r="G123" i="11"/>
  <c r="I123" i="11" s="1"/>
  <c r="G122" i="11"/>
  <c r="G119" i="11"/>
  <c r="I119" i="11" s="1"/>
  <c r="G118" i="11"/>
  <c r="I118" i="11" s="1"/>
  <c r="G115" i="11"/>
  <c r="I115" i="11" s="1"/>
  <c r="G114" i="11"/>
  <c r="G113" i="11"/>
  <c r="I113" i="11" s="1"/>
  <c r="G110" i="11"/>
  <c r="G109" i="11"/>
  <c r="I109" i="11" s="1"/>
  <c r="G108" i="11"/>
  <c r="I108" i="11" s="1"/>
  <c r="G105" i="11"/>
  <c r="I105" i="11" s="1"/>
  <c r="G104" i="11"/>
  <c r="G103" i="11"/>
  <c r="I103" i="11" s="1"/>
  <c r="G100" i="11"/>
  <c r="I100" i="11" s="1"/>
  <c r="G99" i="11"/>
  <c r="I99" i="11" s="1"/>
  <c r="G98" i="11"/>
  <c r="I98" i="11" s="1"/>
  <c r="G97" i="11"/>
  <c r="I97" i="11" s="1"/>
  <c r="G96" i="11"/>
  <c r="G95" i="11"/>
  <c r="I95" i="11" s="1"/>
  <c r="G94" i="11"/>
  <c r="I94" i="11" s="1"/>
  <c r="G91" i="11"/>
  <c r="I91" i="11" s="1"/>
  <c r="G90" i="11"/>
  <c r="I90" i="11" s="1"/>
  <c r="G89" i="11"/>
  <c r="B88" i="11" s="1"/>
  <c r="D88" i="11" s="1"/>
  <c r="G86" i="11"/>
  <c r="I86" i="11" s="1"/>
  <c r="J81" i="15" s="1"/>
  <c r="G85" i="11"/>
  <c r="I85" i="11" s="1"/>
  <c r="J80" i="15" s="1"/>
  <c r="G84" i="11"/>
  <c r="I84" i="11" s="1"/>
  <c r="J79" i="15" s="1"/>
  <c r="G83" i="11"/>
  <c r="G74" i="11"/>
  <c r="G72" i="11"/>
  <c r="I72" i="11" s="1"/>
  <c r="G71" i="11"/>
  <c r="I71" i="11" s="1"/>
  <c r="I70" i="11"/>
  <c r="G70" i="11"/>
  <c r="G67" i="11"/>
  <c r="I67" i="11" s="1"/>
  <c r="G66" i="11"/>
  <c r="I66" i="11" s="1"/>
  <c r="G63" i="11"/>
  <c r="G62" i="11"/>
  <c r="I62" i="11" s="1"/>
  <c r="G57" i="11"/>
  <c r="I57" i="11" s="1"/>
  <c r="G56" i="11"/>
  <c r="I56" i="11" s="1"/>
  <c r="H55" i="11"/>
  <c r="G55" i="11"/>
  <c r="G54" i="11"/>
  <c r="I54" i="11" s="1"/>
  <c r="G53" i="11"/>
  <c r="G52" i="11"/>
  <c r="I52" i="11" s="1"/>
  <c r="G51" i="11"/>
  <c r="I51" i="11" s="1"/>
  <c r="G50" i="11"/>
  <c r="I50" i="11" s="1"/>
  <c r="G49" i="11"/>
  <c r="I49" i="11" s="1"/>
  <c r="E44" i="11"/>
  <c r="H28" i="11"/>
  <c r="I26" i="11"/>
  <c r="I25" i="11"/>
  <c r="B24" i="11"/>
  <c r="I22" i="11"/>
  <c r="B22" i="11"/>
  <c r="I20" i="11"/>
  <c r="I19" i="11"/>
  <c r="I18" i="11"/>
  <c r="I17" i="11"/>
  <c r="I16" i="11"/>
  <c r="I15" i="11"/>
  <c r="I14" i="11"/>
  <c r="B13" i="11"/>
  <c r="G7" i="11"/>
  <c r="G6" i="11"/>
  <c r="G5" i="11"/>
  <c r="G143" i="10"/>
  <c r="I143" i="10" s="1"/>
  <c r="G142" i="10"/>
  <c r="G139" i="10"/>
  <c r="G136" i="10"/>
  <c r="I136" i="10" s="1"/>
  <c r="G135" i="10"/>
  <c r="I135" i="10" s="1"/>
  <c r="G134" i="10"/>
  <c r="G131" i="10"/>
  <c r="B130" i="10" s="1"/>
  <c r="D42" i="10" s="1"/>
  <c r="G128" i="10"/>
  <c r="I128" i="10" s="1"/>
  <c r="G123" i="10"/>
  <c r="I123" i="10" s="1"/>
  <c r="G122" i="10"/>
  <c r="G119" i="10"/>
  <c r="I119" i="10" s="1"/>
  <c r="G118" i="10"/>
  <c r="I118" i="10" s="1"/>
  <c r="G115" i="10"/>
  <c r="G114" i="10"/>
  <c r="I114" i="10" s="1"/>
  <c r="G113" i="10"/>
  <c r="I113" i="10" s="1"/>
  <c r="G110" i="10"/>
  <c r="G109" i="10"/>
  <c r="I109" i="10" s="1"/>
  <c r="G108" i="10"/>
  <c r="I108" i="10" s="1"/>
  <c r="G105" i="10"/>
  <c r="I105" i="10" s="1"/>
  <c r="G104" i="10"/>
  <c r="G103" i="10"/>
  <c r="I103" i="10" s="1"/>
  <c r="G100" i="10"/>
  <c r="I100" i="10" s="1"/>
  <c r="G99" i="10"/>
  <c r="I99" i="10" s="1"/>
  <c r="G98" i="10"/>
  <c r="I98" i="10" s="1"/>
  <c r="G97" i="10"/>
  <c r="I97" i="10" s="1"/>
  <c r="G96" i="10"/>
  <c r="I96" i="10" s="1"/>
  <c r="G95" i="10"/>
  <c r="I95" i="10" s="1"/>
  <c r="G94" i="10"/>
  <c r="G91" i="10"/>
  <c r="I91" i="10" s="1"/>
  <c r="G90" i="10"/>
  <c r="I90" i="10" s="1"/>
  <c r="G89" i="10"/>
  <c r="G86" i="10"/>
  <c r="I86" i="10" s="1"/>
  <c r="G85" i="10"/>
  <c r="I85" i="10" s="1"/>
  <c r="G84" i="10"/>
  <c r="G83" i="10"/>
  <c r="I83" i="10" s="1"/>
  <c r="G74" i="10"/>
  <c r="I74" i="10" s="1"/>
  <c r="G72" i="10"/>
  <c r="I72" i="10" s="1"/>
  <c r="G71" i="10"/>
  <c r="I71" i="10" s="1"/>
  <c r="G70" i="10"/>
  <c r="I70" i="10" s="1"/>
  <c r="G67" i="10"/>
  <c r="G66" i="10"/>
  <c r="I66" i="10" s="1"/>
  <c r="G63" i="10"/>
  <c r="G62" i="10"/>
  <c r="G57" i="10"/>
  <c r="I57" i="10" s="1"/>
  <c r="G56" i="10"/>
  <c r="I56" i="10" s="1"/>
  <c r="H55" i="10"/>
  <c r="G55" i="10"/>
  <c r="G54" i="10"/>
  <c r="I54" i="10" s="1"/>
  <c r="G53" i="10"/>
  <c r="G52" i="10"/>
  <c r="I52" i="10" s="1"/>
  <c r="G51" i="10"/>
  <c r="I51" i="10" s="1"/>
  <c r="G50" i="10"/>
  <c r="I50" i="10" s="1"/>
  <c r="G49" i="10"/>
  <c r="I49" i="10" s="1"/>
  <c r="E44" i="10"/>
  <c r="H28" i="10"/>
  <c r="I26" i="10"/>
  <c r="I25" i="10"/>
  <c r="B24" i="10"/>
  <c r="I22" i="10"/>
  <c r="B22" i="10"/>
  <c r="I20" i="10"/>
  <c r="I19" i="10"/>
  <c r="I18" i="10"/>
  <c r="I17" i="10"/>
  <c r="I16" i="10"/>
  <c r="I15" i="10"/>
  <c r="I14" i="10"/>
  <c r="B13" i="10"/>
  <c r="G7" i="10"/>
  <c r="G5" i="10"/>
  <c r="G143" i="9"/>
  <c r="I142" i="9"/>
  <c r="G142" i="9"/>
  <c r="G139" i="9"/>
  <c r="G136" i="9"/>
  <c r="I136" i="9" s="1"/>
  <c r="G135" i="9"/>
  <c r="I135" i="9" s="1"/>
  <c r="G134" i="9"/>
  <c r="G131" i="9"/>
  <c r="B130" i="9" s="1"/>
  <c r="D42" i="9" s="1"/>
  <c r="G128" i="9"/>
  <c r="I128" i="9" s="1"/>
  <c r="G123" i="9"/>
  <c r="G122" i="9"/>
  <c r="I122" i="9" s="1"/>
  <c r="G119" i="9"/>
  <c r="I119" i="9" s="1"/>
  <c r="G118" i="9"/>
  <c r="I118" i="9" s="1"/>
  <c r="G115" i="9"/>
  <c r="I115" i="9" s="1"/>
  <c r="G114" i="9"/>
  <c r="G113" i="9"/>
  <c r="I113" i="9" s="1"/>
  <c r="G110" i="9"/>
  <c r="G109" i="9"/>
  <c r="I109" i="9" s="1"/>
  <c r="G108" i="9"/>
  <c r="I108" i="9" s="1"/>
  <c r="G105" i="9"/>
  <c r="I105" i="9" s="1"/>
  <c r="G104" i="9"/>
  <c r="I104" i="9" s="1"/>
  <c r="G103" i="9"/>
  <c r="G100" i="9"/>
  <c r="I100" i="9" s="1"/>
  <c r="G99" i="9"/>
  <c r="I99" i="9" s="1"/>
  <c r="G98" i="9"/>
  <c r="I98" i="9" s="1"/>
  <c r="G97" i="9"/>
  <c r="I97" i="9" s="1"/>
  <c r="G96" i="9"/>
  <c r="I96" i="9" s="1"/>
  <c r="G95" i="9"/>
  <c r="G94" i="9"/>
  <c r="I94" i="9" s="1"/>
  <c r="G91" i="9"/>
  <c r="I91" i="9" s="1"/>
  <c r="G90" i="9"/>
  <c r="I90" i="9" s="1"/>
  <c r="G89" i="9"/>
  <c r="G86" i="9"/>
  <c r="G85" i="9"/>
  <c r="I85" i="9" s="1"/>
  <c r="G84" i="9"/>
  <c r="I84" i="9" s="1"/>
  <c r="G83" i="9"/>
  <c r="I83" i="9" s="1"/>
  <c r="G74" i="9"/>
  <c r="G72" i="9"/>
  <c r="I72" i="9" s="1"/>
  <c r="G71" i="9"/>
  <c r="I71" i="9" s="1"/>
  <c r="G70" i="9"/>
  <c r="I70" i="9" s="1"/>
  <c r="G67" i="9"/>
  <c r="I67" i="9" s="1"/>
  <c r="G66" i="9"/>
  <c r="I66" i="9" s="1"/>
  <c r="G63" i="9"/>
  <c r="G62" i="9"/>
  <c r="I62" i="9" s="1"/>
  <c r="G57" i="9"/>
  <c r="I57" i="9" s="1"/>
  <c r="G56" i="9"/>
  <c r="I56" i="9" s="1"/>
  <c r="H55" i="9"/>
  <c r="G55" i="9"/>
  <c r="G54" i="9"/>
  <c r="I54" i="9" s="1"/>
  <c r="G53" i="9"/>
  <c r="G52" i="9"/>
  <c r="I52" i="9" s="1"/>
  <c r="G51" i="9"/>
  <c r="I51" i="9" s="1"/>
  <c r="G50" i="9"/>
  <c r="I50" i="9" s="1"/>
  <c r="G49" i="9"/>
  <c r="I49" i="9" s="1"/>
  <c r="E44" i="9"/>
  <c r="H28" i="9"/>
  <c r="I26" i="9"/>
  <c r="I25" i="9"/>
  <c r="B24" i="9"/>
  <c r="I22" i="9"/>
  <c r="B22" i="9"/>
  <c r="I20" i="9"/>
  <c r="I19" i="9"/>
  <c r="I18" i="9"/>
  <c r="I17" i="9"/>
  <c r="I16" i="9"/>
  <c r="I15" i="9"/>
  <c r="I14" i="9"/>
  <c r="B13" i="9"/>
  <c r="G7" i="9"/>
  <c r="G5" i="9"/>
  <c r="I143" i="8"/>
  <c r="G143" i="8"/>
  <c r="I142" i="8"/>
  <c r="G142" i="8"/>
  <c r="G139" i="8"/>
  <c r="G136" i="8"/>
  <c r="I136" i="8" s="1"/>
  <c r="G135" i="8"/>
  <c r="I135" i="8" s="1"/>
  <c r="G134" i="8"/>
  <c r="G131" i="8"/>
  <c r="G128" i="8"/>
  <c r="I128" i="8" s="1"/>
  <c r="G123" i="8"/>
  <c r="I123" i="8" s="1"/>
  <c r="G122" i="8"/>
  <c r="G119" i="8"/>
  <c r="I119" i="8" s="1"/>
  <c r="G118" i="8"/>
  <c r="G115" i="8"/>
  <c r="I115" i="8" s="1"/>
  <c r="G114" i="8"/>
  <c r="G113" i="8"/>
  <c r="I113" i="8" s="1"/>
  <c r="G110" i="8"/>
  <c r="I110" i="8" s="1"/>
  <c r="G109" i="8"/>
  <c r="I109" i="8" s="1"/>
  <c r="G108" i="8"/>
  <c r="G105" i="8"/>
  <c r="I105" i="8" s="1"/>
  <c r="G104" i="8"/>
  <c r="I104" i="8" s="1"/>
  <c r="G103" i="8"/>
  <c r="G100" i="8"/>
  <c r="I100" i="8" s="1"/>
  <c r="G99" i="8"/>
  <c r="I99" i="8" s="1"/>
  <c r="G98" i="8"/>
  <c r="I98" i="8" s="1"/>
  <c r="I97" i="8"/>
  <c r="G97" i="8"/>
  <c r="I96" i="8"/>
  <c r="G96" i="8"/>
  <c r="I95" i="8"/>
  <c r="G95" i="8"/>
  <c r="I94" i="8"/>
  <c r="G94" i="8"/>
  <c r="G91" i="8"/>
  <c r="I91" i="8" s="1"/>
  <c r="G90" i="8"/>
  <c r="I90" i="8" s="1"/>
  <c r="G89" i="8"/>
  <c r="G86" i="8"/>
  <c r="I86" i="8" s="1"/>
  <c r="G85" i="8"/>
  <c r="G84" i="8"/>
  <c r="I84" i="8" s="1"/>
  <c r="G83" i="8"/>
  <c r="I83" i="8" s="1"/>
  <c r="G74" i="8"/>
  <c r="I74" i="8" s="1"/>
  <c r="G72" i="8"/>
  <c r="G71" i="8"/>
  <c r="I71" i="8" s="1"/>
  <c r="G70" i="8"/>
  <c r="I70" i="8" s="1"/>
  <c r="G67" i="8"/>
  <c r="I67" i="8" s="1"/>
  <c r="G66" i="8"/>
  <c r="I66" i="8" s="1"/>
  <c r="G63" i="8"/>
  <c r="I63" i="8" s="1"/>
  <c r="G62" i="8"/>
  <c r="G57" i="8"/>
  <c r="G56" i="8"/>
  <c r="I56" i="8" s="1"/>
  <c r="H55" i="8"/>
  <c r="G55" i="8"/>
  <c r="G54" i="8"/>
  <c r="I54" i="8" s="1"/>
  <c r="G53" i="8"/>
  <c r="I53" i="8" s="1"/>
  <c r="G52" i="8"/>
  <c r="I52" i="8" s="1"/>
  <c r="G51" i="8"/>
  <c r="I51" i="8" s="1"/>
  <c r="G50" i="8"/>
  <c r="I50" i="8" s="1"/>
  <c r="G49" i="8"/>
  <c r="I49" i="8" s="1"/>
  <c r="E44" i="8"/>
  <c r="H28" i="8"/>
  <c r="I26" i="8"/>
  <c r="I25" i="8"/>
  <c r="B24" i="8"/>
  <c r="I22" i="8"/>
  <c r="B22" i="8"/>
  <c r="I20" i="8"/>
  <c r="I19" i="8"/>
  <c r="I18" i="8"/>
  <c r="I17" i="8"/>
  <c r="I16" i="8"/>
  <c r="I15" i="8"/>
  <c r="I14" i="8"/>
  <c r="B13" i="8"/>
  <c r="G7" i="8"/>
  <c r="G6" i="8"/>
  <c r="G5" i="8"/>
  <c r="M41" i="12"/>
  <c r="M41" i="11"/>
  <c r="M41" i="10"/>
  <c r="N46" i="7"/>
  <c r="N41" i="7" s="1"/>
  <c r="M46" i="7"/>
  <c r="M41" i="7" s="1"/>
  <c r="L46" i="7"/>
  <c r="G143" i="7"/>
  <c r="I143" i="7" s="1"/>
  <c r="I142" i="7"/>
  <c r="G142" i="7"/>
  <c r="G139" i="7"/>
  <c r="G136" i="7"/>
  <c r="G135" i="7"/>
  <c r="G134" i="7"/>
  <c r="G131" i="7"/>
  <c r="G128" i="7"/>
  <c r="G123" i="7"/>
  <c r="G122" i="7"/>
  <c r="G119" i="7"/>
  <c r="I119" i="7" s="1"/>
  <c r="G118" i="7"/>
  <c r="G115" i="7"/>
  <c r="G114" i="7"/>
  <c r="I114" i="7" s="1"/>
  <c r="G113" i="7"/>
  <c r="G110" i="7"/>
  <c r="I110" i="7" s="1"/>
  <c r="G109" i="7"/>
  <c r="I109" i="7" s="1"/>
  <c r="G108" i="7"/>
  <c r="G105" i="7"/>
  <c r="I105" i="7" s="1"/>
  <c r="G104" i="7"/>
  <c r="I104" i="7" s="1"/>
  <c r="G103" i="7"/>
  <c r="G100" i="7"/>
  <c r="I100" i="7" s="1"/>
  <c r="G99" i="7"/>
  <c r="I99" i="7" s="1"/>
  <c r="G98" i="7"/>
  <c r="I98" i="7" s="1"/>
  <c r="G97" i="7"/>
  <c r="I97" i="7" s="1"/>
  <c r="G96" i="7"/>
  <c r="I96" i="7" s="1"/>
  <c r="G95" i="7"/>
  <c r="I95" i="7" s="1"/>
  <c r="G94" i="7"/>
  <c r="G91" i="7"/>
  <c r="I91" i="7" s="1"/>
  <c r="G90" i="7"/>
  <c r="I90" i="7" s="1"/>
  <c r="G89" i="7"/>
  <c r="G86" i="7"/>
  <c r="I86" i="7" s="1"/>
  <c r="G85" i="7"/>
  <c r="I85" i="7" s="1"/>
  <c r="G84" i="7"/>
  <c r="I84" i="7" s="1"/>
  <c r="G83" i="7"/>
  <c r="G74" i="7"/>
  <c r="I74" i="7" s="1"/>
  <c r="G72" i="7"/>
  <c r="I72" i="7" s="1"/>
  <c r="G71" i="7"/>
  <c r="I71" i="7" s="1"/>
  <c r="G70" i="7"/>
  <c r="I70" i="7" s="1"/>
  <c r="G67" i="7"/>
  <c r="I67" i="7" s="1"/>
  <c r="G66" i="7"/>
  <c r="G63" i="7"/>
  <c r="I63" i="7" s="1"/>
  <c r="G62" i="7"/>
  <c r="G57" i="7"/>
  <c r="I57" i="7" s="1"/>
  <c r="G56" i="7"/>
  <c r="I56" i="7" s="1"/>
  <c r="H55" i="7"/>
  <c r="C48" i="7" s="1"/>
  <c r="C47" i="7" s="1"/>
  <c r="G55" i="7"/>
  <c r="G54" i="7"/>
  <c r="I54" i="7" s="1"/>
  <c r="G53" i="7"/>
  <c r="I53" i="7" s="1"/>
  <c r="G52" i="7"/>
  <c r="I52" i="7" s="1"/>
  <c r="G51" i="7"/>
  <c r="I51" i="7" s="1"/>
  <c r="G50" i="7"/>
  <c r="I50" i="7" s="1"/>
  <c r="G49" i="7"/>
  <c r="H46" i="7"/>
  <c r="E44" i="7"/>
  <c r="H28" i="7"/>
  <c r="I26" i="7"/>
  <c r="I25" i="7"/>
  <c r="B24" i="7"/>
  <c r="I22" i="7"/>
  <c r="B22" i="7"/>
  <c r="I20" i="7"/>
  <c r="I19" i="7"/>
  <c r="I18" i="7"/>
  <c r="I17" i="7"/>
  <c r="I16" i="7"/>
  <c r="I15" i="7"/>
  <c r="I14" i="7"/>
  <c r="B13" i="7"/>
  <c r="G7" i="7"/>
  <c r="G6" i="7"/>
  <c r="G5" i="7"/>
  <c r="I55" i="14" l="1"/>
  <c r="B133" i="14"/>
  <c r="D133" i="14" s="1"/>
  <c r="B93" i="14"/>
  <c r="D93" i="14" s="1"/>
  <c r="B141" i="15"/>
  <c r="D141" i="15" s="1"/>
  <c r="B65" i="15"/>
  <c r="D65" i="15" s="1"/>
  <c r="B61" i="15"/>
  <c r="D61" i="15" s="1"/>
  <c r="B117" i="14"/>
  <c r="D117" i="14" s="1"/>
  <c r="I94" i="14"/>
  <c r="B65" i="14"/>
  <c r="D65" i="14" s="1"/>
  <c r="I139" i="9"/>
  <c r="B138" i="9"/>
  <c r="D138" i="9" s="1"/>
  <c r="I131" i="12"/>
  <c r="D130" i="12" s="1"/>
  <c r="B130" i="12"/>
  <c r="D42" i="12" s="1"/>
  <c r="I149" i="13"/>
  <c r="A150" i="13"/>
  <c r="B147" i="13"/>
  <c r="G137" i="2"/>
  <c r="A138" i="2" s="1"/>
  <c r="I131" i="14"/>
  <c r="D130" i="14" s="1"/>
  <c r="B130" i="14"/>
  <c r="D42" i="14" s="1"/>
  <c r="I149" i="14"/>
  <c r="B147" i="14"/>
  <c r="A150" i="14"/>
  <c r="I134" i="15"/>
  <c r="B133" i="15"/>
  <c r="D133" i="15" s="1"/>
  <c r="I149" i="15"/>
  <c r="B147" i="15"/>
  <c r="A150" i="15"/>
  <c r="H46" i="16"/>
  <c r="C48" i="16"/>
  <c r="C47" i="16" s="1"/>
  <c r="I89" i="16"/>
  <c r="B88" i="16"/>
  <c r="I108" i="16"/>
  <c r="B107" i="16"/>
  <c r="I134" i="16"/>
  <c r="B133" i="16"/>
  <c r="D133" i="16" s="1"/>
  <c r="I149" i="16"/>
  <c r="A150" i="16"/>
  <c r="B147" i="16"/>
  <c r="B93" i="7"/>
  <c r="D93" i="7" s="1"/>
  <c r="B107" i="8"/>
  <c r="D107" i="8" s="1"/>
  <c r="I94" i="10"/>
  <c r="B93" i="10"/>
  <c r="D93" i="10" s="1"/>
  <c r="I131" i="10"/>
  <c r="D130" i="10" s="1"/>
  <c r="I139" i="10"/>
  <c r="B138" i="10"/>
  <c r="D138" i="10" s="1"/>
  <c r="I142" i="12"/>
  <c r="B141" i="12"/>
  <c r="D141" i="12" s="1"/>
  <c r="I139" i="13"/>
  <c r="B138" i="13"/>
  <c r="D138" i="13" s="1"/>
  <c r="B4" i="14"/>
  <c r="C48" i="14"/>
  <c r="C47" i="14" s="1"/>
  <c r="H46" i="14"/>
  <c r="I142" i="14"/>
  <c r="H46" i="15"/>
  <c r="C48" i="15"/>
  <c r="C47" i="15" s="1"/>
  <c r="I142" i="15"/>
  <c r="I103" i="16"/>
  <c r="B102" i="16"/>
  <c r="D102" i="16" s="1"/>
  <c r="I118" i="16"/>
  <c r="B117" i="16"/>
  <c r="I142" i="16"/>
  <c r="H46" i="9"/>
  <c r="C48" i="9"/>
  <c r="C47" i="9" s="1"/>
  <c r="H46" i="8"/>
  <c r="C48" i="8"/>
  <c r="C47" i="8" s="1"/>
  <c r="I103" i="8"/>
  <c r="B102" i="8"/>
  <c r="D102" i="8" s="1"/>
  <c r="I139" i="8"/>
  <c r="B138" i="8"/>
  <c r="D138" i="8" s="1"/>
  <c r="I103" i="9"/>
  <c r="B102" i="9"/>
  <c r="D102" i="9" s="1"/>
  <c r="I89" i="10"/>
  <c r="B88" i="10"/>
  <c r="B141" i="10"/>
  <c r="D141" i="10" s="1"/>
  <c r="B93" i="13"/>
  <c r="D93" i="13" s="1"/>
  <c r="B107" i="13"/>
  <c r="B117" i="13"/>
  <c r="D117" i="13" s="1"/>
  <c r="I131" i="13"/>
  <c r="D130" i="13" s="1"/>
  <c r="B130" i="13"/>
  <c r="D42" i="13" s="1"/>
  <c r="I142" i="13"/>
  <c r="B141" i="13"/>
  <c r="D141" i="13" s="1"/>
  <c r="B82" i="14"/>
  <c r="D38" i="14" s="1"/>
  <c r="B107" i="14"/>
  <c r="B93" i="15"/>
  <c r="D93" i="15" s="1"/>
  <c r="B112" i="15"/>
  <c r="I89" i="8"/>
  <c r="B88" i="8"/>
  <c r="B93" i="8"/>
  <c r="B133" i="8"/>
  <c r="D133" i="8" s="1"/>
  <c r="B141" i="8"/>
  <c r="D141" i="8" s="1"/>
  <c r="I89" i="9"/>
  <c r="B88" i="9"/>
  <c r="B141" i="9"/>
  <c r="H46" i="10"/>
  <c r="I46" i="10" s="1"/>
  <c r="C48" i="10"/>
  <c r="C47" i="10" s="1"/>
  <c r="I142" i="10"/>
  <c r="D39" i="11"/>
  <c r="H46" i="12"/>
  <c r="C48" i="12"/>
  <c r="C47" i="12" s="1"/>
  <c r="I94" i="13"/>
  <c r="I108" i="13"/>
  <c r="B133" i="13"/>
  <c r="D133" i="13" s="1"/>
  <c r="I83" i="14"/>
  <c r="I139" i="14"/>
  <c r="B138" i="14"/>
  <c r="D138" i="14" s="1"/>
  <c r="I131" i="15"/>
  <c r="D130" i="15" s="1"/>
  <c r="I139" i="15"/>
  <c r="B138" i="15"/>
  <c r="D138" i="15" s="1"/>
  <c r="I55" i="16"/>
  <c r="B61" i="16"/>
  <c r="D61" i="16" s="1"/>
  <c r="I66" i="16"/>
  <c r="B65" i="16"/>
  <c r="D65" i="16" s="1"/>
  <c r="B82" i="16"/>
  <c r="B93" i="16"/>
  <c r="B112" i="16"/>
  <c r="I131" i="16"/>
  <c r="D130" i="16" s="1"/>
  <c r="I139" i="16"/>
  <c r="B138" i="16"/>
  <c r="D138" i="16" s="1"/>
  <c r="B4" i="16"/>
  <c r="B4" i="15"/>
  <c r="B65" i="13"/>
  <c r="D65" i="13" s="1"/>
  <c r="I55" i="11"/>
  <c r="B141" i="11"/>
  <c r="D141" i="11" s="1"/>
  <c r="I89" i="12"/>
  <c r="B88" i="12"/>
  <c r="I103" i="12"/>
  <c r="B102" i="12"/>
  <c r="D102" i="12" s="1"/>
  <c r="I94" i="12"/>
  <c r="B93" i="12"/>
  <c r="I83" i="13"/>
  <c r="B82" i="13"/>
  <c r="I89" i="13"/>
  <c r="B88" i="13"/>
  <c r="I66" i="13"/>
  <c r="I118" i="13"/>
  <c r="I62" i="13"/>
  <c r="B61" i="13"/>
  <c r="D61" i="13" s="1"/>
  <c r="I103" i="13"/>
  <c r="B102" i="13"/>
  <c r="I113" i="13"/>
  <c r="B112" i="13"/>
  <c r="I89" i="14"/>
  <c r="B88" i="14"/>
  <c r="I103" i="14"/>
  <c r="B102" i="14"/>
  <c r="I66" i="14"/>
  <c r="I108" i="14"/>
  <c r="I118" i="14"/>
  <c r="I62" i="14"/>
  <c r="B61" i="14"/>
  <c r="D61" i="14" s="1"/>
  <c r="I113" i="14"/>
  <c r="B112" i="14"/>
  <c r="I89" i="15"/>
  <c r="B88" i="15"/>
  <c r="I118" i="15"/>
  <c r="B117" i="15"/>
  <c r="I66" i="15"/>
  <c r="B82" i="15"/>
  <c r="I94" i="15"/>
  <c r="I113" i="15"/>
  <c r="I103" i="15"/>
  <c r="B102" i="15"/>
  <c r="H46" i="11"/>
  <c r="C48" i="11"/>
  <c r="C47" i="11" s="1"/>
  <c r="I142" i="11"/>
  <c r="I89" i="11"/>
  <c r="I139" i="12"/>
  <c r="B138" i="12"/>
  <c r="D138" i="12" s="1"/>
  <c r="I110" i="12"/>
  <c r="B107" i="12"/>
  <c r="I114" i="12"/>
  <c r="B112" i="12"/>
  <c r="I84" i="12"/>
  <c r="B82" i="12"/>
  <c r="G46" i="12"/>
  <c r="G32" i="12" s="1"/>
  <c r="H30" i="1" s="1"/>
  <c r="I63" i="12"/>
  <c r="B61" i="12"/>
  <c r="D61" i="12" s="1"/>
  <c r="I118" i="12"/>
  <c r="I119" i="12"/>
  <c r="B117" i="12"/>
  <c r="D117" i="12" s="1"/>
  <c r="I134" i="12"/>
  <c r="B133" i="12"/>
  <c r="I74" i="12"/>
  <c r="B65" i="12"/>
  <c r="D65" i="12" s="1"/>
  <c r="I96" i="11"/>
  <c r="B93" i="11"/>
  <c r="D93" i="11" s="1"/>
  <c r="I114" i="11"/>
  <c r="B112" i="11"/>
  <c r="B4" i="12"/>
  <c r="I83" i="11"/>
  <c r="B82" i="11"/>
  <c r="I63" i="11"/>
  <c r="B61" i="11"/>
  <c r="D61" i="11" s="1"/>
  <c r="B4" i="11"/>
  <c r="I139" i="11"/>
  <c r="B138" i="11"/>
  <c r="D138" i="11" s="1"/>
  <c r="I131" i="11"/>
  <c r="D130" i="11" s="1"/>
  <c r="B130" i="11"/>
  <c r="D42" i="11" s="1"/>
  <c r="I104" i="11"/>
  <c r="B102" i="11"/>
  <c r="G46" i="11"/>
  <c r="G32" i="11" s="1"/>
  <c r="H29" i="1" s="1"/>
  <c r="I134" i="11"/>
  <c r="B133" i="11"/>
  <c r="D133" i="11" s="1"/>
  <c r="I122" i="11"/>
  <c r="B117" i="11"/>
  <c r="I110" i="11"/>
  <c r="B107" i="11"/>
  <c r="I74" i="11"/>
  <c r="B65" i="11"/>
  <c r="D65" i="11" s="1"/>
  <c r="I134" i="10"/>
  <c r="B133" i="10"/>
  <c r="D133" i="10" s="1"/>
  <c r="I110" i="10"/>
  <c r="B107" i="10"/>
  <c r="B82" i="10"/>
  <c r="I63" i="10"/>
  <c r="G46" i="10"/>
  <c r="I104" i="10"/>
  <c r="B102" i="10"/>
  <c r="I62" i="10"/>
  <c r="B61" i="10"/>
  <c r="D61" i="10" s="1"/>
  <c r="I67" i="10"/>
  <c r="B65" i="10"/>
  <c r="D65" i="10" s="1"/>
  <c r="B4" i="10"/>
  <c r="B93" i="9"/>
  <c r="I115" i="10"/>
  <c r="B112" i="10"/>
  <c r="B117" i="10"/>
  <c r="D117" i="10" s="1"/>
  <c r="I122" i="10"/>
  <c r="D82" i="10"/>
  <c r="I84" i="10"/>
  <c r="I63" i="9"/>
  <c r="B61" i="9"/>
  <c r="D61" i="9" s="1"/>
  <c r="I122" i="8"/>
  <c r="G46" i="8"/>
  <c r="G32" i="8" s="1"/>
  <c r="H26" i="1" s="1"/>
  <c r="I114" i="9"/>
  <c r="B112" i="9"/>
  <c r="I53" i="16"/>
  <c r="D48" i="16" s="1"/>
  <c r="G46" i="16"/>
  <c r="B48" i="16"/>
  <c r="I53" i="15"/>
  <c r="D48" i="15" s="1"/>
  <c r="G46" i="15"/>
  <c r="B48" i="15"/>
  <c r="I53" i="14"/>
  <c r="D48" i="14" s="1"/>
  <c r="B48" i="14"/>
  <c r="G46" i="14"/>
  <c r="G32" i="14" s="1"/>
  <c r="H32" i="1" s="1"/>
  <c r="I53" i="13"/>
  <c r="B48" i="13"/>
  <c r="I53" i="12"/>
  <c r="B48" i="12"/>
  <c r="I53" i="11"/>
  <c r="B48" i="11"/>
  <c r="G32" i="10"/>
  <c r="H28" i="1" s="1"/>
  <c r="I53" i="9"/>
  <c r="G46" i="9"/>
  <c r="G32" i="9" s="1"/>
  <c r="H27" i="1" s="1"/>
  <c r="B48" i="9"/>
  <c r="I53" i="10"/>
  <c r="B48" i="10"/>
  <c r="I131" i="9"/>
  <c r="D130" i="9" s="1"/>
  <c r="I110" i="9"/>
  <c r="B107" i="9"/>
  <c r="I74" i="9"/>
  <c r="B65" i="9"/>
  <c r="I134" i="9"/>
  <c r="B133" i="9"/>
  <c r="D133" i="9" s="1"/>
  <c r="I86" i="9"/>
  <c r="B82" i="9"/>
  <c r="I123" i="9"/>
  <c r="B117" i="9"/>
  <c r="I95" i="9"/>
  <c r="D141" i="9"/>
  <c r="I143" i="9"/>
  <c r="B4" i="9"/>
  <c r="D40" i="8"/>
  <c r="I85" i="8"/>
  <c r="B82" i="8"/>
  <c r="B4" i="8"/>
  <c r="I62" i="8"/>
  <c r="B61" i="8"/>
  <c r="D61" i="8" s="1"/>
  <c r="B48" i="8"/>
  <c r="I57" i="8"/>
  <c r="I131" i="8"/>
  <c r="D130" i="8" s="1"/>
  <c r="B130" i="8"/>
  <c r="D42" i="8" s="1"/>
  <c r="I134" i="8"/>
  <c r="B65" i="8"/>
  <c r="D65" i="8" s="1"/>
  <c r="I108" i="8"/>
  <c r="I72" i="8"/>
  <c r="B117" i="8"/>
  <c r="D117" i="8" s="1"/>
  <c r="I118" i="8"/>
  <c r="I114" i="8"/>
  <c r="B112" i="8"/>
  <c r="I46" i="11"/>
  <c r="I103" i="7"/>
  <c r="B102" i="7"/>
  <c r="D102" i="7" s="1"/>
  <c r="I113" i="7"/>
  <c r="B112" i="7"/>
  <c r="I115" i="7"/>
  <c r="I123" i="7"/>
  <c r="I131" i="7"/>
  <c r="B130" i="7"/>
  <c r="D42" i="7" s="1"/>
  <c r="I135" i="7"/>
  <c r="I139" i="7"/>
  <c r="B138" i="7"/>
  <c r="D138" i="7" s="1"/>
  <c r="I49" i="7"/>
  <c r="B48" i="7"/>
  <c r="I62" i="7"/>
  <c r="B61" i="7"/>
  <c r="D61" i="7" s="1"/>
  <c r="I66" i="7"/>
  <c r="B65" i="7"/>
  <c r="D65" i="7" s="1"/>
  <c r="I83" i="7"/>
  <c r="B82" i="7"/>
  <c r="I89" i="7"/>
  <c r="B88" i="7"/>
  <c r="I108" i="7"/>
  <c r="B107" i="7"/>
  <c r="I118" i="7"/>
  <c r="B117" i="7"/>
  <c r="I122" i="7"/>
  <c r="I128" i="7"/>
  <c r="I134" i="7"/>
  <c r="B133" i="7"/>
  <c r="D133" i="7" s="1"/>
  <c r="I136" i="7"/>
  <c r="G130" i="2"/>
  <c r="B141" i="7"/>
  <c r="D141" i="7" s="1"/>
  <c r="B4" i="7"/>
  <c r="G46" i="7"/>
  <c r="G32" i="7" s="1"/>
  <c r="H25" i="1" s="1"/>
  <c r="I55" i="7"/>
  <c r="I94" i="7"/>
  <c r="I55" i="13"/>
  <c r="I55" i="12"/>
  <c r="I55" i="10"/>
  <c r="I55" i="9"/>
  <c r="I55" i="8"/>
  <c r="G32" i="13"/>
  <c r="H31" i="1" s="1"/>
  <c r="I94" i="5"/>
  <c r="J94" i="5" s="1"/>
  <c r="H55" i="6"/>
  <c r="C48" i="6" s="1"/>
  <c r="C47" i="6" s="1"/>
  <c r="H55" i="5"/>
  <c r="C48" i="5" s="1"/>
  <c r="C47" i="5" s="1"/>
  <c r="G143" i="6"/>
  <c r="I143" i="6" s="1"/>
  <c r="G142" i="6"/>
  <c r="G139" i="6"/>
  <c r="G136" i="6"/>
  <c r="I136" i="6" s="1"/>
  <c r="G135" i="6"/>
  <c r="I135" i="6" s="1"/>
  <c r="G134" i="6"/>
  <c r="G131" i="6"/>
  <c r="B130" i="6" s="1"/>
  <c r="G128" i="6"/>
  <c r="I128" i="6" s="1"/>
  <c r="G123" i="6"/>
  <c r="I123" i="6" s="1"/>
  <c r="G122" i="6"/>
  <c r="I122" i="6" s="1"/>
  <c r="G119" i="6"/>
  <c r="G118" i="6"/>
  <c r="I118" i="6" s="1"/>
  <c r="G115" i="6"/>
  <c r="I115" i="6" s="1"/>
  <c r="G114" i="6"/>
  <c r="G113" i="6"/>
  <c r="I113" i="6" s="1"/>
  <c r="G110" i="6"/>
  <c r="I110" i="6" s="1"/>
  <c r="G109" i="6"/>
  <c r="I109" i="6" s="1"/>
  <c r="G108" i="6"/>
  <c r="G105" i="6"/>
  <c r="I105" i="6" s="1"/>
  <c r="G104" i="6"/>
  <c r="I104" i="6" s="1"/>
  <c r="G103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G91" i="6"/>
  <c r="I91" i="6" s="1"/>
  <c r="G90" i="6"/>
  <c r="I90" i="6" s="1"/>
  <c r="G89" i="6"/>
  <c r="B88" i="6" s="1"/>
  <c r="D39" i="6" s="1"/>
  <c r="G86" i="6"/>
  <c r="I86" i="6" s="1"/>
  <c r="G85" i="6"/>
  <c r="I85" i="6" s="1"/>
  <c r="G84" i="6"/>
  <c r="G83" i="6"/>
  <c r="I83" i="6" s="1"/>
  <c r="G74" i="6"/>
  <c r="G72" i="6"/>
  <c r="I72" i="6" s="1"/>
  <c r="G71" i="6"/>
  <c r="I71" i="6" s="1"/>
  <c r="G70" i="6"/>
  <c r="I70" i="6" s="1"/>
  <c r="G67" i="6"/>
  <c r="I67" i="6" s="1"/>
  <c r="G66" i="6"/>
  <c r="I66" i="6" s="1"/>
  <c r="G63" i="6"/>
  <c r="G62" i="6"/>
  <c r="I62" i="6" s="1"/>
  <c r="G57" i="6"/>
  <c r="I57" i="6" s="1"/>
  <c r="G56" i="6"/>
  <c r="I56" i="6" s="1"/>
  <c r="G55" i="6"/>
  <c r="G54" i="6"/>
  <c r="I54" i="6" s="1"/>
  <c r="G53" i="6"/>
  <c r="G52" i="6"/>
  <c r="I52" i="6" s="1"/>
  <c r="G51" i="6"/>
  <c r="I51" i="6" s="1"/>
  <c r="G50" i="6"/>
  <c r="I50" i="6" s="1"/>
  <c r="G49" i="6"/>
  <c r="I49" i="6" s="1"/>
  <c r="E44" i="6"/>
  <c r="D42" i="6"/>
  <c r="H28" i="6"/>
  <c r="I26" i="6"/>
  <c r="I25" i="6"/>
  <c r="B24" i="6"/>
  <c r="I22" i="6"/>
  <c r="B22" i="6"/>
  <c r="I20" i="6"/>
  <c r="I19" i="6"/>
  <c r="I18" i="6"/>
  <c r="I17" i="6"/>
  <c r="I16" i="6"/>
  <c r="I15" i="6"/>
  <c r="I14" i="6"/>
  <c r="B13" i="6"/>
  <c r="G7" i="6"/>
  <c r="G6" i="6"/>
  <c r="G5" i="6"/>
  <c r="G70" i="5"/>
  <c r="I70" i="5" s="1"/>
  <c r="G71" i="5"/>
  <c r="G83" i="5"/>
  <c r="G84" i="5"/>
  <c r="I84" i="5" s="1"/>
  <c r="G85" i="5"/>
  <c r="I89" i="5"/>
  <c r="I100" i="5"/>
  <c r="G100" i="5"/>
  <c r="E44" i="5"/>
  <c r="N46" i="5"/>
  <c r="M46" i="5"/>
  <c r="M41" i="5" s="1"/>
  <c r="L46" i="5"/>
  <c r="H46" i="5"/>
  <c r="I142" i="5"/>
  <c r="J142" i="5" s="1"/>
  <c r="G134" i="5"/>
  <c r="G135" i="5"/>
  <c r="G123" i="2" s="1"/>
  <c r="I134" i="5"/>
  <c r="I135" i="5"/>
  <c r="J135" i="13" s="1"/>
  <c r="G128" i="5"/>
  <c r="I128" i="5"/>
  <c r="J128" i="5" s="1"/>
  <c r="G122" i="5"/>
  <c r="G119" i="5"/>
  <c r="I119" i="5" s="1"/>
  <c r="I118" i="5"/>
  <c r="I115" i="5"/>
  <c r="H60" i="2"/>
  <c r="G66" i="5"/>
  <c r="F28" i="2"/>
  <c r="F27" i="2"/>
  <c r="F25" i="2"/>
  <c r="G24" i="2"/>
  <c r="F21" i="2"/>
  <c r="F22" i="2"/>
  <c r="F23" i="2"/>
  <c r="F24" i="2"/>
  <c r="H24" i="2" s="1"/>
  <c r="F19" i="2"/>
  <c r="F20" i="2"/>
  <c r="F18" i="2"/>
  <c r="B22" i="5"/>
  <c r="B13" i="5"/>
  <c r="I14" i="5"/>
  <c r="J14" i="5" s="1"/>
  <c r="I15" i="5"/>
  <c r="I16" i="5"/>
  <c r="J16" i="15" s="1"/>
  <c r="I17" i="5"/>
  <c r="I18" i="5"/>
  <c r="J18" i="15" s="1"/>
  <c r="I19" i="5"/>
  <c r="I20" i="5"/>
  <c r="J20" i="15" s="1"/>
  <c r="G88" i="2"/>
  <c r="G62" i="5"/>
  <c r="G142" i="5"/>
  <c r="I149" i="5"/>
  <c r="I150" i="5"/>
  <c r="I151" i="5"/>
  <c r="I152" i="5"/>
  <c r="I162" i="5"/>
  <c r="G55" i="5"/>
  <c r="I55" i="5" s="1"/>
  <c r="J55" i="5" s="1"/>
  <c r="G56" i="5"/>
  <c r="I56" i="5" s="1"/>
  <c r="J56" i="5" s="1"/>
  <c r="G57" i="5"/>
  <c r="I57" i="5" s="1"/>
  <c r="H146" i="2"/>
  <c r="I146" i="2" s="1"/>
  <c r="H147" i="2"/>
  <c r="I147" i="2" s="1"/>
  <c r="H144" i="2"/>
  <c r="I144" i="2" s="1"/>
  <c r="H145" i="2"/>
  <c r="I145" i="2" s="1"/>
  <c r="H123" i="2"/>
  <c r="H122" i="2"/>
  <c r="D47" i="16" l="1"/>
  <c r="B47" i="15"/>
  <c r="E35" i="15" s="1"/>
  <c r="D47" i="15"/>
  <c r="B47" i="14"/>
  <c r="E35" i="14" s="1"/>
  <c r="D43" i="14"/>
  <c r="D47" i="14"/>
  <c r="B47" i="13"/>
  <c r="E35" i="13" s="1"/>
  <c r="J142" i="13"/>
  <c r="D88" i="9"/>
  <c r="D39" i="9"/>
  <c r="D93" i="8"/>
  <c r="D37" i="8"/>
  <c r="D107" i="13"/>
  <c r="D40" i="13"/>
  <c r="D107" i="16"/>
  <c r="D40" i="16"/>
  <c r="D147" i="14"/>
  <c r="E44" i="14"/>
  <c r="J162" i="6"/>
  <c r="J162" i="9"/>
  <c r="J162" i="10"/>
  <c r="J162" i="13"/>
  <c r="J162" i="15"/>
  <c r="J162" i="8"/>
  <c r="J162" i="11"/>
  <c r="J162" i="12"/>
  <c r="J162" i="16"/>
  <c r="J162" i="14"/>
  <c r="J162" i="7"/>
  <c r="G77" i="2"/>
  <c r="J17" i="15"/>
  <c r="J100" i="6"/>
  <c r="I142" i="6"/>
  <c r="B141" i="6"/>
  <c r="D141" i="6" s="1"/>
  <c r="D37" i="7"/>
  <c r="J135" i="12"/>
  <c r="B76" i="7"/>
  <c r="J142" i="16"/>
  <c r="B76" i="8"/>
  <c r="B76" i="11"/>
  <c r="E36" i="11" s="1"/>
  <c r="D82" i="14"/>
  <c r="D43" i="13"/>
  <c r="D112" i="16"/>
  <c r="D41" i="16"/>
  <c r="D88" i="8"/>
  <c r="D39" i="8"/>
  <c r="D107" i="14"/>
  <c r="D40" i="14"/>
  <c r="D117" i="16"/>
  <c r="D43" i="16"/>
  <c r="D147" i="13"/>
  <c r="E44" i="13"/>
  <c r="I139" i="6"/>
  <c r="B138" i="6"/>
  <c r="D138" i="6" s="1"/>
  <c r="J142" i="12"/>
  <c r="J57" i="14"/>
  <c r="J152" i="6"/>
  <c r="J152" i="9"/>
  <c r="J152" i="12"/>
  <c r="J152" i="15"/>
  <c r="J152" i="10"/>
  <c r="J152" i="11"/>
  <c r="J152" i="13"/>
  <c r="J152" i="16"/>
  <c r="J152" i="14"/>
  <c r="J152" i="8"/>
  <c r="J152" i="7"/>
  <c r="H46" i="6"/>
  <c r="J142" i="14"/>
  <c r="B47" i="8"/>
  <c r="E35" i="8" s="1"/>
  <c r="B47" i="11"/>
  <c r="E35" i="11" s="1"/>
  <c r="B47" i="16"/>
  <c r="E35" i="16" s="1"/>
  <c r="D93" i="16"/>
  <c r="D37" i="16"/>
  <c r="D88" i="16"/>
  <c r="D39" i="16"/>
  <c r="J151" i="6"/>
  <c r="J151" i="14"/>
  <c r="J151" i="8"/>
  <c r="J151" i="9"/>
  <c r="J151" i="13"/>
  <c r="J151" i="7"/>
  <c r="J151" i="15"/>
  <c r="J151" i="11"/>
  <c r="J151" i="12"/>
  <c r="J151" i="16"/>
  <c r="J151" i="10"/>
  <c r="J19" i="15"/>
  <c r="J15" i="15"/>
  <c r="J118" i="12"/>
  <c r="B4" i="6"/>
  <c r="B93" i="6"/>
  <c r="D93" i="6" s="1"/>
  <c r="J142" i="11"/>
  <c r="J142" i="15"/>
  <c r="B76" i="9"/>
  <c r="E36" i="9" s="1"/>
  <c r="D48" i="11"/>
  <c r="D38" i="10"/>
  <c r="B76" i="10"/>
  <c r="E36" i="10" s="1"/>
  <c r="B76" i="14"/>
  <c r="E36" i="14" s="1"/>
  <c r="B76" i="16"/>
  <c r="D82" i="16"/>
  <c r="D76" i="16" s="1"/>
  <c r="D38" i="16"/>
  <c r="D112" i="15"/>
  <c r="D41" i="15"/>
  <c r="D88" i="10"/>
  <c r="D39" i="10"/>
  <c r="D147" i="16"/>
  <c r="E44" i="16"/>
  <c r="D147" i="15"/>
  <c r="E44" i="15"/>
  <c r="I46" i="12"/>
  <c r="D93" i="12"/>
  <c r="D37" i="12"/>
  <c r="D88" i="12"/>
  <c r="D39" i="12"/>
  <c r="B76" i="12"/>
  <c r="D112" i="13"/>
  <c r="D41" i="13"/>
  <c r="D102" i="13"/>
  <c r="D37" i="13"/>
  <c r="D88" i="13"/>
  <c r="D39" i="13"/>
  <c r="B76" i="13"/>
  <c r="E36" i="13" s="1"/>
  <c r="D82" i="13"/>
  <c r="D38" i="13"/>
  <c r="D112" i="14"/>
  <c r="D41" i="14"/>
  <c r="D102" i="14"/>
  <c r="D37" i="14"/>
  <c r="D88" i="14"/>
  <c r="D39" i="14"/>
  <c r="D102" i="15"/>
  <c r="D37" i="15"/>
  <c r="B76" i="15"/>
  <c r="E36" i="15" s="1"/>
  <c r="D82" i="15"/>
  <c r="D38" i="15"/>
  <c r="D117" i="15"/>
  <c r="D43" i="15"/>
  <c r="D88" i="15"/>
  <c r="D39" i="15"/>
  <c r="D107" i="12"/>
  <c r="D40" i="12"/>
  <c r="D112" i="12"/>
  <c r="D41" i="12"/>
  <c r="D82" i="12"/>
  <c r="D38" i="12"/>
  <c r="E36" i="12"/>
  <c r="D133" i="12"/>
  <c r="D43" i="12"/>
  <c r="B47" i="12"/>
  <c r="E35" i="12" s="1"/>
  <c r="D112" i="11"/>
  <c r="D41" i="11"/>
  <c r="D82" i="11"/>
  <c r="D38" i="11"/>
  <c r="D102" i="11"/>
  <c r="D37" i="11"/>
  <c r="D117" i="11"/>
  <c r="D43" i="11"/>
  <c r="D107" i="11"/>
  <c r="D40" i="11"/>
  <c r="D47" i="11"/>
  <c r="D107" i="10"/>
  <c r="D40" i="10"/>
  <c r="D102" i="10"/>
  <c r="D37" i="10"/>
  <c r="B47" i="10"/>
  <c r="E35" i="10" s="1"/>
  <c r="D93" i="9"/>
  <c r="D37" i="9"/>
  <c r="D112" i="10"/>
  <c r="D41" i="10"/>
  <c r="D43" i="10"/>
  <c r="D112" i="9"/>
  <c r="D41" i="9"/>
  <c r="I46" i="16"/>
  <c r="G32" i="16"/>
  <c r="G32" i="15"/>
  <c r="H33" i="1" s="1"/>
  <c r="I46" i="15"/>
  <c r="D48" i="13"/>
  <c r="D47" i="13" s="1"/>
  <c r="D48" i="12"/>
  <c r="D47" i="12" s="1"/>
  <c r="D48" i="9"/>
  <c r="D48" i="10"/>
  <c r="D47" i="10" s="1"/>
  <c r="D107" i="9"/>
  <c r="D40" i="9"/>
  <c r="B47" i="9"/>
  <c r="E35" i="9" s="1"/>
  <c r="D65" i="9"/>
  <c r="D82" i="9"/>
  <c r="D76" i="9" s="1"/>
  <c r="D38" i="9"/>
  <c r="D117" i="9"/>
  <c r="D43" i="9"/>
  <c r="D82" i="8"/>
  <c r="D76" i="8" s="1"/>
  <c r="D38" i="8"/>
  <c r="D48" i="8"/>
  <c r="D47" i="8" s="1"/>
  <c r="D43" i="8"/>
  <c r="E36" i="8"/>
  <c r="D112" i="8"/>
  <c r="D41" i="8"/>
  <c r="G103" i="2"/>
  <c r="G82" i="2"/>
  <c r="J70" i="12"/>
  <c r="I103" i="6"/>
  <c r="B102" i="6"/>
  <c r="G110" i="2"/>
  <c r="I134" i="6"/>
  <c r="J134" i="12" s="1"/>
  <c r="B133" i="6"/>
  <c r="D133" i="6" s="1"/>
  <c r="I84" i="6"/>
  <c r="B82" i="6"/>
  <c r="I63" i="6"/>
  <c r="B61" i="6"/>
  <c r="D61" i="6" s="1"/>
  <c r="G116" i="2"/>
  <c r="G106" i="2"/>
  <c r="B117" i="6"/>
  <c r="I74" i="6"/>
  <c r="B65" i="6"/>
  <c r="D65" i="6" s="1"/>
  <c r="I114" i="6"/>
  <c r="J114" i="8" s="1"/>
  <c r="B112" i="6"/>
  <c r="I46" i="7"/>
  <c r="I53" i="6"/>
  <c r="B48" i="6"/>
  <c r="I94" i="6"/>
  <c r="J94" i="14" s="1"/>
  <c r="I119" i="6"/>
  <c r="J119" i="15" s="1"/>
  <c r="I131" i="6"/>
  <c r="I108" i="6"/>
  <c r="B107" i="6"/>
  <c r="I89" i="6"/>
  <c r="J89" i="14" s="1"/>
  <c r="D88" i="6"/>
  <c r="I71" i="5"/>
  <c r="J71" i="5" s="1"/>
  <c r="J56" i="11"/>
  <c r="J56" i="15"/>
  <c r="J56" i="12"/>
  <c r="J56" i="13"/>
  <c r="J56" i="14"/>
  <c r="J56" i="16"/>
  <c r="J57" i="13"/>
  <c r="J57" i="16"/>
  <c r="J57" i="12"/>
  <c r="J57" i="11"/>
  <c r="J57" i="15"/>
  <c r="J20" i="13"/>
  <c r="J20" i="16"/>
  <c r="J19" i="9"/>
  <c r="J19" i="16"/>
  <c r="J19" i="13"/>
  <c r="J18" i="13"/>
  <c r="J18" i="16"/>
  <c r="J18" i="9"/>
  <c r="J17" i="16"/>
  <c r="J17" i="13"/>
  <c r="J17" i="9"/>
  <c r="J16" i="16"/>
  <c r="J16" i="9"/>
  <c r="J15" i="9"/>
  <c r="J14" i="11"/>
  <c r="J14" i="13"/>
  <c r="J14" i="14"/>
  <c r="J14" i="15"/>
  <c r="J14" i="12"/>
  <c r="J14" i="16"/>
  <c r="I122" i="5"/>
  <c r="J122" i="12" s="1"/>
  <c r="J128" i="13"/>
  <c r="J128" i="12"/>
  <c r="J122" i="13"/>
  <c r="G122" i="2"/>
  <c r="J149" i="6"/>
  <c r="J149" i="15"/>
  <c r="J149" i="12"/>
  <c r="J149" i="8"/>
  <c r="J149" i="16"/>
  <c r="J149" i="9"/>
  <c r="J149" i="14"/>
  <c r="J149" i="10"/>
  <c r="J149" i="7"/>
  <c r="J149" i="11"/>
  <c r="J150" i="6"/>
  <c r="J150" i="11"/>
  <c r="J150" i="16"/>
  <c r="J150" i="9"/>
  <c r="J150" i="14"/>
  <c r="J150" i="12"/>
  <c r="J150" i="8"/>
  <c r="J150" i="15"/>
  <c r="J150" i="13"/>
  <c r="J150" i="10"/>
  <c r="J150" i="7"/>
  <c r="J134" i="15"/>
  <c r="J134" i="16"/>
  <c r="J134" i="11"/>
  <c r="J128" i="15"/>
  <c r="J128" i="14"/>
  <c r="J128" i="16"/>
  <c r="J128" i="11"/>
  <c r="J122" i="15"/>
  <c r="D107" i="7"/>
  <c r="D40" i="7"/>
  <c r="D88" i="7"/>
  <c r="D39" i="7"/>
  <c r="E36" i="7"/>
  <c r="D82" i="7"/>
  <c r="D38" i="7"/>
  <c r="D130" i="7"/>
  <c r="D48" i="7"/>
  <c r="D47" i="7" s="1"/>
  <c r="D117" i="7"/>
  <c r="D43" i="7"/>
  <c r="J135" i="16"/>
  <c r="J135" i="15"/>
  <c r="J135" i="14"/>
  <c r="J135" i="11"/>
  <c r="D112" i="7"/>
  <c r="D41" i="7"/>
  <c r="B47" i="7"/>
  <c r="E35" i="7" s="1"/>
  <c r="J84" i="5"/>
  <c r="J84" i="15"/>
  <c r="J84" i="16"/>
  <c r="J84" i="14"/>
  <c r="J84" i="11"/>
  <c r="J84" i="13"/>
  <c r="J84" i="12"/>
  <c r="J119" i="16"/>
  <c r="G107" i="2"/>
  <c r="J100" i="5"/>
  <c r="J100" i="15"/>
  <c r="J100" i="16"/>
  <c r="J100" i="14"/>
  <c r="J100" i="11"/>
  <c r="I83" i="5"/>
  <c r="J83" i="10" s="1"/>
  <c r="J100" i="13"/>
  <c r="I62" i="5"/>
  <c r="J62" i="10" s="1"/>
  <c r="I66" i="5"/>
  <c r="J66" i="9" s="1"/>
  <c r="J70" i="5"/>
  <c r="J70" i="16"/>
  <c r="J70" i="15"/>
  <c r="J70" i="14"/>
  <c r="J70" i="11"/>
  <c r="B112" i="5"/>
  <c r="G102" i="2"/>
  <c r="I114" i="5"/>
  <c r="J114" i="9" s="1"/>
  <c r="J70" i="13"/>
  <c r="J100" i="12"/>
  <c r="J115" i="5"/>
  <c r="J115" i="16"/>
  <c r="J115" i="15"/>
  <c r="J115" i="14"/>
  <c r="J115" i="11"/>
  <c r="J115" i="12"/>
  <c r="J115" i="13"/>
  <c r="J118" i="5"/>
  <c r="J118" i="16"/>
  <c r="J118" i="14"/>
  <c r="J118" i="15"/>
  <c r="J118" i="11"/>
  <c r="J118" i="13"/>
  <c r="J94" i="16"/>
  <c r="J89" i="15"/>
  <c r="J89" i="11"/>
  <c r="J89" i="5"/>
  <c r="J162" i="5"/>
  <c r="J151" i="5"/>
  <c r="J149" i="5"/>
  <c r="J149" i="13"/>
  <c r="J152" i="5"/>
  <c r="J150" i="5"/>
  <c r="J119" i="5"/>
  <c r="J119" i="11"/>
  <c r="J119" i="13"/>
  <c r="I46" i="9"/>
  <c r="J114" i="7"/>
  <c r="J56" i="10"/>
  <c r="J56" i="9"/>
  <c r="J56" i="8"/>
  <c r="J56" i="7"/>
  <c r="J115" i="10"/>
  <c r="J115" i="9"/>
  <c r="J115" i="8"/>
  <c r="J115" i="7"/>
  <c r="J115" i="6"/>
  <c r="J14" i="10"/>
  <c r="J14" i="9"/>
  <c r="J14" i="7"/>
  <c r="J14" i="8"/>
  <c r="J57" i="8"/>
  <c r="J57" i="10"/>
  <c r="J57" i="9"/>
  <c r="J84" i="10"/>
  <c r="J84" i="8"/>
  <c r="J84" i="9"/>
  <c r="J89" i="10"/>
  <c r="J89" i="7"/>
  <c r="J100" i="10"/>
  <c r="J100" i="8"/>
  <c r="J100" i="7"/>
  <c r="J100" i="9"/>
  <c r="J118" i="8"/>
  <c r="J118" i="7"/>
  <c r="J118" i="10"/>
  <c r="J118" i="9"/>
  <c r="J119" i="10"/>
  <c r="J119" i="8"/>
  <c r="J135" i="10"/>
  <c r="J135" i="9"/>
  <c r="J135" i="8"/>
  <c r="J135" i="7"/>
  <c r="J142" i="8"/>
  <c r="J142" i="7"/>
  <c r="J142" i="10"/>
  <c r="J142" i="9"/>
  <c r="J84" i="6"/>
  <c r="J89" i="6"/>
  <c r="J135" i="6"/>
  <c r="J84" i="7"/>
  <c r="J62" i="9"/>
  <c r="J66" i="10"/>
  <c r="J66" i="8"/>
  <c r="J70" i="9"/>
  <c r="J70" i="10"/>
  <c r="J70" i="8"/>
  <c r="J70" i="7"/>
  <c r="J83" i="9"/>
  <c r="J83" i="7"/>
  <c r="J83" i="8"/>
  <c r="J122" i="7"/>
  <c r="J128" i="8"/>
  <c r="J128" i="7"/>
  <c r="J128" i="10"/>
  <c r="J128" i="9"/>
  <c r="J134" i="8"/>
  <c r="J134" i="7"/>
  <c r="J134" i="10"/>
  <c r="J134" i="9"/>
  <c r="G46" i="6"/>
  <c r="G32" i="6" s="1"/>
  <c r="H24" i="1" s="1"/>
  <c r="I55" i="6"/>
  <c r="J55" i="13" s="1"/>
  <c r="J70" i="6"/>
  <c r="J83" i="6"/>
  <c r="J128" i="6"/>
  <c r="J118" i="6"/>
  <c r="J134" i="6"/>
  <c r="J142" i="6"/>
  <c r="J62" i="7"/>
  <c r="J66" i="7"/>
  <c r="I46" i="14"/>
  <c r="I46" i="13"/>
  <c r="I46" i="8"/>
  <c r="J57" i="6"/>
  <c r="J62" i="5"/>
  <c r="J14" i="6"/>
  <c r="J56" i="6"/>
  <c r="I123" i="2"/>
  <c r="G71" i="2"/>
  <c r="G72" i="2"/>
  <c r="G50" i="2"/>
  <c r="G54" i="2"/>
  <c r="G58" i="2"/>
  <c r="G59" i="2"/>
  <c r="J43" i="2"/>
  <c r="H43" i="2" s="1"/>
  <c r="H39" i="2"/>
  <c r="H40" i="2"/>
  <c r="H41" i="2"/>
  <c r="H42" i="2"/>
  <c r="H44" i="2"/>
  <c r="H45" i="2"/>
  <c r="G43" i="2"/>
  <c r="G44" i="2"/>
  <c r="G25" i="2"/>
  <c r="D76" i="10" l="1"/>
  <c r="H34" i="1"/>
  <c r="D76" i="14"/>
  <c r="J122" i="8"/>
  <c r="J62" i="8"/>
  <c r="J89" i="9"/>
  <c r="J71" i="7"/>
  <c r="J89" i="13"/>
  <c r="J89" i="16"/>
  <c r="J122" i="11"/>
  <c r="J122" i="5"/>
  <c r="D76" i="11"/>
  <c r="D76" i="13"/>
  <c r="J122" i="9"/>
  <c r="J94" i="7"/>
  <c r="J71" i="10"/>
  <c r="J94" i="12"/>
  <c r="J71" i="14"/>
  <c r="J122" i="16"/>
  <c r="B76" i="6"/>
  <c r="J62" i="6"/>
  <c r="J122" i="6"/>
  <c r="J66" i="6"/>
  <c r="J122" i="10"/>
  <c r="J94" i="10"/>
  <c r="J89" i="8"/>
  <c r="J89" i="12"/>
  <c r="J94" i="15"/>
  <c r="J71" i="12"/>
  <c r="J71" i="13"/>
  <c r="J71" i="16"/>
  <c r="D76" i="7"/>
  <c r="J122" i="14"/>
  <c r="J134" i="14"/>
  <c r="J134" i="13"/>
  <c r="D76" i="12"/>
  <c r="D76" i="15"/>
  <c r="D47" i="9"/>
  <c r="J94" i="6"/>
  <c r="J94" i="9"/>
  <c r="J94" i="8"/>
  <c r="J94" i="13"/>
  <c r="J94" i="11"/>
  <c r="J114" i="6"/>
  <c r="J114" i="10"/>
  <c r="D102" i="6"/>
  <c r="D37" i="6"/>
  <c r="E36" i="6"/>
  <c r="D82" i="6"/>
  <c r="D38" i="6"/>
  <c r="B47" i="6"/>
  <c r="E35" i="6" s="1"/>
  <c r="D117" i="6"/>
  <c r="D43" i="6"/>
  <c r="J119" i="6"/>
  <c r="J119" i="7"/>
  <c r="J119" i="9"/>
  <c r="J119" i="12"/>
  <c r="J119" i="14"/>
  <c r="D112" i="6"/>
  <c r="D41" i="6"/>
  <c r="J55" i="6"/>
  <c r="J55" i="11"/>
  <c r="J55" i="16"/>
  <c r="J55" i="12"/>
  <c r="D48" i="6"/>
  <c r="D47" i="6" s="1"/>
  <c r="J55" i="15"/>
  <c r="J55" i="14"/>
  <c r="D130" i="6"/>
  <c r="D107" i="6"/>
  <c r="D40" i="6"/>
  <c r="J71" i="6"/>
  <c r="J71" i="9"/>
  <c r="J71" i="8"/>
  <c r="J71" i="11"/>
  <c r="J71" i="15"/>
  <c r="J66" i="5"/>
  <c r="J66" i="16"/>
  <c r="J66" i="15"/>
  <c r="J66" i="14"/>
  <c r="J66" i="11"/>
  <c r="J66" i="12"/>
  <c r="J66" i="13"/>
  <c r="J62" i="16"/>
  <c r="J62" i="15"/>
  <c r="J62" i="14"/>
  <c r="J62" i="11"/>
  <c r="J62" i="12"/>
  <c r="J62" i="13"/>
  <c r="J114" i="5"/>
  <c r="J114" i="16"/>
  <c r="J114" i="14"/>
  <c r="J114" i="15"/>
  <c r="J114" i="11"/>
  <c r="J114" i="12"/>
  <c r="J114" i="13"/>
  <c r="J46" i="13" s="1"/>
  <c r="D112" i="5"/>
  <c r="D41" i="5"/>
  <c r="J83" i="5"/>
  <c r="J83" i="16"/>
  <c r="J83" i="14"/>
  <c r="J83" i="15"/>
  <c r="J83" i="11"/>
  <c r="J83" i="12"/>
  <c r="J83" i="13"/>
  <c r="J55" i="8"/>
  <c r="J55" i="10"/>
  <c r="J55" i="9"/>
  <c r="J55" i="7"/>
  <c r="I46" i="6"/>
  <c r="I43" i="2"/>
  <c r="J34" i="2"/>
  <c r="H54" i="22"/>
  <c r="K54" i="22" s="1"/>
  <c r="K55" i="22" s="1"/>
  <c r="S107" i="22"/>
  <c r="O56" i="22"/>
  <c r="Q52" i="22"/>
  <c r="R52" i="22"/>
  <c r="S52" i="22"/>
  <c r="S53" i="22" s="1"/>
  <c r="T52" i="22"/>
  <c r="K11" i="23"/>
  <c r="I11" i="23"/>
  <c r="F11" i="23"/>
  <c r="K9" i="23"/>
  <c r="I9" i="23"/>
  <c r="F9" i="23"/>
  <c r="K7" i="23"/>
  <c r="I7" i="23"/>
  <c r="F7" i="23"/>
  <c r="K5" i="23"/>
  <c r="I5" i="23"/>
  <c r="F5" i="23"/>
  <c r="F29" i="3"/>
  <c r="F30" i="3"/>
  <c r="F28" i="3"/>
  <c r="F27" i="3"/>
  <c r="F26" i="3"/>
  <c r="N34" i="3"/>
  <c r="N35" i="3"/>
  <c r="N25" i="3"/>
  <c r="N29" i="3"/>
  <c r="C68" i="17"/>
  <c r="C81" i="17" s="1"/>
  <c r="O74" i="17"/>
  <c r="B73" i="17"/>
  <c r="O73" i="17" s="1"/>
  <c r="B72" i="17"/>
  <c r="Z55" i="4"/>
  <c r="Z56" i="4" s="1"/>
  <c r="Z29" i="4"/>
  <c r="Z26" i="4"/>
  <c r="Z27" i="4" s="1"/>
  <c r="M195" i="22"/>
  <c r="M197" i="22" s="1"/>
  <c r="M198" i="22" s="1"/>
  <c r="M201" i="22" s="1"/>
  <c r="K195" i="22"/>
  <c r="K197" i="22" s="1"/>
  <c r="K198" i="22" s="1"/>
  <c r="K201" i="22" s="1"/>
  <c r="H107" i="22"/>
  <c r="K107" i="22" s="1"/>
  <c r="S103" i="22"/>
  <c r="H103" i="22"/>
  <c r="K103" i="22" s="1"/>
  <c r="H102" i="22"/>
  <c r="K102" i="22" s="1"/>
  <c r="F95" i="22"/>
  <c r="F94" i="22"/>
  <c r="F93" i="22"/>
  <c r="F91" i="22"/>
  <c r="Q151" i="22"/>
  <c r="O151" i="22"/>
  <c r="M151" i="22"/>
  <c r="K151" i="22"/>
  <c r="H151" i="22"/>
  <c r="F151" i="22"/>
  <c r="E151" i="22"/>
  <c r="D151" i="22"/>
  <c r="C151" i="22"/>
  <c r="B151" i="22"/>
  <c r="O146" i="22"/>
  <c r="M146" i="22"/>
  <c r="K146" i="22"/>
  <c r="H146" i="22"/>
  <c r="F146" i="22"/>
  <c r="D146" i="22"/>
  <c r="B146" i="22"/>
  <c r="Q139" i="22"/>
  <c r="Q141" i="22" s="1"/>
  <c r="Q142" i="22" s="1"/>
  <c r="O139" i="22"/>
  <c r="O141" i="22" s="1"/>
  <c r="O142" i="22" s="1"/>
  <c r="M139" i="22"/>
  <c r="M141" i="22" s="1"/>
  <c r="M142" i="22" s="1"/>
  <c r="K139" i="22"/>
  <c r="K141" i="22" s="1"/>
  <c r="K142" i="22" s="1"/>
  <c r="H139" i="22"/>
  <c r="H141" i="22" s="1"/>
  <c r="H142" i="22" s="1"/>
  <c r="F139" i="22"/>
  <c r="F141" i="22" s="1"/>
  <c r="F142" i="22" s="1"/>
  <c r="E139" i="22"/>
  <c r="E141" i="22" s="1"/>
  <c r="E142" i="22" s="1"/>
  <c r="D139" i="22"/>
  <c r="D141" i="22" s="1"/>
  <c r="D142" i="22" s="1"/>
  <c r="C139" i="22"/>
  <c r="C141" i="22" s="1"/>
  <c r="C142" i="22" s="1"/>
  <c r="B139" i="22"/>
  <c r="B141" i="22" s="1"/>
  <c r="B142" i="22" s="1"/>
  <c r="O130" i="22"/>
  <c r="M130" i="22"/>
  <c r="K130" i="22"/>
  <c r="H130" i="22"/>
  <c r="F130" i="22"/>
  <c r="E130" i="22"/>
  <c r="D130" i="22"/>
  <c r="C130" i="22"/>
  <c r="B130" i="22"/>
  <c r="O125" i="22"/>
  <c r="M125" i="22"/>
  <c r="K125" i="22"/>
  <c r="H125" i="22"/>
  <c r="F125" i="22"/>
  <c r="D125" i="22"/>
  <c r="B125" i="22"/>
  <c r="E118" i="22"/>
  <c r="E120" i="22" s="1"/>
  <c r="E121" i="22" s="1"/>
  <c r="C118" i="22"/>
  <c r="C120" i="22" s="1"/>
  <c r="C121" i="22" s="1"/>
  <c r="S80" i="22"/>
  <c r="W32" i="22"/>
  <c r="AA32" i="22" s="1"/>
  <c r="O31" i="22"/>
  <c r="M31" i="22"/>
  <c r="K31" i="22"/>
  <c r="H31" i="22"/>
  <c r="F31" i="22"/>
  <c r="D31" i="22"/>
  <c r="B31" i="22"/>
  <c r="Y29" i="22"/>
  <c r="Y30" i="22" s="1"/>
  <c r="W29" i="22"/>
  <c r="W30" i="22" s="1"/>
  <c r="L52" i="22"/>
  <c r="O29" i="22"/>
  <c r="O30" i="22" s="1"/>
  <c r="M29" i="22"/>
  <c r="M33" i="22" s="1"/>
  <c r="M118" i="22" s="1"/>
  <c r="M120" i="22" s="1"/>
  <c r="K29" i="22"/>
  <c r="H29" i="22"/>
  <c r="F29" i="22"/>
  <c r="D29" i="22"/>
  <c r="B30" i="22"/>
  <c r="K51" i="22"/>
  <c r="D51" i="22"/>
  <c r="B52" i="22"/>
  <c r="B56" i="22" s="1"/>
  <c r="R28" i="22"/>
  <c r="R29" i="22" s="1"/>
  <c r="K50" i="22"/>
  <c r="M50" i="22" s="1"/>
  <c r="D50" i="22"/>
  <c r="F50" i="22" s="1"/>
  <c r="Q27" i="22"/>
  <c r="S27" i="22" s="1"/>
  <c r="K49" i="22"/>
  <c r="M49" i="22" s="1"/>
  <c r="D49" i="22"/>
  <c r="F49" i="22" s="1"/>
  <c r="Q26" i="22"/>
  <c r="S26" i="22" s="1"/>
  <c r="AA25" i="22"/>
  <c r="M48" i="22"/>
  <c r="F48" i="22"/>
  <c r="S25" i="22"/>
  <c r="M47" i="22"/>
  <c r="F47" i="22"/>
  <c r="S24" i="22"/>
  <c r="M46" i="22"/>
  <c r="F46" i="22"/>
  <c r="S23" i="22"/>
  <c r="M45" i="22"/>
  <c r="F45" i="22"/>
  <c r="S22" i="22"/>
  <c r="M44" i="22"/>
  <c r="F44" i="22"/>
  <c r="S21" i="22"/>
  <c r="AA20" i="22"/>
  <c r="M43" i="22"/>
  <c r="E43" i="22"/>
  <c r="D43" i="22" s="1"/>
  <c r="F43" i="22" s="1"/>
  <c r="S20" i="22"/>
  <c r="AA19" i="22"/>
  <c r="K42" i="22"/>
  <c r="M42" i="22" s="1"/>
  <c r="E42" i="22"/>
  <c r="E52" i="22" s="1"/>
  <c r="S19" i="22"/>
  <c r="AA18" i="22"/>
  <c r="K41" i="22"/>
  <c r="M41" i="22" s="1"/>
  <c r="D41" i="22"/>
  <c r="F41" i="22" s="1"/>
  <c r="S18" i="22"/>
  <c r="AA17" i="22"/>
  <c r="AA29" i="22" s="1"/>
  <c r="AA30" i="22" s="1"/>
  <c r="AA31" i="22" s="1"/>
  <c r="K40" i="22"/>
  <c r="D40" i="22"/>
  <c r="F40" i="22" s="1"/>
  <c r="S17" i="22"/>
  <c r="H33" i="22" l="1"/>
  <c r="H118" i="22" s="1"/>
  <c r="H120" i="22" s="1"/>
  <c r="E131" i="22"/>
  <c r="D76" i="6"/>
  <c r="O72" i="17"/>
  <c r="B81" i="17"/>
  <c r="W31" i="22"/>
  <c r="D42" i="22"/>
  <c r="F42" i="22" s="1"/>
  <c r="D56" i="22"/>
  <c r="S94" i="22"/>
  <c r="U94" i="22" s="1"/>
  <c r="U103" i="22"/>
  <c r="Y106" i="22" s="1"/>
  <c r="C152" i="22"/>
  <c r="E152" i="22"/>
  <c r="H152" i="22"/>
  <c r="M152" i="22"/>
  <c r="O53" i="22"/>
  <c r="W52" i="22"/>
  <c r="Y52" i="22" s="1"/>
  <c r="M40" i="22"/>
  <c r="Q152" i="22"/>
  <c r="M51" i="22"/>
  <c r="M52" i="22" s="1"/>
  <c r="H93" i="22" s="1"/>
  <c r="K93" i="22" s="1"/>
  <c r="K52" i="22"/>
  <c r="B53" i="22"/>
  <c r="B152" i="22"/>
  <c r="D152" i="22"/>
  <c r="F152" i="22"/>
  <c r="K152" i="22"/>
  <c r="O152" i="22"/>
  <c r="C131" i="22"/>
  <c r="H131" i="22"/>
  <c r="M131" i="22"/>
  <c r="Q28" i="22"/>
  <c r="S28" i="22" s="1"/>
  <c r="S29" i="22" s="1"/>
  <c r="S30" i="22" s="1"/>
  <c r="H52" i="22"/>
  <c r="H56" i="22" s="1"/>
  <c r="D30" i="22"/>
  <c r="H30" i="22"/>
  <c r="M30" i="22"/>
  <c r="Y32" i="22"/>
  <c r="Y31" i="22" s="1"/>
  <c r="B33" i="22"/>
  <c r="B118" i="22" s="1"/>
  <c r="B120" i="22" s="1"/>
  <c r="B121" i="22" s="1"/>
  <c r="F33" i="22"/>
  <c r="F118" i="22" s="1"/>
  <c r="F120" i="22" s="1"/>
  <c r="F121" i="22" s="1"/>
  <c r="K33" i="22"/>
  <c r="K118" i="22" s="1"/>
  <c r="K120" i="22" s="1"/>
  <c r="K121" i="22" s="1"/>
  <c r="O33" i="22"/>
  <c r="H121" i="22"/>
  <c r="M121" i="22"/>
  <c r="U102" i="22"/>
  <c r="Y102" i="22" s="1"/>
  <c r="F51" i="22"/>
  <c r="F30" i="22"/>
  <c r="K30" i="22"/>
  <c r="D33" i="22"/>
  <c r="D118" i="22" s="1"/>
  <c r="D120" i="22" s="1"/>
  <c r="D131" i="22" s="1"/>
  <c r="W57" i="4"/>
  <c r="O43" i="17"/>
  <c r="O46" i="17"/>
  <c r="B59" i="17"/>
  <c r="O57" i="17"/>
  <c r="H107" i="2"/>
  <c r="N89" i="17"/>
  <c r="M89" i="17"/>
  <c r="L89" i="17"/>
  <c r="K89" i="17"/>
  <c r="J89" i="17"/>
  <c r="I89" i="17"/>
  <c r="H89" i="17"/>
  <c r="G89" i="17"/>
  <c r="F89" i="17"/>
  <c r="E89" i="17"/>
  <c r="D89" i="17"/>
  <c r="N30" i="17"/>
  <c r="N32" i="17" s="1"/>
  <c r="M30" i="17"/>
  <c r="M32" i="17" s="1"/>
  <c r="L30" i="17"/>
  <c r="L32" i="17" s="1"/>
  <c r="K30" i="17"/>
  <c r="K32" i="17" s="1"/>
  <c r="J30" i="17"/>
  <c r="J32" i="17" s="1"/>
  <c r="I30" i="17"/>
  <c r="I32" i="17" s="1"/>
  <c r="H30" i="17"/>
  <c r="H32" i="17" s="1"/>
  <c r="G30" i="17"/>
  <c r="G32" i="17" s="1"/>
  <c r="F30" i="17"/>
  <c r="F32" i="17" s="1"/>
  <c r="E30" i="17"/>
  <c r="E32" i="17" s="1"/>
  <c r="D30" i="17"/>
  <c r="D32" i="17" s="1"/>
  <c r="O75" i="17"/>
  <c r="F52" i="22" l="1"/>
  <c r="F53" i="22" s="1"/>
  <c r="D52" i="22"/>
  <c r="Q29" i="22"/>
  <c r="K56" i="22"/>
  <c r="S93" i="22"/>
  <c r="U93" i="22" s="1"/>
  <c r="Y93" i="22" s="1"/>
  <c r="D121" i="22"/>
  <c r="W93" i="22"/>
  <c r="M53" i="22"/>
  <c r="H94" i="22"/>
  <c r="K94" i="22" s="1"/>
  <c r="O118" i="22"/>
  <c r="O120" i="22" s="1"/>
  <c r="O131" i="22" s="1"/>
  <c r="S95" i="22"/>
  <c r="U95" i="22" s="1"/>
  <c r="H53" i="22"/>
  <c r="Q126" i="22"/>
  <c r="Q130" i="22" s="1"/>
  <c r="Q118" i="22"/>
  <c r="Q120" i="22" s="1"/>
  <c r="F131" i="22"/>
  <c r="B131" i="22"/>
  <c r="H95" i="22"/>
  <c r="K95" i="22" s="1"/>
  <c r="M95" i="22" s="1"/>
  <c r="M94" i="22" s="1"/>
  <c r="M93" i="22" s="1"/>
  <c r="M92" i="22" s="1"/>
  <c r="W95" i="22"/>
  <c r="K131" i="22"/>
  <c r="B118" i="3"/>
  <c r="O121" i="22" l="1"/>
  <c r="W94" i="22"/>
  <c r="Y94" i="22" s="1"/>
  <c r="Q131" i="22"/>
  <c r="Y95" i="22"/>
  <c r="AN174" i="22" l="1"/>
  <c r="AN173" i="22" s="1"/>
  <c r="AN172" i="22" s="1"/>
  <c r="AN171" i="22" s="1"/>
  <c r="AA95" i="22"/>
  <c r="AA94" i="22" s="1"/>
  <c r="AA93" i="22" s="1"/>
  <c r="G50" i="5" l="1"/>
  <c r="I50" i="5" s="1"/>
  <c r="G51" i="5"/>
  <c r="G52" i="5"/>
  <c r="G53" i="5"/>
  <c r="G54" i="5"/>
  <c r="I44" i="2"/>
  <c r="H37" i="2"/>
  <c r="H38" i="2"/>
  <c r="D23" i="1"/>
  <c r="O58" i="17"/>
  <c r="I52" i="5"/>
  <c r="G49" i="5"/>
  <c r="O24" i="17"/>
  <c r="O19" i="17" s="1"/>
  <c r="B96" i="17"/>
  <c r="J50" i="16" l="1"/>
  <c r="J50" i="14"/>
  <c r="J50" i="15"/>
  <c r="J52" i="16"/>
  <c r="J52" i="15"/>
  <c r="J52" i="14"/>
  <c r="B48" i="5"/>
  <c r="G40" i="2"/>
  <c r="I40" i="2" s="1"/>
  <c r="G38" i="2"/>
  <c r="I38" i="2" s="1"/>
  <c r="G39" i="2"/>
  <c r="I39" i="2" s="1"/>
  <c r="I53" i="5"/>
  <c r="G41" i="2"/>
  <c r="I41" i="2" s="1"/>
  <c r="I54" i="5"/>
  <c r="J54" i="12" s="1"/>
  <c r="G42" i="2"/>
  <c r="I42" i="2" s="1"/>
  <c r="J53" i="8"/>
  <c r="I51" i="5"/>
  <c r="C36" i="2"/>
  <c r="J52" i="8"/>
  <c r="J50" i="6"/>
  <c r="J54" i="11"/>
  <c r="G37" i="2"/>
  <c r="J50" i="11"/>
  <c r="J50" i="12"/>
  <c r="J50" i="13"/>
  <c r="J50" i="10"/>
  <c r="J50" i="9"/>
  <c r="J53" i="12"/>
  <c r="J53" i="11"/>
  <c r="J53" i="13"/>
  <c r="J53" i="10"/>
  <c r="J53" i="9"/>
  <c r="J52" i="12"/>
  <c r="J52" i="11"/>
  <c r="J52" i="13"/>
  <c r="J52" i="9"/>
  <c r="J52" i="10"/>
  <c r="J54" i="9"/>
  <c r="J52" i="5"/>
  <c r="J50" i="5"/>
  <c r="J52" i="6"/>
  <c r="J50" i="7"/>
  <c r="J52" i="7"/>
  <c r="J54" i="8"/>
  <c r="J51" i="8"/>
  <c r="J50" i="8"/>
  <c r="I49" i="5"/>
  <c r="O52" i="17"/>
  <c r="O78" i="17"/>
  <c r="M46" i="6"/>
  <c r="M41" i="6" s="1"/>
  <c r="N46" i="6"/>
  <c r="N41" i="6" s="1"/>
  <c r="L46" i="6"/>
  <c r="W55" i="4"/>
  <c r="O51" i="17"/>
  <c r="J51" i="16" l="1"/>
  <c r="J51" i="14"/>
  <c r="J51" i="15"/>
  <c r="J51" i="7"/>
  <c r="J54" i="10"/>
  <c r="J54" i="13"/>
  <c r="J51" i="6"/>
  <c r="J51" i="5"/>
  <c r="J51" i="9"/>
  <c r="J54" i="7"/>
  <c r="J54" i="15"/>
  <c r="J54" i="16"/>
  <c r="J54" i="14"/>
  <c r="D48" i="5"/>
  <c r="J53" i="14"/>
  <c r="J53" i="15"/>
  <c r="J53" i="7"/>
  <c r="J53" i="16"/>
  <c r="J54" i="5"/>
  <c r="J54" i="6"/>
  <c r="J53" i="5"/>
  <c r="J53" i="6"/>
  <c r="I37" i="2"/>
  <c r="J51" i="12"/>
  <c r="J51" i="13"/>
  <c r="J51" i="11"/>
  <c r="J51" i="10"/>
  <c r="J49" i="15"/>
  <c r="J49" i="5"/>
  <c r="J49" i="8"/>
  <c r="J49" i="14" l="1"/>
  <c r="J49" i="11"/>
  <c r="J49" i="16"/>
  <c r="J49" i="7"/>
  <c r="J49" i="13"/>
  <c r="J49" i="10"/>
  <c r="J49" i="12"/>
  <c r="J49" i="9"/>
  <c r="J49" i="6"/>
  <c r="G98" i="5" l="1"/>
  <c r="O69" i="17"/>
  <c r="O76" i="17"/>
  <c r="O92" i="17"/>
  <c r="O91" i="17"/>
  <c r="G6" i="5"/>
  <c r="C53" i="1" s="1"/>
  <c r="J53" i="1" s="1"/>
  <c r="G7" i="5"/>
  <c r="C54" i="1" s="1"/>
  <c r="J54" i="1" s="1"/>
  <c r="B24" i="5" l="1"/>
  <c r="W26" i="4" l="1"/>
  <c r="T57" i="4"/>
  <c r="W56" i="4" l="1"/>
  <c r="W29" i="4"/>
  <c r="W27" i="4"/>
  <c r="B15" i="17"/>
  <c r="O49" i="17"/>
  <c r="O47" i="17"/>
  <c r="O48" i="17"/>
  <c r="O50" i="17"/>
  <c r="O14" i="17"/>
  <c r="H150" i="2"/>
  <c r="G20" i="2"/>
  <c r="G21" i="2"/>
  <c r="G22" i="2"/>
  <c r="H22" i="2" s="1"/>
  <c r="G23" i="2"/>
  <c r="H20" i="2"/>
  <c r="N27" i="3"/>
  <c r="J19" i="5" l="1"/>
  <c r="J19" i="7"/>
  <c r="J19" i="8"/>
  <c r="J19" i="10"/>
  <c r="J19" i="12"/>
  <c r="J18" i="10"/>
  <c r="J18" i="8"/>
  <c r="J18" i="7"/>
  <c r="J18" i="12"/>
  <c r="J17" i="10"/>
  <c r="J17" i="7"/>
  <c r="J17" i="8"/>
  <c r="J17" i="12"/>
  <c r="J17" i="14"/>
  <c r="J20" i="5"/>
  <c r="J20" i="8"/>
  <c r="J20" i="7"/>
  <c r="J18" i="5"/>
  <c r="J18" i="6"/>
  <c r="J19" i="14"/>
  <c r="J19" i="6"/>
  <c r="J17" i="5"/>
  <c r="J17" i="6"/>
  <c r="O13" i="17"/>
  <c r="H130" i="2"/>
  <c r="H131" i="2"/>
  <c r="G5" i="5"/>
  <c r="H21" i="2"/>
  <c r="H23" i="2"/>
  <c r="H25" i="2"/>
  <c r="B127" i="17"/>
  <c r="B126" i="17"/>
  <c r="M68" i="17"/>
  <c r="M81" i="17" s="1"/>
  <c r="N68" i="17"/>
  <c r="N81" i="17" s="1"/>
  <c r="L68" i="17"/>
  <c r="L81" i="17" s="1"/>
  <c r="K68" i="17"/>
  <c r="K81" i="17" s="1"/>
  <c r="J68" i="17"/>
  <c r="J81" i="17" s="1"/>
  <c r="I68" i="17"/>
  <c r="I81" i="17" s="1"/>
  <c r="H68" i="17"/>
  <c r="H81" i="17" s="1"/>
  <c r="G68" i="17"/>
  <c r="G81" i="17" s="1"/>
  <c r="F68" i="17"/>
  <c r="F81" i="17" s="1"/>
  <c r="E68" i="17"/>
  <c r="E81" i="17" s="1"/>
  <c r="D68" i="17"/>
  <c r="D81" i="17" s="1"/>
  <c r="N41" i="17"/>
  <c r="M41" i="17"/>
  <c r="L41" i="17"/>
  <c r="K41" i="17"/>
  <c r="J41" i="17"/>
  <c r="I41" i="17"/>
  <c r="H41" i="17"/>
  <c r="G41" i="17"/>
  <c r="F41" i="17"/>
  <c r="E41" i="17"/>
  <c r="D41" i="17"/>
  <c r="C41" i="17"/>
  <c r="N90" i="17"/>
  <c r="M90" i="17"/>
  <c r="L90" i="17"/>
  <c r="K90" i="17"/>
  <c r="J90" i="17"/>
  <c r="I90" i="17"/>
  <c r="H90" i="17"/>
  <c r="G90" i="17"/>
  <c r="F90" i="17"/>
  <c r="E90" i="17"/>
  <c r="D90" i="17"/>
  <c r="N15" i="17"/>
  <c r="M15" i="17"/>
  <c r="L15" i="17"/>
  <c r="K15" i="17"/>
  <c r="J15" i="17"/>
  <c r="I15" i="17"/>
  <c r="H15" i="17"/>
  <c r="G15" i="17"/>
  <c r="F15" i="17"/>
  <c r="E15" i="17"/>
  <c r="D15" i="17"/>
  <c r="C35" i="17"/>
  <c r="C11" i="17"/>
  <c r="C15" i="17" s="1"/>
  <c r="C89" i="17"/>
  <c r="O89" i="17" s="1"/>
  <c r="C18" i="17"/>
  <c r="C27" i="17" s="1"/>
  <c r="C6" i="17"/>
  <c r="C55" i="1"/>
  <c r="G63" i="5"/>
  <c r="G67" i="5"/>
  <c r="G72" i="5"/>
  <c r="G74" i="5"/>
  <c r="G62" i="2" s="1"/>
  <c r="G86" i="5"/>
  <c r="B82" i="5" s="1"/>
  <c r="G90" i="5"/>
  <c r="G91" i="5"/>
  <c r="G79" i="2" s="1"/>
  <c r="G95" i="5"/>
  <c r="I95" i="5" s="1"/>
  <c r="G96" i="5"/>
  <c r="G84" i="2" s="1"/>
  <c r="G97" i="5"/>
  <c r="G99" i="5"/>
  <c r="G87" i="2" s="1"/>
  <c r="G103" i="5"/>
  <c r="G104" i="5"/>
  <c r="G105" i="5"/>
  <c r="G108" i="5"/>
  <c r="G109" i="5"/>
  <c r="G110" i="5"/>
  <c r="G123" i="5"/>
  <c r="G131" i="5"/>
  <c r="G136" i="5"/>
  <c r="G139" i="5"/>
  <c r="G143" i="5"/>
  <c r="J15" i="5"/>
  <c r="I22" i="5"/>
  <c r="I25" i="5"/>
  <c r="J25" i="16" s="1"/>
  <c r="I26" i="5"/>
  <c r="H28" i="5"/>
  <c r="I85" i="5"/>
  <c r="I98" i="5"/>
  <c r="I96" i="5"/>
  <c r="I91" i="5"/>
  <c r="G12" i="2"/>
  <c r="I30" i="2"/>
  <c r="G27" i="2"/>
  <c r="H124" i="2"/>
  <c r="H137" i="2"/>
  <c r="H138" i="2"/>
  <c r="H139" i="2"/>
  <c r="H140" i="2"/>
  <c r="G19" i="2"/>
  <c r="G18" i="2"/>
  <c r="G16" i="2"/>
  <c r="H110" i="2"/>
  <c r="H111" i="2"/>
  <c r="H116" i="2"/>
  <c r="H106" i="2"/>
  <c r="H50" i="2"/>
  <c r="H51" i="2"/>
  <c r="H82" i="2"/>
  <c r="H83" i="2"/>
  <c r="H84" i="2"/>
  <c r="H85" i="2"/>
  <c r="H86" i="2"/>
  <c r="H87" i="2"/>
  <c r="H54" i="2"/>
  <c r="C53" i="2" s="1"/>
  <c r="H55" i="2"/>
  <c r="H58" i="2"/>
  <c r="H59" i="2"/>
  <c r="H101" i="2"/>
  <c r="H102" i="2"/>
  <c r="H62" i="2"/>
  <c r="J98" i="5" l="1"/>
  <c r="J98" i="11"/>
  <c r="J98" i="13"/>
  <c r="J98" i="16"/>
  <c r="J98" i="12"/>
  <c r="J98" i="14"/>
  <c r="J98" i="15"/>
  <c r="J98" i="9"/>
  <c r="J98" i="10"/>
  <c r="J98" i="8"/>
  <c r="B117" i="5"/>
  <c r="D117" i="5" s="1"/>
  <c r="G111" i="2"/>
  <c r="G124" i="2"/>
  <c r="B133" i="5"/>
  <c r="D133" i="5" s="1"/>
  <c r="B130" i="5"/>
  <c r="D42" i="5" s="1"/>
  <c r="G119" i="2"/>
  <c r="C57" i="2"/>
  <c r="B88" i="5"/>
  <c r="I99" i="5"/>
  <c r="B138" i="5"/>
  <c r="D138" i="5" s="1"/>
  <c r="G127" i="2"/>
  <c r="B141" i="5"/>
  <c r="G131" i="2"/>
  <c r="I131" i="2" s="1"/>
  <c r="I74" i="5"/>
  <c r="B65" i="5"/>
  <c r="O90" i="17"/>
  <c r="J91" i="5"/>
  <c r="J91" i="15"/>
  <c r="J91" i="16"/>
  <c r="J91" i="14"/>
  <c r="J91" i="11"/>
  <c r="J91" i="12"/>
  <c r="J91" i="13"/>
  <c r="J91" i="10"/>
  <c r="J91" i="9"/>
  <c r="J91" i="8"/>
  <c r="J96" i="5"/>
  <c r="J96" i="15"/>
  <c r="J96" i="16"/>
  <c r="J96" i="14"/>
  <c r="J96" i="11"/>
  <c r="J96" i="13"/>
  <c r="J96" i="12"/>
  <c r="J96" i="10"/>
  <c r="J96" i="9"/>
  <c r="J96" i="8"/>
  <c r="J99" i="5"/>
  <c r="J99" i="16"/>
  <c r="J99" i="14"/>
  <c r="J99" i="15"/>
  <c r="J99" i="11"/>
  <c r="J99" i="13"/>
  <c r="J99" i="12"/>
  <c r="J99" i="10"/>
  <c r="J99" i="9"/>
  <c r="J99" i="8"/>
  <c r="D88" i="5"/>
  <c r="D39" i="5"/>
  <c r="B102" i="5"/>
  <c r="D102" i="5" s="1"/>
  <c r="B93" i="5"/>
  <c r="B76" i="5" s="1"/>
  <c r="D65" i="5"/>
  <c r="J95" i="16"/>
  <c r="J95" i="14"/>
  <c r="J95" i="15"/>
  <c r="J95" i="11"/>
  <c r="J95" i="13"/>
  <c r="J95" i="12"/>
  <c r="J95" i="10"/>
  <c r="J95" i="9"/>
  <c r="J95" i="8"/>
  <c r="J85" i="5"/>
  <c r="J85" i="16"/>
  <c r="J85" i="14"/>
  <c r="J85" i="15"/>
  <c r="J85" i="11"/>
  <c r="J85" i="12"/>
  <c r="J85" i="13"/>
  <c r="J85" i="10"/>
  <c r="J85" i="9"/>
  <c r="J85" i="8"/>
  <c r="J74" i="5"/>
  <c r="J74" i="15"/>
  <c r="J74" i="16"/>
  <c r="J74" i="14"/>
  <c r="J74" i="11"/>
  <c r="J74" i="12"/>
  <c r="J74" i="13"/>
  <c r="J74" i="10"/>
  <c r="J74" i="9"/>
  <c r="J74" i="8"/>
  <c r="D82" i="5"/>
  <c r="D38" i="5"/>
  <c r="B61" i="5"/>
  <c r="G46" i="5"/>
  <c r="G32" i="5" s="1"/>
  <c r="H23" i="1" s="1"/>
  <c r="B107" i="5"/>
  <c r="G45" i="2"/>
  <c r="G86" i="2"/>
  <c r="I86" i="2" s="1"/>
  <c r="I136" i="5"/>
  <c r="I124" i="2"/>
  <c r="I110" i="5"/>
  <c r="G98" i="2"/>
  <c r="G96" i="2"/>
  <c r="I104" i="5"/>
  <c r="G92" i="2"/>
  <c r="I97" i="5"/>
  <c r="G85" i="2"/>
  <c r="I85" i="2" s="1"/>
  <c r="G83" i="2"/>
  <c r="G73" i="2"/>
  <c r="I67" i="5"/>
  <c r="J67" i="6" s="1"/>
  <c r="G55" i="2"/>
  <c r="B53" i="2" s="1"/>
  <c r="I63" i="5"/>
  <c r="J63" i="7" s="1"/>
  <c r="G51" i="2"/>
  <c r="I143" i="5"/>
  <c r="I131" i="5"/>
  <c r="I113" i="5"/>
  <c r="G101" i="2"/>
  <c r="I109" i="5"/>
  <c r="G97" i="2"/>
  <c r="I105" i="5"/>
  <c r="J105" i="6" s="1"/>
  <c r="G93" i="2"/>
  <c r="I103" i="5"/>
  <c r="G91" i="2"/>
  <c r="G78" i="2"/>
  <c r="I86" i="5"/>
  <c r="G74" i="2"/>
  <c r="I72" i="5"/>
  <c r="J72" i="6" s="1"/>
  <c r="G60" i="2"/>
  <c r="H19" i="2"/>
  <c r="H27" i="2"/>
  <c r="I87" i="2"/>
  <c r="H18" i="2"/>
  <c r="I139" i="5"/>
  <c r="O41" i="17"/>
  <c r="C135" i="2"/>
  <c r="I130" i="2"/>
  <c r="I138" i="2"/>
  <c r="J103" i="5"/>
  <c r="J26" i="16"/>
  <c r="J22" i="16"/>
  <c r="J15" i="16"/>
  <c r="I84" i="2"/>
  <c r="I139" i="2"/>
  <c r="I137" i="2"/>
  <c r="I150" i="2"/>
  <c r="C129" i="2"/>
  <c r="J99" i="6"/>
  <c r="J97" i="6"/>
  <c r="J63" i="6"/>
  <c r="J98" i="7"/>
  <c r="J96" i="7"/>
  <c r="J91" i="7"/>
  <c r="J74" i="7"/>
  <c r="J72" i="7"/>
  <c r="J113" i="6"/>
  <c r="J98" i="6"/>
  <c r="J96" i="6"/>
  <c r="J91" i="6"/>
  <c r="J74" i="6"/>
  <c r="J99" i="7"/>
  <c r="J97" i="7"/>
  <c r="J63" i="12"/>
  <c r="J26" i="5"/>
  <c r="J26" i="8"/>
  <c r="J26" i="9"/>
  <c r="J26" i="10"/>
  <c r="J26" i="11"/>
  <c r="J26" i="12"/>
  <c r="J26" i="13"/>
  <c r="J26" i="6"/>
  <c r="J26" i="7"/>
  <c r="J26" i="14"/>
  <c r="J26" i="15"/>
  <c r="J25" i="7"/>
  <c r="J25" i="8"/>
  <c r="J25" i="10"/>
  <c r="J25" i="12"/>
  <c r="J25" i="15"/>
  <c r="J25" i="5"/>
  <c r="J25" i="6"/>
  <c r="J25" i="9"/>
  <c r="J25" i="11"/>
  <c r="J25" i="13"/>
  <c r="J25" i="14"/>
  <c r="J22" i="5"/>
  <c r="J22" i="8"/>
  <c r="J22" i="9"/>
  <c r="J22" i="10"/>
  <c r="J22" i="11"/>
  <c r="J22" i="12"/>
  <c r="J22" i="13"/>
  <c r="J22" i="6"/>
  <c r="J22" i="7"/>
  <c r="J22" i="14"/>
  <c r="J22" i="15"/>
  <c r="J20" i="10"/>
  <c r="J20" i="12"/>
  <c r="J20" i="6"/>
  <c r="J20" i="9"/>
  <c r="J20" i="11"/>
  <c r="J20" i="14"/>
  <c r="J18" i="11"/>
  <c r="J18" i="14"/>
  <c r="J16" i="7"/>
  <c r="J16" i="10"/>
  <c r="J16" i="12"/>
  <c r="J16" i="5"/>
  <c r="J16" i="6"/>
  <c r="J16" i="8"/>
  <c r="J16" i="11"/>
  <c r="J16" i="13"/>
  <c r="J16" i="14"/>
  <c r="J15" i="8"/>
  <c r="J15" i="10"/>
  <c r="J15" i="11"/>
  <c r="J15" i="12"/>
  <c r="J15" i="13"/>
  <c r="J15" i="6"/>
  <c r="J15" i="7"/>
  <c r="J15" i="14"/>
  <c r="J110" i="5"/>
  <c r="J110" i="6"/>
  <c r="J109" i="5"/>
  <c r="J109" i="6"/>
  <c r="J103" i="6"/>
  <c r="J95" i="6"/>
  <c r="J95" i="5"/>
  <c r="J95" i="7"/>
  <c r="J86" i="5"/>
  <c r="J86" i="6"/>
  <c r="J86" i="7"/>
  <c r="I108" i="5"/>
  <c r="I123" i="5"/>
  <c r="I90" i="5"/>
  <c r="I9" i="2"/>
  <c r="I12" i="2" s="1"/>
  <c r="H92" i="2"/>
  <c r="H93" i="2"/>
  <c r="H88" i="2"/>
  <c r="C81" i="2" s="1"/>
  <c r="J136" i="13" l="1"/>
  <c r="J136" i="12"/>
  <c r="J136" i="15"/>
  <c r="J136" i="10"/>
  <c r="J136" i="14"/>
  <c r="J136" i="9"/>
  <c r="J136" i="11"/>
  <c r="J136" i="7"/>
  <c r="J136" i="16"/>
  <c r="J136" i="8"/>
  <c r="J136" i="6"/>
  <c r="J131" i="5"/>
  <c r="D130" i="5"/>
  <c r="J131" i="15"/>
  <c r="J131" i="10"/>
  <c r="J131" i="14"/>
  <c r="J131" i="9"/>
  <c r="J131" i="6"/>
  <c r="J131" i="7"/>
  <c r="J131" i="16"/>
  <c r="J131" i="11"/>
  <c r="J131" i="8"/>
  <c r="J131" i="12"/>
  <c r="J131" i="13"/>
  <c r="J123" i="5"/>
  <c r="J123" i="13"/>
  <c r="J123" i="15"/>
  <c r="J123" i="10"/>
  <c r="J123" i="6"/>
  <c r="J123" i="14"/>
  <c r="J123" i="9"/>
  <c r="J123" i="16"/>
  <c r="J123" i="7"/>
  <c r="J123" i="12"/>
  <c r="J123" i="11"/>
  <c r="J123" i="8"/>
  <c r="J139" i="5"/>
  <c r="J139" i="12"/>
  <c r="J139" i="14"/>
  <c r="J139" i="7"/>
  <c r="J139" i="13"/>
  <c r="J139" i="11"/>
  <c r="J139" i="10"/>
  <c r="J139" i="6"/>
  <c r="J139" i="16"/>
  <c r="J139" i="9"/>
  <c r="J139" i="15"/>
  <c r="J139" i="8"/>
  <c r="I60" i="2"/>
  <c r="B57" i="2"/>
  <c r="D57" i="2" s="1"/>
  <c r="D141" i="5"/>
  <c r="D43" i="5"/>
  <c r="J143" i="5"/>
  <c r="J143" i="16"/>
  <c r="J143" i="14"/>
  <c r="J143" i="12"/>
  <c r="J143" i="11"/>
  <c r="J143" i="6"/>
  <c r="J143" i="15"/>
  <c r="J143" i="13"/>
  <c r="J143" i="9"/>
  <c r="J143" i="7"/>
  <c r="J143" i="10"/>
  <c r="J143" i="8"/>
  <c r="E36" i="5"/>
  <c r="J90" i="5"/>
  <c r="J90" i="16"/>
  <c r="J90" i="14"/>
  <c r="J90" i="15"/>
  <c r="J90" i="11"/>
  <c r="J90" i="13"/>
  <c r="J90" i="12"/>
  <c r="J90" i="10"/>
  <c r="J90" i="9"/>
  <c r="J90" i="8"/>
  <c r="J108" i="15"/>
  <c r="J108" i="16"/>
  <c r="J108" i="14"/>
  <c r="J108" i="11"/>
  <c r="J108" i="12"/>
  <c r="J108" i="13"/>
  <c r="J108" i="10"/>
  <c r="J108" i="7"/>
  <c r="J108" i="8"/>
  <c r="J108" i="9"/>
  <c r="J103" i="16"/>
  <c r="J103" i="14"/>
  <c r="J103" i="15"/>
  <c r="J103" i="11"/>
  <c r="J103" i="12"/>
  <c r="J103" i="13"/>
  <c r="J103" i="10"/>
  <c r="J103" i="7"/>
  <c r="J103" i="9"/>
  <c r="J103" i="8"/>
  <c r="J105" i="5"/>
  <c r="J105" i="16"/>
  <c r="J105" i="14"/>
  <c r="J105" i="15"/>
  <c r="J105" i="11"/>
  <c r="J105" i="13"/>
  <c r="J105" i="12"/>
  <c r="J105" i="10"/>
  <c r="J105" i="7"/>
  <c r="J105" i="9"/>
  <c r="J105" i="8"/>
  <c r="J109" i="16"/>
  <c r="J109" i="14"/>
  <c r="J109" i="15"/>
  <c r="J109" i="11"/>
  <c r="J109" i="13"/>
  <c r="J109" i="12"/>
  <c r="J109" i="10"/>
  <c r="J109" i="7"/>
  <c r="J109" i="9"/>
  <c r="J109" i="8"/>
  <c r="J110" i="15"/>
  <c r="J110" i="16"/>
  <c r="J110" i="14"/>
  <c r="J110" i="11"/>
  <c r="J110" i="12"/>
  <c r="J110" i="13"/>
  <c r="J110" i="10"/>
  <c r="J110" i="7"/>
  <c r="J110" i="8"/>
  <c r="J110" i="9"/>
  <c r="J72" i="5"/>
  <c r="J72" i="16"/>
  <c r="J72" i="15"/>
  <c r="J72" i="14"/>
  <c r="J72" i="11"/>
  <c r="J72" i="13"/>
  <c r="J72" i="12"/>
  <c r="J72" i="9"/>
  <c r="J72" i="8"/>
  <c r="J72" i="10"/>
  <c r="J86" i="15"/>
  <c r="J86" i="16"/>
  <c r="J86" i="14"/>
  <c r="J86" i="11"/>
  <c r="J86" i="13"/>
  <c r="J86" i="12"/>
  <c r="J86" i="10"/>
  <c r="J86" i="9"/>
  <c r="J86" i="8"/>
  <c r="J63" i="5"/>
  <c r="J63" i="16"/>
  <c r="J63" i="15"/>
  <c r="J63" i="14"/>
  <c r="J63" i="11"/>
  <c r="J63" i="13"/>
  <c r="J63" i="8"/>
  <c r="J63" i="9"/>
  <c r="J63" i="10"/>
  <c r="J67" i="5"/>
  <c r="J67" i="16"/>
  <c r="J67" i="15"/>
  <c r="J67" i="14"/>
  <c r="J67" i="11"/>
  <c r="J67" i="13"/>
  <c r="J67" i="8"/>
  <c r="J67" i="10"/>
  <c r="J67" i="9"/>
  <c r="J97" i="5"/>
  <c r="J97" i="16"/>
  <c r="J97" i="14"/>
  <c r="J97" i="15"/>
  <c r="J97" i="11"/>
  <c r="J97" i="12"/>
  <c r="J97" i="13"/>
  <c r="J97" i="9"/>
  <c r="J97" i="8"/>
  <c r="J97" i="10"/>
  <c r="J104" i="5"/>
  <c r="J104" i="15"/>
  <c r="J104" i="16"/>
  <c r="J104" i="14"/>
  <c r="J104" i="11"/>
  <c r="J104" i="13"/>
  <c r="J104" i="12"/>
  <c r="J104" i="10"/>
  <c r="J104" i="7"/>
  <c r="J104" i="8"/>
  <c r="J104" i="9"/>
  <c r="D107" i="5"/>
  <c r="D40" i="5"/>
  <c r="B47" i="5"/>
  <c r="E35" i="5" s="1"/>
  <c r="D61" i="5"/>
  <c r="D47" i="5" s="1"/>
  <c r="D93" i="5"/>
  <c r="D76" i="5" s="1"/>
  <c r="D37" i="5"/>
  <c r="J113" i="5"/>
  <c r="J113" i="16"/>
  <c r="J113" i="15"/>
  <c r="J113" i="14"/>
  <c r="J113" i="11"/>
  <c r="J113" i="13"/>
  <c r="J113" i="12"/>
  <c r="J113" i="10"/>
  <c r="J113" i="7"/>
  <c r="J113" i="9"/>
  <c r="J113" i="8"/>
  <c r="G34" i="2"/>
  <c r="I45" i="2"/>
  <c r="D36" i="2" s="1"/>
  <c r="B36" i="2"/>
  <c r="Q2" i="10"/>
  <c r="J67" i="12"/>
  <c r="J67" i="7"/>
  <c r="J104" i="6"/>
  <c r="B135" i="2"/>
  <c r="D135" i="2" s="1"/>
  <c r="J90" i="7"/>
  <c r="J90" i="6"/>
  <c r="I88" i="2"/>
  <c r="B129" i="2"/>
  <c r="J85" i="7"/>
  <c r="J85" i="6"/>
  <c r="J108" i="6"/>
  <c r="J108" i="5"/>
  <c r="J57" i="5"/>
  <c r="J57" i="7"/>
  <c r="I46" i="5"/>
  <c r="G28" i="2"/>
  <c r="G30" i="2" s="1"/>
  <c r="H71" i="2"/>
  <c r="H72" i="2"/>
  <c r="I72" i="2" s="1"/>
  <c r="H73" i="2"/>
  <c r="H74" i="2"/>
  <c r="H77" i="2"/>
  <c r="H78" i="2"/>
  <c r="H79" i="2"/>
  <c r="H96" i="2"/>
  <c r="H97" i="2"/>
  <c r="I97" i="2" s="1"/>
  <c r="H98" i="2"/>
  <c r="I98" i="2" s="1"/>
  <c r="H103" i="2"/>
  <c r="H119" i="2"/>
  <c r="C118" i="2" s="1"/>
  <c r="H127" i="2"/>
  <c r="C126" i="2" s="1"/>
  <c r="I110" i="2"/>
  <c r="B28" i="2"/>
  <c r="I116" i="2"/>
  <c r="D8" i="17"/>
  <c r="F8" i="17"/>
  <c r="I8" i="17"/>
  <c r="B8" i="17"/>
  <c r="B27" i="17"/>
  <c r="B32" i="17"/>
  <c r="O68" i="17"/>
  <c r="O70" i="17"/>
  <c r="O71" i="17"/>
  <c r="O87" i="17"/>
  <c r="O94" i="17" s="1"/>
  <c r="C94" i="17"/>
  <c r="D94" i="17"/>
  <c r="E94" i="17"/>
  <c r="F94" i="17"/>
  <c r="H94" i="17"/>
  <c r="I94" i="17"/>
  <c r="J94" i="17"/>
  <c r="K94" i="17"/>
  <c r="L94" i="17"/>
  <c r="M94" i="17"/>
  <c r="N94" i="17"/>
  <c r="B125" i="17"/>
  <c r="B128" i="17" s="1"/>
  <c r="E26" i="1"/>
  <c r="E28" i="1"/>
  <c r="C50" i="1"/>
  <c r="B9" i="3"/>
  <c r="C9" i="3" s="1"/>
  <c r="B14" i="3"/>
  <c r="C14" i="3" s="1"/>
  <c r="N26" i="3"/>
  <c r="N28" i="3"/>
  <c r="F31" i="3"/>
  <c r="F32" i="3"/>
  <c r="F33" i="3"/>
  <c r="F34" i="3"/>
  <c r="F35" i="3"/>
  <c r="A44" i="3"/>
  <c r="B49" i="3"/>
  <c r="D6" i="3" s="1"/>
  <c r="D7" i="3"/>
  <c r="G11" i="6" s="1"/>
  <c r="G24" i="1" s="1"/>
  <c r="D8" i="3"/>
  <c r="D9" i="3"/>
  <c r="G11" i="8" s="1"/>
  <c r="G26" i="1" s="1"/>
  <c r="B104" i="3"/>
  <c r="D10" i="3" s="1"/>
  <c r="D11" i="3"/>
  <c r="B132" i="3"/>
  <c r="D12" i="3" s="1"/>
  <c r="D13" i="3"/>
  <c r="D14" i="3"/>
  <c r="D15" i="3"/>
  <c r="D16" i="3"/>
  <c r="D17" i="3"/>
  <c r="AD26" i="4"/>
  <c r="B26" i="4"/>
  <c r="B27" i="4" s="1"/>
  <c r="D26" i="4"/>
  <c r="D27" i="4" s="1"/>
  <c r="F26" i="4"/>
  <c r="H26" i="4"/>
  <c r="H27" i="4" s="1"/>
  <c r="K26" i="4"/>
  <c r="N26" i="4"/>
  <c r="N27" i="4" s="1"/>
  <c r="Q26" i="4"/>
  <c r="Q27" i="4" s="1"/>
  <c r="T26" i="4"/>
  <c r="T27" i="4" s="1"/>
  <c r="AE26" i="4"/>
  <c r="AF26" i="4"/>
  <c r="F27" i="4"/>
  <c r="K27" i="4"/>
  <c r="N29" i="4"/>
  <c r="AD28" i="4"/>
  <c r="AE28" i="4"/>
  <c r="AF28" i="4"/>
  <c r="F29" i="4"/>
  <c r="K29" i="4"/>
  <c r="Q29" i="4"/>
  <c r="T29" i="4"/>
  <c r="B55" i="4"/>
  <c r="B56" i="4" s="1"/>
  <c r="D55" i="4"/>
  <c r="D56" i="4" s="1"/>
  <c r="F55" i="4"/>
  <c r="F56" i="4" s="1"/>
  <c r="H55" i="4"/>
  <c r="K55" i="4"/>
  <c r="K56" i="4" s="1"/>
  <c r="N55" i="4"/>
  <c r="N56" i="4" s="1"/>
  <c r="Q55" i="4"/>
  <c r="Q56" i="4" s="1"/>
  <c r="T55" i="4"/>
  <c r="T56" i="4" s="1"/>
  <c r="AE55" i="4"/>
  <c r="H56" i="4"/>
  <c r="B57" i="4"/>
  <c r="D57" i="4"/>
  <c r="F57" i="4"/>
  <c r="H57" i="4"/>
  <c r="K57" i="4"/>
  <c r="N57" i="4"/>
  <c r="Q57" i="4"/>
  <c r="E31" i="1"/>
  <c r="B15" i="3"/>
  <c r="C15" i="3" s="1"/>
  <c r="E32" i="1"/>
  <c r="E33" i="1"/>
  <c r="E25" i="1"/>
  <c r="B8" i="3"/>
  <c r="C8" i="3" s="1"/>
  <c r="I55" i="2"/>
  <c r="E27" i="1"/>
  <c r="B10" i="3"/>
  <c r="C10" i="3" s="1"/>
  <c r="B126" i="2"/>
  <c r="B16" i="3"/>
  <c r="C16" i="3" s="1"/>
  <c r="B118" i="2"/>
  <c r="I78" i="2"/>
  <c r="I103" i="2"/>
  <c r="B11" i="3"/>
  <c r="C11" i="3" s="1"/>
  <c r="I58" i="2"/>
  <c r="I92" i="2"/>
  <c r="I51" i="2"/>
  <c r="I54" i="2"/>
  <c r="I140" i="2"/>
  <c r="I79" i="2"/>
  <c r="I73" i="2"/>
  <c r="C49" i="2"/>
  <c r="C35" i="2" s="1"/>
  <c r="I83" i="2"/>
  <c r="E29" i="1"/>
  <c r="B12" i="3"/>
  <c r="C12" i="3" s="1"/>
  <c r="B17" i="3"/>
  <c r="C17" i="3" s="1"/>
  <c r="E34" i="1"/>
  <c r="I122" i="2"/>
  <c r="B7" i="3"/>
  <c r="C7" i="3" s="1"/>
  <c r="E24" i="1"/>
  <c r="I93" i="2"/>
  <c r="J8" i="17"/>
  <c r="I62" i="2"/>
  <c r="E30" i="1"/>
  <c r="B13" i="3"/>
  <c r="C13" i="3" s="1"/>
  <c r="I107" i="2"/>
  <c r="C57" i="1" l="1"/>
  <c r="J50" i="1"/>
  <c r="J57" i="1" s="1"/>
  <c r="O81" i="17"/>
  <c r="C76" i="2"/>
  <c r="J46" i="8"/>
  <c r="J46" i="12"/>
  <c r="J46" i="11"/>
  <c r="J46" i="10"/>
  <c r="J46" i="9"/>
  <c r="J46" i="16"/>
  <c r="G11" i="16"/>
  <c r="G34" i="1" s="1"/>
  <c r="G11" i="15"/>
  <c r="G33" i="1" s="1"/>
  <c r="G11" i="14"/>
  <c r="G32" i="1" s="1"/>
  <c r="G11" i="13"/>
  <c r="G31" i="1" s="1"/>
  <c r="G11" i="12"/>
  <c r="G30" i="1" s="1"/>
  <c r="G11" i="11"/>
  <c r="G29" i="1" s="1"/>
  <c r="G11" i="10"/>
  <c r="G28" i="1" s="1"/>
  <c r="G11" i="9"/>
  <c r="G27" i="1" s="1"/>
  <c r="B11" i="8"/>
  <c r="G28" i="8"/>
  <c r="I11" i="8"/>
  <c r="I28" i="8" s="1"/>
  <c r="E11" i="8"/>
  <c r="G11" i="7"/>
  <c r="G25" i="1" s="1"/>
  <c r="G28" i="6"/>
  <c r="B11" i="6"/>
  <c r="I11" i="6"/>
  <c r="I28" i="6" s="1"/>
  <c r="E11" i="6"/>
  <c r="J46" i="14"/>
  <c r="J46" i="15"/>
  <c r="J46" i="5"/>
  <c r="N41" i="3"/>
  <c r="E44" i="3" s="1"/>
  <c r="G11" i="5"/>
  <c r="J46" i="6"/>
  <c r="J46" i="7"/>
  <c r="B94" i="17"/>
  <c r="G94" i="17"/>
  <c r="G8" i="17"/>
  <c r="E8" i="17"/>
  <c r="O7" i="17"/>
  <c r="B4" i="5"/>
  <c r="H6" i="3"/>
  <c r="F17" i="3"/>
  <c r="F42" i="3"/>
  <c r="F14" i="3"/>
  <c r="F12" i="3"/>
  <c r="F13" i="3"/>
  <c r="H7" i="3"/>
  <c r="H8" i="3" s="1"/>
  <c r="H9" i="3" s="1"/>
  <c r="H10" i="3" s="1"/>
  <c r="H11" i="3" s="1"/>
  <c r="H12" i="3" s="1"/>
  <c r="H13" i="3" s="1"/>
  <c r="F7" i="3"/>
  <c r="D21" i="3"/>
  <c r="D22" i="3" s="1"/>
  <c r="H28" i="2"/>
  <c r="I74" i="2"/>
  <c r="B95" i="2"/>
  <c r="C121" i="2"/>
  <c r="C70" i="2"/>
  <c r="H91" i="2"/>
  <c r="C90" i="2" s="1"/>
  <c r="C105" i="2"/>
  <c r="D129" i="2"/>
  <c r="I77" i="2"/>
  <c r="I82" i="2"/>
  <c r="B81" i="2"/>
  <c r="D81" i="2" s="1"/>
  <c r="C95" i="2"/>
  <c r="I71" i="2"/>
  <c r="I106" i="2"/>
  <c r="I50" i="2"/>
  <c r="I59" i="2"/>
  <c r="I111" i="2"/>
  <c r="I96" i="2"/>
  <c r="C100" i="2"/>
  <c r="I101" i="2"/>
  <c r="I102" i="2"/>
  <c r="D126" i="2"/>
  <c r="B121" i="2"/>
  <c r="B76" i="2"/>
  <c r="C8" i="17"/>
  <c r="D53" i="2"/>
  <c r="O18" i="17"/>
  <c r="B105" i="2"/>
  <c r="B49" i="2"/>
  <c r="B35" i="2" s="1"/>
  <c r="F16" i="3"/>
  <c r="I119" i="2"/>
  <c r="D118" i="2" s="1"/>
  <c r="F15" i="3"/>
  <c r="F9" i="3"/>
  <c r="D36" i="1"/>
  <c r="O30" i="17"/>
  <c r="O32" i="17" s="1"/>
  <c r="O11" i="17"/>
  <c r="H8" i="17"/>
  <c r="O6" i="17"/>
  <c r="B90" i="2"/>
  <c r="I127" i="2"/>
  <c r="B70" i="2"/>
  <c r="B100" i="2"/>
  <c r="F8" i="3"/>
  <c r="F11" i="3"/>
  <c r="F10" i="3"/>
  <c r="C64" i="2" l="1"/>
  <c r="C34" i="2" s="1"/>
  <c r="D76" i="2"/>
  <c r="B64" i="2"/>
  <c r="B34" i="2" s="1"/>
  <c r="G31" i="6"/>
  <c r="G33" i="6" s="1"/>
  <c r="C24" i="1" s="1"/>
  <c r="F24" i="1"/>
  <c r="G31" i="8"/>
  <c r="G33" i="8" s="1"/>
  <c r="C26" i="1" s="1"/>
  <c r="F26" i="1"/>
  <c r="E45" i="3"/>
  <c r="F45" i="3"/>
  <c r="F44" i="3"/>
  <c r="E23" i="1"/>
  <c r="E36" i="1" s="1"/>
  <c r="G28" i="16"/>
  <c r="B11" i="16"/>
  <c r="E11" i="16"/>
  <c r="I11" i="16"/>
  <c r="I28" i="16" s="1"/>
  <c r="G28" i="15"/>
  <c r="B11" i="15"/>
  <c r="I11" i="15"/>
  <c r="I28" i="15" s="1"/>
  <c r="E11" i="15"/>
  <c r="B11" i="14"/>
  <c r="G28" i="14"/>
  <c r="E11" i="14"/>
  <c r="I11" i="14"/>
  <c r="I28" i="14" s="1"/>
  <c r="B11" i="13"/>
  <c r="G28" i="13"/>
  <c r="E11" i="13"/>
  <c r="I11" i="13"/>
  <c r="I28" i="13" s="1"/>
  <c r="B11" i="12"/>
  <c r="G28" i="12"/>
  <c r="E11" i="12"/>
  <c r="I11" i="12"/>
  <c r="I28" i="12" s="1"/>
  <c r="G28" i="11"/>
  <c r="B11" i="11"/>
  <c r="E11" i="11"/>
  <c r="I11" i="11"/>
  <c r="I28" i="11" s="1"/>
  <c r="G28" i="10"/>
  <c r="B11" i="10"/>
  <c r="I11" i="10"/>
  <c r="I28" i="10" s="1"/>
  <c r="E11" i="10"/>
  <c r="B11" i="9"/>
  <c r="G28" i="9"/>
  <c r="E11" i="9"/>
  <c r="I11" i="9"/>
  <c r="I28" i="9" s="1"/>
  <c r="G28" i="7"/>
  <c r="B11" i="7"/>
  <c r="I11" i="7"/>
  <c r="I28" i="7" s="1"/>
  <c r="E11" i="7"/>
  <c r="D49" i="2"/>
  <c r="D35" i="2" s="1"/>
  <c r="H34" i="2"/>
  <c r="B31" i="2" s="1"/>
  <c r="H36" i="1"/>
  <c r="H14" i="3"/>
  <c r="H15" i="3" s="1"/>
  <c r="H16" i="3" s="1"/>
  <c r="H17" i="3" s="1"/>
  <c r="B11" i="5"/>
  <c r="G23" i="1"/>
  <c r="I11" i="5"/>
  <c r="F16" i="2"/>
  <c r="G28" i="5"/>
  <c r="D100" i="2"/>
  <c r="D105" i="2"/>
  <c r="D121" i="2"/>
  <c r="B6" i="3"/>
  <c r="O8" i="17"/>
  <c r="E11" i="5"/>
  <c r="D90" i="2"/>
  <c r="D95" i="2"/>
  <c r="I91" i="2"/>
  <c r="I34" i="2" s="1"/>
  <c r="D70" i="2"/>
  <c r="H41" i="1" l="1"/>
  <c r="H43" i="1" s="1"/>
  <c r="J39" i="1"/>
  <c r="J37" i="1"/>
  <c r="D6" i="1"/>
  <c r="D64" i="2"/>
  <c r="D34" i="2" s="1"/>
  <c r="F23" i="1"/>
  <c r="F6" i="3"/>
  <c r="B21" i="3"/>
  <c r="D23" i="3" s="1"/>
  <c r="G31" i="10"/>
  <c r="G33" i="10" s="1"/>
  <c r="C28" i="1" s="1"/>
  <c r="F28" i="1"/>
  <c r="G31" i="11"/>
  <c r="G33" i="11" s="1"/>
  <c r="C29" i="1" s="1"/>
  <c r="F29" i="1"/>
  <c r="G31" i="15"/>
  <c r="G33" i="15" s="1"/>
  <c r="C33" i="1" s="1"/>
  <c r="F33" i="1"/>
  <c r="G31" i="16"/>
  <c r="F34" i="1"/>
  <c r="G31" i="5"/>
  <c r="G33" i="5" s="1"/>
  <c r="C23" i="1" s="1"/>
  <c r="G31" i="12"/>
  <c r="G33" i="12" s="1"/>
  <c r="C30" i="1" s="1"/>
  <c r="F30" i="1"/>
  <c r="G31" i="13"/>
  <c r="G33" i="13" s="1"/>
  <c r="C31" i="1" s="1"/>
  <c r="F31" i="1"/>
  <c r="G31" i="14"/>
  <c r="G33" i="14" s="1"/>
  <c r="C32" i="1" s="1"/>
  <c r="F32" i="1"/>
  <c r="G31" i="9"/>
  <c r="G33" i="9" s="1"/>
  <c r="F27" i="1"/>
  <c r="G31" i="7"/>
  <c r="G33" i="7" s="1"/>
  <c r="C25" i="1" s="1"/>
  <c r="F25" i="1"/>
  <c r="D42" i="17"/>
  <c r="D37" i="17"/>
  <c r="F42" i="17"/>
  <c r="F37" i="17"/>
  <c r="J11" i="16"/>
  <c r="J28" i="16" s="1"/>
  <c r="J11" i="15"/>
  <c r="J28" i="15" s="1"/>
  <c r="J11" i="14"/>
  <c r="J28" i="14" s="1"/>
  <c r="J11" i="11"/>
  <c r="J28" i="11" s="1"/>
  <c r="J11" i="13"/>
  <c r="J28" i="13" s="1"/>
  <c r="J11" i="12"/>
  <c r="J28" i="12" s="1"/>
  <c r="J11" i="8"/>
  <c r="J11" i="10"/>
  <c r="J28" i="10" s="1"/>
  <c r="J11" i="7"/>
  <c r="J28" i="7" s="1"/>
  <c r="J11" i="6"/>
  <c r="J28" i="6" s="1"/>
  <c r="J11" i="9"/>
  <c r="J28" i="9" s="1"/>
  <c r="H44" i="1"/>
  <c r="E40" i="1"/>
  <c r="J11" i="5"/>
  <c r="J28" i="5" s="1"/>
  <c r="I28" i="5"/>
  <c r="J28" i="8"/>
  <c r="H16" i="2"/>
  <c r="H30" i="2" s="1"/>
  <c r="F30" i="2"/>
  <c r="G6" i="3"/>
  <c r="C6" i="3"/>
  <c r="O12" i="17"/>
  <c r="O15" i="17" s="1"/>
  <c r="G36" i="1"/>
  <c r="H13" i="23" l="1"/>
  <c r="K13" i="23" s="1"/>
  <c r="G33" i="16"/>
  <c r="C34" i="1" s="1"/>
  <c r="J41" i="1"/>
  <c r="C27" i="1"/>
  <c r="J36" i="1"/>
  <c r="C42" i="17"/>
  <c r="C37" i="17"/>
  <c r="E37" i="17"/>
  <c r="E42" i="17"/>
  <c r="E59" i="17" s="1"/>
  <c r="H42" i="17"/>
  <c r="H59" i="17" s="1"/>
  <c r="H37" i="17"/>
  <c r="J42" i="17"/>
  <c r="J59" i="17" s="1"/>
  <c r="J37" i="17"/>
  <c r="L42" i="17"/>
  <c r="L59" i="17" s="1"/>
  <c r="L37" i="17"/>
  <c r="G37" i="17"/>
  <c r="I37" i="17"/>
  <c r="I42" i="17"/>
  <c r="I59" i="17" s="1"/>
  <c r="K42" i="17"/>
  <c r="K59" i="17" s="1"/>
  <c r="K37" i="17"/>
  <c r="M42" i="17"/>
  <c r="M59" i="17" s="1"/>
  <c r="M37" i="17"/>
  <c r="O35" i="17"/>
  <c r="F36" i="1"/>
  <c r="D59" i="17"/>
  <c r="I6" i="3"/>
  <c r="G7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C21" i="3"/>
  <c r="N37" i="17" l="1"/>
  <c r="N42" i="17"/>
  <c r="N59" i="17" s="1"/>
  <c r="G42" i="17"/>
  <c r="G59" i="17" s="1"/>
  <c r="C59" i="17"/>
  <c r="F59" i="17"/>
  <c r="C36" i="1"/>
  <c r="C45" i="1" s="1"/>
  <c r="I7" i="3"/>
  <c r="G8" i="3"/>
  <c r="I13" i="23" l="1"/>
  <c r="O42" i="17"/>
  <c r="P59" i="17" s="1"/>
  <c r="O37" i="17"/>
  <c r="O59" i="17"/>
  <c r="I8" i="3"/>
  <c r="G9" i="3"/>
  <c r="F13" i="23" l="1"/>
  <c r="G10" i="3"/>
  <c r="I9" i="3"/>
  <c r="I10" i="3" l="1"/>
  <c r="G11" i="3"/>
  <c r="I11" i="3" l="1"/>
  <c r="G12" i="3"/>
  <c r="I12" i="3" l="1"/>
  <c r="G13" i="3"/>
  <c r="G14" i="3" l="1"/>
  <c r="I14" i="3" s="1"/>
  <c r="I13" i="3"/>
  <c r="G15" i="3" l="1"/>
  <c r="G16" i="3" s="1"/>
  <c r="I15" i="3" l="1"/>
  <c r="G17" i="3"/>
  <c r="I17" i="3" s="1"/>
  <c r="I16" i="3"/>
</calcChain>
</file>

<file path=xl/sharedStrings.xml><?xml version="1.0" encoding="utf-8"?>
<sst xmlns="http://schemas.openxmlformats.org/spreadsheetml/2006/main" count="4568" uniqueCount="1319">
  <si>
    <t>YEAR</t>
  </si>
  <si>
    <t>Financial Goal:</t>
  </si>
  <si>
    <t>NET SAVING</t>
  </si>
  <si>
    <t>TAX/Refund</t>
  </si>
  <si>
    <t>INCOME</t>
  </si>
  <si>
    <t>OFFERING</t>
  </si>
  <si>
    <t>January</t>
  </si>
  <si>
    <t>February</t>
  </si>
  <si>
    <t>March</t>
  </si>
  <si>
    <t>April</t>
  </si>
  <si>
    <t>May</t>
  </si>
  <si>
    <t>June</t>
  </si>
  <si>
    <t>July</t>
  </si>
  <si>
    <t>Property tax</t>
  </si>
  <si>
    <t>August</t>
  </si>
  <si>
    <t>September</t>
  </si>
  <si>
    <t>October</t>
  </si>
  <si>
    <t>November</t>
  </si>
  <si>
    <t>December</t>
  </si>
  <si>
    <t>offering rate</t>
  </si>
  <si>
    <t>monthly mortgage paym't</t>
  </si>
  <si>
    <t>other expenses</t>
  </si>
  <si>
    <t>monthly w/ mortgage</t>
  </si>
  <si>
    <t>Income Breakdown:</t>
  </si>
  <si>
    <t>After Tax</t>
  </si>
  <si>
    <t>Liberty Mutual</t>
  </si>
  <si>
    <t>Teaching:</t>
  </si>
  <si>
    <t>UNH</t>
  </si>
  <si>
    <t>(4) Find more cost effective recipes to feed family and guest – we want to continue to open house.</t>
  </si>
  <si>
    <t>Electricity</t>
  </si>
  <si>
    <t>PSNH</t>
  </si>
  <si>
    <t>Water</t>
  </si>
  <si>
    <t>Merrimack Village District</t>
  </si>
  <si>
    <t>Allowance</t>
  </si>
  <si>
    <t>TOTAL</t>
  </si>
  <si>
    <t>ANNUAL EXPENSES (Actual vs. Budgeting)</t>
  </si>
  <si>
    <t xml:space="preserve">Actual </t>
  </si>
  <si>
    <t>Under/(Over)</t>
  </si>
  <si>
    <t>YTD Total</t>
  </si>
  <si>
    <t>Annual Budget</t>
  </si>
  <si>
    <t>Available</t>
  </si>
  <si>
    <t>Monthly Bgt</t>
  </si>
  <si>
    <t>Utilities:</t>
  </si>
  <si>
    <t>House heating</t>
  </si>
  <si>
    <t>Pellets</t>
  </si>
  <si>
    <t>Water heating</t>
  </si>
  <si>
    <t>Propane</t>
  </si>
  <si>
    <t>Cell phone</t>
  </si>
  <si>
    <t>Insurance:</t>
  </si>
  <si>
    <t>Home &amp; Umbrella</t>
  </si>
  <si>
    <t>Car Insurance</t>
  </si>
  <si>
    <t>Life Insurance Premium</t>
  </si>
  <si>
    <t>Home Maintenance:</t>
  </si>
  <si>
    <t>Living:</t>
  </si>
  <si>
    <t>Cash Allowance</t>
  </si>
  <si>
    <t>Clothes &amp; Shoes</t>
  </si>
  <si>
    <t>Car:</t>
  </si>
  <si>
    <t>Registry</t>
  </si>
  <si>
    <t>CK's Gasoline</t>
  </si>
  <si>
    <t>Transportation</t>
  </si>
  <si>
    <t>MBTA, bus, train, toll fee, parking</t>
  </si>
  <si>
    <t>CK's meal at work w/coworkers</t>
  </si>
  <si>
    <t>Education:</t>
  </si>
  <si>
    <t>BJU Curriculumn</t>
  </si>
  <si>
    <t>Admission fee to parks, museums</t>
  </si>
  <si>
    <t>Lodge, hotel</t>
  </si>
  <si>
    <t>Gifts to family members</t>
  </si>
  <si>
    <t>Gifts to others</t>
  </si>
  <si>
    <t>Medical &amp; Health</t>
  </si>
  <si>
    <t>Vitamins, co-pay, out of pocket etc.</t>
  </si>
  <si>
    <t>Misc</t>
  </si>
  <si>
    <t>USPS, phonecard, fee, DVD rental</t>
  </si>
  <si>
    <t>Proverbs 3:9</t>
  </si>
  <si>
    <t>“HONOR the Lord with your wealth, with the FIRST fruits of all your crops”</t>
  </si>
  <si>
    <t>Income</t>
  </si>
  <si>
    <t>Goal 10%</t>
  </si>
  <si>
    <t>Realized Giving</t>
  </si>
  <si>
    <t>Fund to Allocate</t>
  </si>
  <si>
    <t>Realized giving %</t>
  </si>
  <si>
    <t>Acc. Income</t>
  </si>
  <si>
    <t>Accum Giving</t>
  </si>
  <si>
    <t>Acc. %</t>
  </si>
  <si>
    <t>Total</t>
  </si>
  <si>
    <t>Avg monthly</t>
  </si>
  <si>
    <t>giving %</t>
  </si>
  <si>
    <t>Budgeted Amt</t>
  </si>
  <si>
    <t xml:space="preserve">Realized </t>
  </si>
  <si>
    <t>Receipt?</t>
  </si>
  <si>
    <t>IBM Global</t>
  </si>
  <si>
    <t>Tom &amp; Grace Chu</t>
  </si>
  <si>
    <t>Mason &amp; Charity Parker</t>
  </si>
  <si>
    <t>Baptist Mid Mission</t>
  </si>
  <si>
    <t>Kirk Lehner</t>
  </si>
  <si>
    <t>Biblical Ministries Worldwide</t>
  </si>
  <si>
    <t>Steve &amp; Janes Gibb</t>
  </si>
  <si>
    <t>Office support</t>
  </si>
  <si>
    <t>EMU International</t>
  </si>
  <si>
    <t>Tim &amp; Ruth Bixby</t>
  </si>
  <si>
    <t>Answers In Genesis</t>
  </si>
  <si>
    <t>CEF Greater NYC</t>
  </si>
  <si>
    <t>Southern NH Rescue Mission</t>
  </si>
  <si>
    <t>monthly</t>
  </si>
  <si>
    <t xml:space="preserve"> </t>
  </si>
  <si>
    <t>weekly</t>
  </si>
  <si>
    <t>DETAILED GIVING ALLOCATION:</t>
  </si>
  <si>
    <t>ck#</t>
  </si>
  <si>
    <t>date</t>
  </si>
  <si>
    <t>Amt $</t>
  </si>
  <si>
    <t>Note</t>
  </si>
  <si>
    <t>Thailand</t>
  </si>
  <si>
    <t>Vanuatu</t>
  </si>
  <si>
    <t>South Pacific</t>
  </si>
  <si>
    <t>France</t>
  </si>
  <si>
    <t>Elisa &amp; Helen Teo</t>
  </si>
  <si>
    <t>Chinese children in NYC</t>
  </si>
  <si>
    <t>Annual Fund Drive</t>
  </si>
  <si>
    <t>Easter</t>
  </si>
  <si>
    <t>CareNet</t>
  </si>
  <si>
    <t>NYC</t>
  </si>
  <si>
    <t>Thanksgiving</t>
  </si>
  <si>
    <t>Propane (Current month)</t>
  </si>
  <si>
    <t>(See Breakeven Analyses, below)</t>
  </si>
  <si>
    <t>^ guests visit &amp; stay over less than a week</t>
  </si>
  <si>
    <t>1.)Electric heater on from Nov 08 to Apr 09 for homeschooling in basement.  Electric heater costs lots of $.</t>
  </si>
  <si>
    <t xml:space="preserve">@ guests (most family members from TW) visit &amp; stay over for more than two week to a month. </t>
  </si>
  <si>
    <t>2.)Central A/C installed 7/23/10.</t>
  </si>
  <si>
    <t xml:space="preserve">3.)Moved schoolroom to library in Sep. 2009.  </t>
  </si>
  <si>
    <t>$ using electric heater for library school time.  Better using propane than electric heater.</t>
  </si>
  <si>
    <t>Year 2008 Spring to 2009Spring, open home to Ladies Bible Studies.</t>
  </si>
  <si>
    <t>4) Travel to Taiwan.</t>
  </si>
  <si>
    <t>5) Ryan Chou stayed with us 2005 to Jul 2007.    Anne Lee stayed with us from Aug 2008 to Jun 2010.  T&amp;G Chu stayed Sep to Nov 2011.</t>
  </si>
  <si>
    <t>6) Unit price up since 2009</t>
  </si>
  <si>
    <t>House Heating Secondary</t>
  </si>
  <si>
    <t>Since 9/2006</t>
  </si>
  <si>
    <t>Begins in 2012</t>
  </si>
  <si>
    <t>2005 to 2011 Water &amp; House Heating</t>
  </si>
  <si>
    <t>Paid Month</t>
  </si>
  <si>
    <t>6)</t>
  </si>
  <si>
    <t>Avg usage</t>
  </si>
  <si>
    <t>Max kwh</t>
  </si>
  <si>
    <t>Min kwh</t>
  </si>
  <si>
    <t>Jan</t>
  </si>
  <si>
    <t>4)</t>
  </si>
  <si>
    <t>1)</t>
  </si>
  <si>
    <t>Propane Only</t>
  </si>
  <si>
    <t xml:space="preserve">Propane </t>
  </si>
  <si>
    <t xml:space="preserve">Pellet </t>
  </si>
  <si>
    <t>Total Heating</t>
  </si>
  <si>
    <t>Feb</t>
  </si>
  <si>
    <t>$5.4/bag</t>
  </si>
  <si>
    <t>New Schedule</t>
  </si>
  <si>
    <t>Avg GL</t>
  </si>
  <si>
    <t>Max Gallon</t>
  </si>
  <si>
    <t>Min, Gallon</t>
  </si>
  <si>
    <t>Mar</t>
  </si>
  <si>
    <t>5)</t>
  </si>
  <si>
    <t>Apr</t>
  </si>
  <si>
    <t>@</t>
  </si>
  <si>
    <t>Jun</t>
  </si>
  <si>
    <t>Jul</t>
  </si>
  <si>
    <t>*</t>
  </si>
  <si>
    <t>Aug</t>
  </si>
  <si>
    <t>***</t>
  </si>
  <si>
    <t>Sep</t>
  </si>
  <si>
    <t>*5)</t>
  </si>
  <si>
    <t>Oct</t>
  </si>
  <si>
    <t>3)</t>
  </si>
  <si>
    <t>Nov</t>
  </si>
  <si>
    <t>Dec</t>
  </si>
  <si>
    <t>5)@</t>
  </si>
  <si>
    <t>Usage</t>
  </si>
  <si>
    <t>(1)</t>
  </si>
  <si>
    <t>Avg Usage</t>
  </si>
  <si>
    <t>Avg Mnth$</t>
  </si>
  <si>
    <t>Avg G</t>
  </si>
  <si>
    <t>Gallon</t>
  </si>
  <si>
    <t>Avg $/mo</t>
  </si>
  <si>
    <t>Purchase unit price</t>
  </si>
  <si>
    <t>$/g</t>
  </si>
  <si>
    <t>Water (Prior 3 months)</t>
  </si>
  <si>
    <t>actual $/gl</t>
  </si>
  <si>
    <t>*water leak found in Oct. '06</t>
  </si>
  <si>
    <t>^estimated usage  cause no bill in file</t>
  </si>
  <si>
    <t>?need to find if leaked, changed to manually switch on/off lawn irrigation to save water bill</t>
  </si>
  <si>
    <t>Average</t>
  </si>
  <si>
    <t>1/3 yard expansion in 7/2009</t>
  </si>
  <si>
    <t>Pellets - projected</t>
  </si>
  <si>
    <t xml:space="preserve">!  Water dripping from backyard facet in the winter.   Remember to check backyard facet if turned off in the winter.  </t>
  </si>
  <si>
    <t>5 summer months (May – Sep)</t>
  </si>
  <si>
    <t>Mid Oct +Nov.</t>
  </si>
  <si>
    <t>Since  Feb/2007</t>
  </si>
  <si>
    <t>Month</t>
  </si>
  <si>
    <t>bags</t>
  </si>
  <si>
    <t>gallons (maximum usage)</t>
  </si>
  <si>
    <t>^</t>
  </si>
  <si>
    <t>!</t>
  </si>
  <si>
    <t>(40 gallons of water tank, based on the info on tank: 266 gallons of gas to heat water a year)</t>
  </si>
  <si>
    <t>?</t>
  </si>
  <si>
    <t>BREAK-EVEN POINT for Propane Unit Price and Usage</t>
  </si>
  <si>
    <t>(1) Using Actual Average Unit Price:</t>
  </si>
  <si>
    <t>*2011 winter began using propane and pellets</t>
  </si>
  <si>
    <t>If 350 gallons of propane heating water and 3 tons pellet heating house:</t>
  </si>
  <si>
    <t>Year</t>
  </si>
  <si>
    <t>Avg month</t>
  </si>
  <si>
    <t>Saving</t>
  </si>
  <si>
    <t>Y/N</t>
  </si>
  <si>
    <t>N</t>
  </si>
  <si>
    <t>Y</t>
  </si>
  <si>
    <t>BreakEven</t>
  </si>
  <si>
    <t>Actual $</t>
  </si>
  <si>
    <t>Actual usage</t>
  </si>
  <si>
    <t>Avg unit price</t>
  </si>
  <si>
    <t>IF Avg Usage = 806 gallons a year to heat both house and water (Propane Only):</t>
  </si>
  <si>
    <t>Cost</t>
  </si>
  <si>
    <t>(2)Using Pre-buy unit price</t>
  </si>
  <si>
    <t>$/gl (prebuy)</t>
  </si>
  <si>
    <t>CONCLUSION (1):  The breakeven point for average 806 gallons propane a year is $2.099.  Otherwise, use pellets to heat the house and propane to heat water to save $.</t>
  </si>
  <si>
    <t>CONCLUSION (2):  The breakeven point for reserve propane use to heat house and water: $2.549/gl for 745 gallons a year.  Otherwise, use pellets to heat the house and propane to heat water to save $.</t>
  </si>
  <si>
    <t>CONCLUSION (3):  In 2013, the saving is expected to cover the cost of pellet stove and pipes.  After 2013, it can be pure money saved to our pocket!</t>
  </si>
  <si>
    <t>Breakeven to cover the cost of pellet stove &amp; insulated pipes</t>
  </si>
  <si>
    <t>From 2005 to 2011, average usage of propane for heating water and house is</t>
  </si>
  <si>
    <t>(Based on monthly average usage. See  (1).)</t>
  </si>
  <si>
    <t xml:space="preserve">In 2011, Cost of pellet stove and insulated pipes:  $1399.99 + $572.01 = $1972. </t>
  </si>
  <si>
    <t>Pre-buy</t>
  </si>
  <si>
    <t>Avg</t>
  </si>
  <si>
    <t>Unit Price</t>
  </si>
  <si>
    <t>Avg use Cost</t>
  </si>
  <si>
    <t>Actual Cost</t>
  </si>
  <si>
    <t>Accumulated</t>
  </si>
  <si>
    <t xml:space="preserve">Year </t>
  </si>
  <si>
    <t>Total Avg</t>
  </si>
  <si>
    <t>Actual Saving</t>
  </si>
  <si>
    <t xml:space="preserve">Wood Pellets Purchase </t>
  </si>
  <si>
    <t>Tons</t>
  </si>
  <si>
    <t>Delivery Fee</t>
  </si>
  <si>
    <t>$/bag</t>
  </si>
  <si>
    <t>Bags Used</t>
  </si>
  <si>
    <t>Amount</t>
  </si>
  <si>
    <t>Clear Choice</t>
  </si>
  <si>
    <t>Logik-E Premium Hardwood</t>
  </si>
  <si>
    <t>**** Estimate beginning in 2012, heating water will need :</t>
  </si>
  <si>
    <t>Maximum</t>
  </si>
  <si>
    <t>Minimum</t>
  </si>
  <si>
    <t>5 summer months (May - Sep)</t>
  </si>
  <si>
    <t>7 winter/cold months (Oct - April)</t>
  </si>
  <si>
    <t>gallons of propane to heating water</t>
  </si>
  <si>
    <t>estimate $3/gl + $150</t>
  </si>
  <si>
    <t>* prefer the minimum - save $$$, monitor hot water usage beginning in Jan. 2012 by checking the propane meter.</t>
  </si>
  <si>
    <t>Burning pellets to heat up house</t>
  </si>
  <si>
    <t>(house temperature stay around 67 to 72 on 1st flr and 63 to 65 on 2nd flr, comparing to 62 using propane and feeling cold all the time)</t>
  </si>
  <si>
    <t>Total heating cost (est.)</t>
  </si>
  <si>
    <t>Liberty Univ.</t>
  </si>
  <si>
    <t>Withheld</t>
  </si>
  <si>
    <t>Property Tax</t>
  </si>
  <si>
    <t>Gifts to CK's parents</t>
  </si>
  <si>
    <t>Actual Total</t>
  </si>
  <si>
    <t>Cash/Check</t>
  </si>
  <si>
    <t>Home Improvement:</t>
  </si>
  <si>
    <t>SUBACCOUNTS</t>
  </si>
  <si>
    <t>Carryover</t>
  </si>
  <si>
    <t>prior year</t>
  </si>
  <si>
    <t>Distribution</t>
  </si>
  <si>
    <t>Balance</t>
  </si>
  <si>
    <t>Frances' allowance</t>
  </si>
  <si>
    <t>(Principal $10000, APR 5%)</t>
  </si>
  <si>
    <t>04/26/2010 balance</t>
  </si>
  <si>
    <t>2/26/2012 Balance</t>
  </si>
  <si>
    <t>I owe Dad (Principal) from 4/26/10</t>
  </si>
  <si>
    <t>Interest total</t>
  </si>
  <si>
    <t>Chris' Job Related Travel Log</t>
  </si>
  <si>
    <t>Date</t>
  </si>
  <si>
    <t>Travel To</t>
  </si>
  <si>
    <t>For what?</t>
  </si>
  <si>
    <t>Answer In Genesis</t>
  </si>
  <si>
    <t>5)^</t>
  </si>
  <si>
    <t>2)^</t>
  </si>
  <si>
    <t>Kids College Fund</t>
  </si>
  <si>
    <t>EMERGENCY FUND</t>
  </si>
  <si>
    <t>AT&amp;T</t>
  </si>
  <si>
    <t>Home Indoor Appliance &amp; maintenance</t>
  </si>
  <si>
    <t>Yard tools maintenance (mowner, snow thrower)</t>
  </si>
  <si>
    <t>Offering/Giving</t>
  </si>
  <si>
    <t>Allowance to CK's Parents</t>
  </si>
  <si>
    <t>Allowance to FC's Parents</t>
  </si>
  <si>
    <t>FC's pocket money</t>
  </si>
  <si>
    <t xml:space="preserve">Loan (Lender: FC's Dad.. </t>
  </si>
  <si>
    <t>Plan to save for emergency fund</t>
  </si>
  <si>
    <t>Family Dine-out(Special Occasions Only) like B-day</t>
  </si>
  <si>
    <t>Vacation - Food/Eat Out</t>
  </si>
  <si>
    <t>Vacation Transportation exp. (Gas, Airfare. Train etc)</t>
  </si>
  <si>
    <t>Gifts</t>
  </si>
  <si>
    <t xml:space="preserve"> to Sunday school teachers, shower gifts</t>
  </si>
  <si>
    <t>Family Fun</t>
  </si>
  <si>
    <t>Art Purchase (not budgeted, taken out from emergency fund)</t>
  </si>
  <si>
    <t>Annual Income</t>
  </si>
  <si>
    <t>Monthly Income</t>
  </si>
  <si>
    <t>Teaching Income (UNH, Liberty U, DWC possible)</t>
  </si>
  <si>
    <t>OFFERING/GIVING</t>
  </si>
  <si>
    <t>AVAILABLE FOR EXPENSE</t>
  </si>
  <si>
    <t>GIVING %</t>
  </si>
  <si>
    <t>DEBT</t>
  </si>
  <si>
    <t>SAVING</t>
  </si>
  <si>
    <t>Carry-Over</t>
  </si>
  <si>
    <t>Annual Bdgt</t>
  </si>
  <si>
    <t>Avaiable</t>
  </si>
  <si>
    <t>PRIOR YEAR FEDERAL/STATE TAX REFUND</t>
  </si>
  <si>
    <t>Extra saving to emergency fund</t>
  </si>
  <si>
    <t>Prior year TAX REFUND</t>
  </si>
  <si>
    <t>PROPERTY TAX</t>
  </si>
  <si>
    <t>(Principal $18750, APR 6%)</t>
  </si>
  <si>
    <t>$18750 in July 2009 to July 2010</t>
  </si>
  <si>
    <t>$10000 in 12/10</t>
  </si>
  <si>
    <t>Medical Insurance Exp. (CK's Parents)</t>
  </si>
  <si>
    <t>Medical Insurance Exp. (FC's Parents)</t>
  </si>
  <si>
    <t>Medical Insurance Exp. (CK's parents)</t>
  </si>
  <si>
    <t>Medical Insurance Exp. (FC's parents)</t>
  </si>
  <si>
    <t>Extra to CK's Parents</t>
  </si>
  <si>
    <t>Extra to FC's Parents</t>
  </si>
  <si>
    <t>Medical Insurance Premium</t>
  </si>
  <si>
    <t>Insurance Premium Distribution</t>
  </si>
  <si>
    <t>Extra to cover Property Tax</t>
  </si>
  <si>
    <t xml:space="preserve">Applicance maintenance/repair (generator, A/C, water heater, furnance) </t>
  </si>
  <si>
    <t>Necessities (non-food) ie. Tissues, detergent, shampoo, cookware etc</t>
  </si>
  <si>
    <t>* Summer months.  Next year (2012) set thermo at 80-85 and see if lower $.  Use fan often.</t>
  </si>
  <si>
    <t>When outdoor temp reaches to 85, time to turn on A/C to 80 for cooling down.  Otherwise, use fan or hide in the basement.</t>
  </si>
  <si>
    <t>Outdoor yard (Seeding, fertilizers, plants, lawn service etc.)</t>
  </si>
  <si>
    <t xml:space="preserve"> Allowance Distribution</t>
  </si>
  <si>
    <t>Monthly Budgeted</t>
  </si>
  <si>
    <t>MONTH-END SAVING (to emergency fd)</t>
  </si>
  <si>
    <t>Extra for Income Tax</t>
  </si>
  <si>
    <t>Budgeted College Fund</t>
  </si>
  <si>
    <t>Extra from Emergency Fund to College</t>
  </si>
  <si>
    <t>DISTRIBUTION:</t>
  </si>
  <si>
    <t>FC's Dad Account***</t>
  </si>
  <si>
    <t>Extra Interest</t>
  </si>
  <si>
    <t>FC's allowance saved for kids</t>
  </si>
  <si>
    <t>Borrowed to fund CK&amp;FC ETF investment in summer of 2009/2010, but it ended up with big loss. Paid off 12/7/12.</t>
  </si>
  <si>
    <t>Borrowed to pay our mortgage in Dec. 2010.  Paid off loan 5/5/12</t>
  </si>
  <si>
    <t>For future care (medical)</t>
  </si>
  <si>
    <t>7) Use furnance fan all day to circulate the hot air fro basement to 1st &amp; 2nd floor.</t>
  </si>
  <si>
    <t>7)</t>
  </si>
  <si>
    <t>Net Total College Fund</t>
  </si>
  <si>
    <t>Net Total Emergency Fd</t>
  </si>
  <si>
    <t xml:space="preserve">4 tons ordered </t>
  </si>
  <si>
    <t>Tom Chu</t>
  </si>
  <si>
    <t>To CDs account/Investent</t>
  </si>
  <si>
    <t>Net Papa Chou's Account</t>
  </si>
  <si>
    <t>M/C</t>
  </si>
  <si>
    <t>Cash Reward</t>
  </si>
  <si>
    <t>For allowance</t>
  </si>
  <si>
    <t>WITHHELD*</t>
  </si>
  <si>
    <t>Related purchase cost, appraisal report</t>
  </si>
  <si>
    <t xml:space="preserve">Mortgage </t>
  </si>
  <si>
    <t>(1241-1251 Adams Street, Unit504, Dorchester, MA 02124)</t>
  </si>
  <si>
    <t>Lend to Adam Bonett (Car Loan)</t>
  </si>
  <si>
    <t>CapitalOne (CK)</t>
  </si>
  <si>
    <t>Financial Result:</t>
  </si>
  <si>
    <t>1. Purchased a condo in Boston 3/15/13 for $316,000. (25% down, mortgage $237,000)</t>
  </si>
  <si>
    <t>3. Plan to pay off this mortgage in 6 years. (Year 2018)</t>
  </si>
  <si>
    <t>$62,000,@3% apr, 48 months</t>
  </si>
  <si>
    <t>3/5/13</t>
  </si>
  <si>
    <t>Energex Premium (Hard/Softwood Blend)</t>
  </si>
  <si>
    <t>(Logik-E goes by metric tons, 55 bags/metric tons)</t>
  </si>
  <si>
    <t>$4.818/bag</t>
  </si>
  <si>
    <t>$5.015/bag</t>
  </si>
  <si>
    <t>Left for next winter</t>
  </si>
  <si>
    <t>3/16/13</t>
  </si>
  <si>
    <t>American Hardwood (Energex)</t>
  </si>
  <si>
    <t>(Tax Return 2106-EZ)</t>
  </si>
  <si>
    <t>TEACHING CONTRACTS:</t>
  </si>
  <si>
    <t>School</t>
  </si>
  <si>
    <t>Mileage/per round trip</t>
  </si>
  <si>
    <t>Per session</t>
  </si>
  <si>
    <t># of sessions</t>
  </si>
  <si>
    <t xml:space="preserve">Liberty University </t>
  </si>
  <si>
    <t>Online Internet Class</t>
  </si>
  <si>
    <t>8 weeks</t>
  </si>
  <si>
    <t>Manchester, NH</t>
  </si>
  <si>
    <t>16 weeks</t>
  </si>
  <si>
    <t>Rental Income</t>
  </si>
  <si>
    <t>Boston, MA</t>
  </si>
  <si>
    <t>IIA/CPCA Exam</t>
  </si>
  <si>
    <t>Lowell, MA</t>
  </si>
  <si>
    <t>2. Parking fees, tolls, and transportation, including train, bus, etc., that did not involve overnight travel or commuting to and from work.</t>
  </si>
  <si>
    <t>Mass Pike</t>
  </si>
  <si>
    <t>Boston Express</t>
  </si>
  <si>
    <t>capital one</t>
  </si>
  <si>
    <t>Subway</t>
  </si>
  <si>
    <t>Parking</t>
  </si>
  <si>
    <t>3. Travel expense while away from home overnight, incl. lodging, airplane, car rental, etc.  Do not include meals and entertainment.</t>
  </si>
  <si>
    <t>4. Business expenses not included on lines 1 through 3.  Do not include meals and entertainment.</t>
  </si>
  <si>
    <t>TOTAL #4</t>
  </si>
  <si>
    <t>Cell phone (Statistic work @ Liberty Mutual special projects, teaching &amp; traveling to attend professional conference)</t>
  </si>
  <si>
    <t>Capital One</t>
  </si>
  <si>
    <t>Internet Access (On-line teaching, Liberty Mutual work at home, UNH,  DWC teaching)</t>
  </si>
  <si>
    <t>Comcast.com</t>
  </si>
  <si>
    <t xml:space="preserve">Internet </t>
  </si>
  <si>
    <t>Skype Communication</t>
  </si>
  <si>
    <t>Amazon.com</t>
  </si>
  <si>
    <t>Book</t>
  </si>
  <si>
    <t>Office Supplies for Teaching Handouts, Exam papers &amp; Prints</t>
  </si>
  <si>
    <t>Staples</t>
  </si>
  <si>
    <t>printer ink</t>
  </si>
  <si>
    <t>USPS</t>
  </si>
  <si>
    <t>1/28/12</t>
  </si>
  <si>
    <t>Walmart (electronic)</t>
  </si>
  <si>
    <t>iPod $195</t>
  </si>
  <si>
    <t>4/28/12</t>
  </si>
  <si>
    <t>Brookstone</t>
  </si>
  <si>
    <t>iPad cover $49.99</t>
  </si>
  <si>
    <t>Apple Store</t>
  </si>
  <si>
    <t>iPad &amp; accessories $438</t>
  </si>
  <si>
    <t>7/16/12</t>
  </si>
  <si>
    <t>Printer $399</t>
  </si>
  <si>
    <t>5. Meals and entertainment expensesX 50%</t>
  </si>
  <si>
    <t>50% of #5 total</t>
  </si>
  <si>
    <t>Dunkin</t>
  </si>
  <si>
    <t>Boston meeting</t>
  </si>
  <si>
    <t>Walmart</t>
  </si>
  <si>
    <t>Pho 88</t>
  </si>
  <si>
    <t>UNH Teaching</t>
  </si>
  <si>
    <t>Mileage/Round Trip</t>
  </si>
  <si>
    <t>CPCA Exam</t>
  </si>
  <si>
    <t>Mileage</t>
  </si>
  <si>
    <t>(limited once a month; $40 if possible)</t>
  </si>
  <si>
    <t>Real Estate Tax</t>
  </si>
  <si>
    <t>Property Tax - Wasserman Hts</t>
  </si>
  <si>
    <t>Liberty University</t>
  </si>
  <si>
    <t>Total Teaching</t>
  </si>
  <si>
    <t>TOTAL INCOME</t>
  </si>
  <si>
    <t>CrossWay Christian Church</t>
  </si>
  <si>
    <t>Nathan's own saving (work income)</t>
  </si>
  <si>
    <t>Eileen's own saving (work income)</t>
  </si>
  <si>
    <t>Net Income</t>
  </si>
  <si>
    <t>Rec'd Date</t>
  </si>
  <si>
    <t>CHILDREN'S</t>
  </si>
  <si>
    <t>Toby &amp; Susan Stevens</t>
  </si>
  <si>
    <t>Boston, USA</t>
  </si>
  <si>
    <t>Steve &amp; Jane Gibb</t>
  </si>
  <si>
    <t>To Investment Acct (TradeKing)</t>
  </si>
  <si>
    <t>Deficit in In-laws Carryover</t>
  </si>
  <si>
    <t>Starbucks</t>
  </si>
  <si>
    <t>$ Green lawn this year</t>
  </si>
  <si>
    <t>$</t>
  </si>
  <si>
    <t>NH local church planting</t>
  </si>
  <si>
    <t>Training Chinese home church pastors in China</t>
  </si>
  <si>
    <t>Money from Grandparents KUO to Nathan</t>
  </si>
  <si>
    <t>Money from Grandparents KUO to Eileen</t>
  </si>
  <si>
    <t>Year 2014 Giving</t>
  </si>
  <si>
    <t>Year 2014 Tithe</t>
  </si>
  <si>
    <t>Sponsor Date</t>
  </si>
  <si>
    <t>4. CK's 2014 salary increase $6000 (after tax about 4300) and bonus all go to Adams Street extra principal.</t>
  </si>
  <si>
    <t>2. Condo monthly rental income of $2,000 to supplement mortgage expenses.</t>
  </si>
  <si>
    <t xml:space="preserve">2. Save $1000 monthly toward Dad Chou's account to pay off the loan of $62,000 that borrowed in Feb 2013 for part of down payment for Adams Street property. </t>
  </si>
  <si>
    <t>1. Monthly $1000 for Children's College Fund to be applied to extra principal after renting out the property.  Hope to pay off in less 6 years (2018).</t>
  </si>
  <si>
    <t>Great Commission Media Ministries</t>
  </si>
  <si>
    <t>Taiwan Xi En orphanage</t>
  </si>
  <si>
    <t>Taiwan Xi En orphanage baby sponsorship</t>
  </si>
  <si>
    <t>Boston</t>
  </si>
  <si>
    <t>Last year income after tax is</t>
  </si>
  <si>
    <t>The prior years and this year's financial overview</t>
  </si>
  <si>
    <t xml:space="preserve">Income </t>
  </si>
  <si>
    <t>Offering</t>
  </si>
  <si>
    <t>%</t>
  </si>
  <si>
    <t>Annual Expense w/o mortgage payment</t>
  </si>
  <si>
    <t>Monthly Exp.</t>
  </si>
  <si>
    <t>Oct. 2011 paid off the 10 Wasserman Heights house</t>
  </si>
  <si>
    <t xml:space="preserve"> (Lender: FC's Dad.  Principal=$62000)</t>
  </si>
  <si>
    <t>Downpayment Loan for Adams Street from FC's Dad</t>
  </si>
  <si>
    <t>Pellet</t>
  </si>
  <si>
    <t>YEAR 2014</t>
  </si>
  <si>
    <t xml:space="preserve">3/15/13 purchased 1241 Adams Street, F504, Dorchester, MA 02124 </t>
  </si>
  <si>
    <t>(1) Extra mortgage principal toward Baker Sq rental property.  Plan to pay off within 5 years (2018) and purchase another rental in city area for Kids' College Fund.</t>
  </si>
  <si>
    <t>(2) Live on CK's daytime job and save his teaching income for rental property purchase and investment.</t>
  </si>
  <si>
    <t xml:space="preserve">(3) Increease giving.  Save 30% of CK's daytime paycheck.  </t>
  </si>
  <si>
    <t>Bonus - Liberty Mutual (For Baker's principal)</t>
  </si>
  <si>
    <t>YEAR 2014 INCOME (ESTIMATED)</t>
  </si>
  <si>
    <t>Business - Rental Property</t>
  </si>
  <si>
    <t>Maintenance - food &amp; travel cost</t>
  </si>
  <si>
    <t>Remodeling Cost (incl.labor &amp; materials)</t>
  </si>
  <si>
    <t>Maintenance &amp; Repairs - materials cost</t>
  </si>
  <si>
    <t>Job&amp;Teaching Research Exp:</t>
  </si>
  <si>
    <t>Books &amp; Data Purchase</t>
  </si>
  <si>
    <t>Computer, electronics, app service exp</t>
  </si>
  <si>
    <t>Job&amp;Teaching Food Exp:</t>
  </si>
  <si>
    <t>Job&amp;Teaching Contract Communication Exp:</t>
  </si>
  <si>
    <t>Job&amp;Teaching Travel Exp:</t>
  </si>
  <si>
    <t>Rental Home Insurance ($680 1n 2013)</t>
  </si>
  <si>
    <t>Office Supply, ink cartridge, copy paper etc</t>
  </si>
  <si>
    <t>Wireless Internet Connection (Comcast)</t>
  </si>
  <si>
    <t>Cell phone (AT&amp;T)</t>
  </si>
  <si>
    <t>LIVING EXPENSES</t>
  </si>
  <si>
    <t>BUSINESS EXPENSES</t>
  </si>
  <si>
    <t>400 gallons a year maximum</t>
  </si>
  <si>
    <t>Liberty Mutual ($820)</t>
  </si>
  <si>
    <t>Commerce Insurance($694)</t>
  </si>
  <si>
    <t>House repairs(materials: light bulbs)</t>
  </si>
  <si>
    <t>Fish Tank &amp; House Plants maintenance (planters and food)</t>
  </si>
  <si>
    <t>Septic Tank pumped up (Service 2014 summer, $315 every 2years)</t>
  </si>
  <si>
    <t xml:space="preserve">Pellet stove cleanup annually </t>
  </si>
  <si>
    <t>Furniture &amp; home deco (Deck remodeling?)</t>
  </si>
  <si>
    <t>Repairs &amp; Maintenance (Oil change, new tires)</t>
  </si>
  <si>
    <t>Gasoline (Sienna) - 1/2 used for Baker maintenance need</t>
  </si>
  <si>
    <t>CK's $500,000</t>
  </si>
  <si>
    <t>Salmon Seafood</t>
  </si>
  <si>
    <t>Tassimo Coffee</t>
  </si>
  <si>
    <t>CK's Clothes &amp; Shoes</t>
  </si>
  <si>
    <t>FC's</t>
  </si>
  <si>
    <t>NK's</t>
  </si>
  <si>
    <t>EK's</t>
  </si>
  <si>
    <t>Haircut &amp; Skin products (Mainly FC's)</t>
  </si>
  <si>
    <t>Groceries &amp; Food (Incl. Entertainment)</t>
  </si>
  <si>
    <t>Dine-out with Taiwan family members</t>
  </si>
  <si>
    <t>Movie Night, DVD Rental, Bowling</t>
  </si>
  <si>
    <t>Food/Eat Out</t>
  </si>
  <si>
    <t>Transportation (Airfare, Car Rental &amp; Gas, Bus etc)</t>
  </si>
  <si>
    <t>Admission fees to parks, museums</t>
  </si>
  <si>
    <t>EXPENSES WILL BE DEDUCTED FROM EMERGENCY FUND DIRECTLY IF NEEDED</t>
  </si>
  <si>
    <t>(2) Overseas Vacation (Taiwan)- Deducted from Travel Fund Withheld</t>
  </si>
  <si>
    <t>(1) Domestic Vacation *** Credit card cash back reward included in vacation transportation</t>
  </si>
  <si>
    <t>Gifts, Suverneirs</t>
  </si>
  <si>
    <t>Management Fee ($554 in 2014 from $540.45, 2.5% increse)</t>
  </si>
  <si>
    <t>Taiwan Travel Fund</t>
  </si>
  <si>
    <t xml:space="preserve">WITHHELD </t>
  </si>
  <si>
    <t>Kuo Pool Fund</t>
  </si>
  <si>
    <t>Chou Saving Acct</t>
  </si>
  <si>
    <t>Sports / Camp fees</t>
  </si>
  <si>
    <t>BUSINESS, JOB &amp; TEACHING EXPENSES</t>
  </si>
  <si>
    <t>HOME MAINTENANCE &amp; PROJECT</t>
  </si>
  <si>
    <t>UTILITIES</t>
  </si>
  <si>
    <t>INSURANCE</t>
  </si>
  <si>
    <t>CAR MAINTENANCE &amp; REGISTRY</t>
  </si>
  <si>
    <t>EDUCATION</t>
  </si>
  <si>
    <t>HEALTH</t>
  </si>
  <si>
    <t>FOOD, CLOTHING &amp; OTHERS</t>
  </si>
  <si>
    <t>DOMESTIC VACATION EXPENSES &amp; ART PURCHASE</t>
  </si>
  <si>
    <t>TOTAL EXPENSES</t>
  </si>
  <si>
    <t>BUDGETING SAVING</t>
  </si>
  <si>
    <t>Actual 2013</t>
  </si>
  <si>
    <t>Grocery cash planned monthly - $400</t>
  </si>
  <si>
    <t xml:space="preserve">(1) Beginning this year, Nathan will take care of grocery shopping and bookkeeping.  </t>
  </si>
  <si>
    <t>Painting, remodeling &amp; new tools for remodeling etc. (one room painting?)</t>
  </si>
  <si>
    <t>Piano/Art/Dance lesson</t>
  </si>
  <si>
    <t xml:space="preserve">Homeschooling exp. </t>
  </si>
  <si>
    <t>Passport, Visa, Legal fee</t>
  </si>
  <si>
    <t>Gifts, Suvenirs</t>
  </si>
  <si>
    <t>XiEn (GCM)</t>
  </si>
  <si>
    <t>TV set, hard drive</t>
  </si>
  <si>
    <t>Necessities (non-food) ie. Tissues, detergent, shampoo, cookware, tooth paste &amp; rinse etc</t>
  </si>
  <si>
    <t>FOOD, CLOTHING, DINE-OUT &amp; OTHERS</t>
  </si>
  <si>
    <t>(2) NYC Trip 12/20-12/23/13</t>
  </si>
  <si>
    <t>(3) Directing heat from pellet stove to the main return</t>
  </si>
  <si>
    <t>(4) 55" TV set</t>
  </si>
  <si>
    <t>$728</t>
  </si>
  <si>
    <t>$66.49</t>
  </si>
  <si>
    <t>$185.85</t>
  </si>
  <si>
    <t>(1) New Year Eve Party for MVBC C&amp;C</t>
  </si>
  <si>
    <t>(A) Project of this month:</t>
  </si>
  <si>
    <t>(B) Meals &amp; hospitality:</t>
  </si>
  <si>
    <t>(C) Baker's property maintenance:</t>
  </si>
  <si>
    <t>(D) Family Celebration &amp; things happened</t>
  </si>
  <si>
    <t>AP</t>
  </si>
  <si>
    <t>CapitalOne</t>
  </si>
  <si>
    <t>BOA &amp; Others</t>
  </si>
  <si>
    <t>GCM (XiEn)</t>
  </si>
  <si>
    <t>BOA&amp;Others</t>
  </si>
  <si>
    <t>TAIWAN Travel Fund</t>
  </si>
  <si>
    <t xml:space="preserve">Withheld </t>
  </si>
  <si>
    <t>Saving Account Balance+Interest</t>
  </si>
  <si>
    <t>**(2) Borrowed from Dad Chou 2/4/2013 for Adams Street down payment $62,000</t>
  </si>
  <si>
    <t>*(1)  Adams Street (Baker) property out of pocket closing $20660.21.  Splited $5660.21 from emergency fund and $15,000 kids' college fund.</t>
  </si>
  <si>
    <t>NOTE for Dad Chou's Acct</t>
  </si>
  <si>
    <t>(1) Borrowed from Dad's money for investment in 2009/2010</t>
  </si>
  <si>
    <t>LOAN borrowed from Dad Chou's ~~~</t>
  </si>
  <si>
    <t>(2) $62,000 for Baker Sq Apt (1241 Adams St, F504, Dorchester, MA 02124) on 2/4/2013</t>
  </si>
  <si>
    <t>2/4/13, $62,000,@3% apr, 48 months</t>
  </si>
  <si>
    <t>2013 paid to Dad Chou Acct</t>
  </si>
  <si>
    <t>2014 paid to Dad Chou Acct</t>
  </si>
  <si>
    <t>(1) In Oct. 2003, Dad Chou brought $50,000 to FC for emergency fund we can use since no immediate family members in USA near us.  Later, FC applied it to house principal.</t>
  </si>
  <si>
    <t>(2) FC's parents gave $10,000 each to N&amp;E when they were born.  FC applied those $20,000 to our Wasseran Hts mortgage.</t>
  </si>
  <si>
    <t xml:space="preserve">(3) Dad Chou insisted the first $50,000 that FC applied to house principal was a house warming gift, not a loan.  But Chris refused.  We will have to save $50,000 in the future to pay it back, per Chris.  </t>
  </si>
  <si>
    <t>(4) Dad Chou brought another $50,000 in March/April 2004 and FC deposited it to her saving account with kids' college fund together.  It helps to finance our baker apartment purchase.</t>
  </si>
  <si>
    <t>Pay off debts borrowed from Chou **(2)</t>
  </si>
  <si>
    <t>Money from Grandparents CHOU to Nathan***(3)</t>
  </si>
  <si>
    <t>Money from Grandparents CHOU to Eileen***(3)</t>
  </si>
  <si>
    <t xml:space="preserve">***(3) Grandparents CHOU gave Nathan and Eileen each $10,000 when they were born and the amount was not recorded here.  The total $20,000 birth gift was already applied to Wasserman Heights house principal.  </t>
  </si>
  <si>
    <t>(1) SAVING ACCOUNT - KUO POOL FUND</t>
  </si>
  <si>
    <t>(2) SAVING ACCOUNT - FC SAVING (CHILDREN'S &amp; DAD CHOU)</t>
  </si>
  <si>
    <t>Year End Distribution to Kids' College Fd</t>
  </si>
  <si>
    <t>Extra R/E Principal</t>
  </si>
  <si>
    <t xml:space="preserve">1/21/14-5/6/14, Tuesday nights </t>
  </si>
  <si>
    <t>1/13/14-3/7/14, Mon-Fri nights</t>
  </si>
  <si>
    <t>Christmas tree skirt &amp; votive</t>
  </si>
  <si>
    <t>(3) Judy &amp; Marty Chan to pick up Cee 1/19/14</t>
  </si>
  <si>
    <t>(2) Judy &amp; Marty Chan's daughter Cee stayed for two weeks: 1/1/14 - 1/19/14</t>
  </si>
  <si>
    <t>(1) 1/6/14 Katie Schwanke began to teach N&amp;E piano at our home, 1/13/14 Cooper Hardy came to take lessons here</t>
  </si>
  <si>
    <t>project for directing heat from pellet stove to the main return</t>
  </si>
  <si>
    <t>(2) Chinese New Year 1/31/14</t>
  </si>
  <si>
    <t>light bulb</t>
  </si>
  <si>
    <t>fish tank filters</t>
  </si>
  <si>
    <t>(3) Frequent car rides from/to kids' extracurricula activities: co-op, basketball, martial art</t>
  </si>
  <si>
    <t>FC's renewal</t>
  </si>
  <si>
    <t>latex gloves &amp; airwick</t>
  </si>
  <si>
    <t>Annual Usage Projection - year 2014</t>
  </si>
  <si>
    <t>P/D-- Programmable thermostat installed in 10/30/13,A/D - hot air directed to main return 12/27/13, with hope to circulate the whole house</t>
  </si>
  <si>
    <t>*, P/D</t>
  </si>
  <si>
    <t>*, A/D</t>
  </si>
  <si>
    <t>AVG</t>
  </si>
  <si>
    <t>Quality Comments</t>
  </si>
  <si>
    <t>Nathan's glassess</t>
  </si>
  <si>
    <t>F</t>
  </si>
  <si>
    <t>#</t>
  </si>
  <si>
    <t>Christmas and New Year Eve Party included in Jan bill but paid in Feb.  Part of Christmas light expenses is in Dec. bill but paid in Jan.</t>
  </si>
  <si>
    <t xml:space="preserve">Electricity (revised in Jan 2014): </t>
  </si>
  <si>
    <t>Temp</t>
  </si>
  <si>
    <t>(Dec &amp; Jan electricity bills)</t>
  </si>
  <si>
    <t>/235 after pellet</t>
  </si>
  <si>
    <t>2008-Current</t>
  </si>
  <si>
    <t>Avg Temp (F)</t>
  </si>
  <si>
    <t>* Propane requires minimum usage 600 gallons a year (Jan to Dec) or a lease charge of $150 occurs, about 45 gallons of propane.  New delivery schedule in 2012:  April and Dec.</t>
  </si>
  <si>
    <t>W/C</t>
  </si>
  <si>
    <t>W- Warm winter, C- Cold winter, FR- Frigid Cold winter</t>
  </si>
  <si>
    <t>FR/W</t>
  </si>
  <si>
    <t>C/FR</t>
  </si>
  <si>
    <t>FR/</t>
  </si>
  <si>
    <t>Propane Usage</t>
  </si>
  <si>
    <t>gl</t>
  </si>
  <si>
    <t xml:space="preserve">$150 = </t>
  </si>
  <si>
    <t># bags of pellet</t>
  </si>
  <si>
    <t>Cost of pellet stove and pipes will be breakeven in five years if (1) propane price stays in $3/gl &amp; 3 tons of pellets used.  But less than four years if propane &gt; $3.599/gl.</t>
  </si>
  <si>
    <t>****** Need about 4 tons of pellets per year ******</t>
  </si>
  <si>
    <t>Clinkers, need improve air circulation, clean exhauste pipe more</t>
  </si>
  <si>
    <t>Chinese New Year</t>
  </si>
  <si>
    <t>12/16/13</t>
  </si>
  <si>
    <t>1/17/14</t>
  </si>
  <si>
    <t xml:space="preserve">(4) Chinese New Year Feast </t>
  </si>
  <si>
    <t>1/30/14</t>
  </si>
  <si>
    <t>Coffee to Brent &amp; Tina Zarella</t>
  </si>
  <si>
    <t>Salmon&amp;Shrimp Seafood</t>
  </si>
  <si>
    <t>Gap cothes shopping</t>
  </si>
  <si>
    <t>Planned to pay it off on</t>
  </si>
  <si>
    <t>Feb, 2017</t>
  </si>
  <si>
    <t>(2) Liberty Univ. teaching 3 sessions done 3/7/14</t>
  </si>
  <si>
    <t>Celebrating Chris' birthday on Saturday 2/15/14 with his friend Morgan</t>
  </si>
  <si>
    <t>Celebrating Eileen &amp; Frances' birthdays 2/23/14</t>
  </si>
  <si>
    <t>Propane Usage (NO PELLETS)</t>
  </si>
  <si>
    <t>with Pellets</t>
  </si>
  <si>
    <t xml:space="preserve"> gl</t>
  </si>
  <si>
    <t xml:space="preserve">Energy Saving Plans: (1) Reserve hot water usage.  Short showers not bath too often.  </t>
  </si>
  <si>
    <t>softball, CK's toy</t>
  </si>
  <si>
    <t>veg seeds &amp; soil mis</t>
  </si>
  <si>
    <t>kitchen backsplash</t>
  </si>
  <si>
    <t>birthdays</t>
  </si>
  <si>
    <t>3 dozens of roses to FC</t>
  </si>
  <si>
    <t>2/20 fixed Baker's Apart bathroom sink</t>
  </si>
  <si>
    <t>SAVING FOR THIS MONTH+Cash Reward from credit cards</t>
  </si>
  <si>
    <t>4 air filters for Feb &amp; March in pellet burning months</t>
  </si>
  <si>
    <t>Eileen's doll house materials, File Hangers</t>
  </si>
  <si>
    <t>RECONCILIATION/ INTEREST</t>
  </si>
  <si>
    <t>FINALIZED DATE</t>
  </si>
  <si>
    <t>2/28/14</t>
  </si>
  <si>
    <t>Extra from Commerce Insurance Company</t>
  </si>
  <si>
    <t>rolling pins etc</t>
  </si>
  <si>
    <t>YTD Actual</t>
  </si>
  <si>
    <t>Monthly Bdgt</t>
  </si>
  <si>
    <t>(2) Sleep in basement bedroom together in the winter.  It's warmer with pellet stove on unless guests come and occupy the basement bedroom.</t>
  </si>
  <si>
    <t>Annual Financial Snapshot  (Withheld includes: Property Tax, Both sides of Parents, &amp; Saving for college fund)</t>
  </si>
  <si>
    <t>Grandparents CHOU gave N&amp;E each second $10,000 in July 2013 and the amount was recorded here as Children's college fund, deposited in FC's own saving account.  They also give N&amp;E birthday gift and CNY gift every year.</t>
  </si>
  <si>
    <t>(4) Save CK's 2013 Liberty Mutual Bonus for TW Travel in this summer</t>
  </si>
  <si>
    <t>3/21/14</t>
  </si>
  <si>
    <t>Nashua Christian Academy</t>
  </si>
  <si>
    <t>Caleb Ware - Spring break mission trip to Haiti</t>
  </si>
  <si>
    <t>B&amp;N membership $25 for 4 years</t>
  </si>
  <si>
    <t>Stove brush &amp; rods</t>
  </si>
  <si>
    <t>03/11/2014</t>
  </si>
  <si>
    <t>(Bonus $9961.67)</t>
  </si>
  <si>
    <t>35 bags of pellets</t>
  </si>
  <si>
    <t>3/18/14</t>
  </si>
  <si>
    <t>Yearly Total</t>
  </si>
  <si>
    <t>Higher BTUs(heat) and ashes than Hardwood</t>
  </si>
  <si>
    <t>Clean exhauste pipe monthly for next year to see if improve clinkers.</t>
  </si>
  <si>
    <t>Daily clinkers, high ash, deep clean weekly, lot of cleaning.</t>
  </si>
  <si>
    <t>gift cards to Upward basketball coaches</t>
  </si>
  <si>
    <t>State Inspection &amp; Oil Change</t>
  </si>
  <si>
    <t>3/17/14</t>
  </si>
  <si>
    <t>3/17/14-5/9/14, Mon-Fri nights</t>
  </si>
  <si>
    <t>3/16/14 lunch with Joe &amp; Veronika Thomas</t>
  </si>
  <si>
    <t>3/23/14 Potluck @CrossWay church</t>
  </si>
  <si>
    <t>(3) Travel to NYC to help Tim &amp; Ann Su family remodeling their bathroom 3/28-3/30</t>
  </si>
  <si>
    <t>3/29/14</t>
  </si>
  <si>
    <t>Bonus of $9961.67. Teaching income (3) $6285.73</t>
  </si>
  <si>
    <t>Pre-buy 4 tons of wood pellets for 2014/15 winter</t>
  </si>
  <si>
    <t>EXPENSES**</t>
  </si>
  <si>
    <t>** Includes Rental Property Mgt Fee</t>
  </si>
  <si>
    <t>* Includes allowance to both sides of parents and loan payment</t>
  </si>
  <si>
    <t>3. Plan to pay off the loan borrowed from Dad Chou ($69894.34 interest included) in Year 2017.</t>
  </si>
  <si>
    <t>Upward picture</t>
  </si>
  <si>
    <t>2 tires replacement &amp; state inspection for CK's car</t>
  </si>
  <si>
    <t>Office Supply, ink cartridge, copy paper, postage etc</t>
  </si>
  <si>
    <t>CK's crown treatment</t>
  </si>
  <si>
    <t>4/18-4/21 Tim &amp; Ann Su family visit</t>
  </si>
  <si>
    <t>New England (Hardwood)</t>
  </si>
  <si>
    <t>4 tons of New England Pellets ($239/ton + $40 delivery)</t>
  </si>
  <si>
    <t>(Merrimack - Boston - Manchester - Merrimack)</t>
  </si>
  <si>
    <t xml:space="preserve">1. Complete mileages. Multiply line 8a by 56.5 cents (.565). </t>
  </si>
  <si>
    <t>mileages - Teaching</t>
  </si>
  <si>
    <t>Bus</t>
  </si>
  <si>
    <t>Subway Arlington</t>
  </si>
  <si>
    <t xml:space="preserve">MTA </t>
  </si>
  <si>
    <t>EZ-Pass</t>
  </si>
  <si>
    <t>EZ Pass</t>
  </si>
  <si>
    <t>Manchester Airport</t>
  </si>
  <si>
    <t>International Conference</t>
  </si>
  <si>
    <t>Networking/gift cards</t>
  </si>
  <si>
    <t>Panera Bread</t>
  </si>
  <si>
    <t>Books, Journals Subscription &amp; Data Purchase for Analyses (Liberty Mutual, Teaching)</t>
  </si>
  <si>
    <t>Darrels Music Hall</t>
  </si>
  <si>
    <t>Apple Itunes Store</t>
  </si>
  <si>
    <t>postage</t>
  </si>
  <si>
    <t>Purchased Date</t>
  </si>
  <si>
    <t>Depreciation Amt</t>
  </si>
  <si>
    <t>Purchase Price</t>
  </si>
  <si>
    <t>Meeting - UNH</t>
  </si>
  <si>
    <t>Special Project in VT</t>
  </si>
  <si>
    <t>East China</t>
  </si>
  <si>
    <t>Mexicali Authentic Mexican</t>
  </si>
  <si>
    <t>Taipei &amp; Tokyo Restaurant</t>
  </si>
  <si>
    <t>4/17/14</t>
  </si>
  <si>
    <t>4/14/14</t>
  </si>
  <si>
    <t>(2) Liberty Univ. 5 classes done teaching 5/9/14</t>
  </si>
  <si>
    <t xml:space="preserve">4/10/14-4/24/14 Tom Chu &amp; Paul/Peter stay with us </t>
  </si>
  <si>
    <t>4/27/14 lunch after church service with Lia &amp; Fery</t>
  </si>
  <si>
    <t>2/20/14 repaired bathroom sink stopper</t>
  </si>
  <si>
    <t>3/28/14 mainteined laundry center (function well, smaller load recommended)</t>
  </si>
  <si>
    <t>Nathan's 10th birthday 4/15/2014</t>
  </si>
  <si>
    <t>Office Equipment Depreciation_3rd year (3years depreciation from 2012 to 2014)</t>
  </si>
  <si>
    <t>Stationaries</t>
  </si>
  <si>
    <t>Year 2014</t>
  </si>
  <si>
    <t>(3) 2 tires replacement, state inspection for CK's car $372.93</t>
  </si>
  <si>
    <t>(2) Prebuy 4 tons of pellets for the coming winter to use $996</t>
  </si>
  <si>
    <t>My Praise FM</t>
  </si>
  <si>
    <t>4/16/14</t>
  </si>
  <si>
    <t>fun items for N's b-day</t>
  </si>
  <si>
    <t>4/21/14 Marty &amp; Judy Chan family visit</t>
  </si>
  <si>
    <t>ACTUAL</t>
  </si>
  <si>
    <t>BDGT</t>
  </si>
  <si>
    <t>+/ -</t>
  </si>
  <si>
    <t>Renew N&amp;E passports</t>
  </si>
  <si>
    <t>(MA State Tax Refund)</t>
  </si>
  <si>
    <t>(4) CK's crown expense $421.6 ($278.6 on m/c, $143 on flexible spending acct)</t>
  </si>
  <si>
    <t>(5) Renewed N&amp;E passports $210</t>
  </si>
  <si>
    <t>Federal Tax Refund</t>
  </si>
  <si>
    <t>State Tax Refund</t>
  </si>
  <si>
    <t>*Tax Refund Offering reflected in the month that the refund was received.</t>
  </si>
  <si>
    <t>(Baker Apartment is considered as Children's College Fund)</t>
  </si>
  <si>
    <t>Offset by Emergency Fund</t>
  </si>
  <si>
    <t xml:space="preserve">To cover oversea travel </t>
  </si>
  <si>
    <t>To conver living expenses</t>
  </si>
  <si>
    <t>Propane Usage (Gallons)</t>
  </si>
  <si>
    <t>2014 Projected Propane</t>
  </si>
  <si>
    <t>Hot Water/Secondary Heating</t>
  </si>
  <si>
    <t>Budget 280 gallons for hot water and 120 gallons for heating.)</t>
  </si>
  <si>
    <t>2011/2012</t>
  </si>
  <si>
    <t>2012/2013</t>
  </si>
  <si>
    <t>2013/2014</t>
  </si>
  <si>
    <t>Usage (gl)</t>
  </si>
  <si>
    <t>Usage (bags)</t>
  </si>
  <si>
    <t xml:space="preserve">TOTAL </t>
  </si>
  <si>
    <t>(Saving)</t>
  </si>
  <si>
    <t>TOTAL Saving</t>
  </si>
  <si>
    <t>Winter</t>
  </si>
  <si>
    <t>Frigid winter</t>
  </si>
  <si>
    <t>cold winter</t>
  </si>
  <si>
    <t>mild winter</t>
  </si>
  <si>
    <t>Pellets and Propane Cost</t>
  </si>
  <si>
    <t>***  Pellet stove installed 6/2011.  Propane for hot water and secondary heating unless propane drops below $2.099!!!</t>
  </si>
  <si>
    <t>Room Temp</t>
  </si>
  <si>
    <t>68F</t>
  </si>
  <si>
    <t>65F</t>
  </si>
  <si>
    <t>62F</t>
  </si>
  <si>
    <t>$4.98/bag</t>
  </si>
  <si>
    <t>65/68F</t>
  </si>
  <si>
    <t>2014/2015</t>
  </si>
  <si>
    <t>2014/2015 Winter Challenge: Begin using pellet stove when outdoor temp drops to 50F and below in Oct/Nov.</t>
  </si>
  <si>
    <t>Newtown Retreat (5/24-5/26)</t>
  </si>
  <si>
    <t>Lancaster, PA 5/26-5/28</t>
  </si>
  <si>
    <t>Reformed Church of Newtown</t>
  </si>
  <si>
    <t>5/25/14</t>
  </si>
  <si>
    <t>(new TV)</t>
  </si>
  <si>
    <t>To Real Estate Extra Pincipal (Investment)</t>
  </si>
  <si>
    <t>Baker extra pincipal</t>
  </si>
  <si>
    <t>Loan payment</t>
  </si>
  <si>
    <t>@ guests stay for 2 weeks or more.    ^ guest visit less than 2 weeks.</t>
  </si>
  <si>
    <t>4/25/14, 5/1/14</t>
  </si>
  <si>
    <t>To Trade King (CK manages)</t>
  </si>
  <si>
    <t>4 tickets to TW (2/17/15-3/9/17)</t>
  </si>
  <si>
    <t>Airfare to TW for 2015 Chinese New Year $5223.6.</t>
  </si>
  <si>
    <t>Net Saving in Emg Fd</t>
  </si>
  <si>
    <t>God has blessed us so abundantly in 2013.  This year the challenge to us is giving more and live even simplier life.</t>
  </si>
  <si>
    <t xml:space="preserve"> 5 tons</t>
  </si>
  <si>
    <t>Store up rice &amp; lamb on sale</t>
  </si>
  <si>
    <t>Yard tools maintenance (mower, snow thrower)</t>
  </si>
  <si>
    <t>Homeless Veteran Drive</t>
  </si>
  <si>
    <t>N&amp;E piano lessons, E's dance lessons</t>
  </si>
  <si>
    <t>Kohl's card</t>
  </si>
  <si>
    <t>(Kohl's $105.9)</t>
  </si>
  <si>
    <t>Kids College Fund to Baker's Extra Principal</t>
  </si>
  <si>
    <t>bowling w/ Tim&amp;Ann Su family 4/20/14, dinner with Yen-Hui &amp; Hong-Yuan Lee 5/9/14</t>
  </si>
  <si>
    <t>5/9/14 鴻元哥 燕慧姐 visit,  dinner @El Tapatio  $91.29</t>
  </si>
  <si>
    <t>5/18/14 lunch with Michael &amp; Shellee Bealand</t>
  </si>
  <si>
    <t>Mother's Day lunch 5/11/14</t>
  </si>
  <si>
    <t>4 theater tickets to watch "Moses"@ Sound &amp; Sight  5/28/14</t>
  </si>
  <si>
    <t>$/gl propane</t>
  </si>
  <si>
    <t>Gallon Used</t>
  </si>
  <si>
    <t>3/5/ moved in</t>
  </si>
  <si>
    <t>(3) Purchased 4 tickets to TW $5223.6</t>
  </si>
  <si>
    <t xml:space="preserve">(4) Lancaster, PA with Su's &amp; others 5/26-5/28 </t>
  </si>
  <si>
    <t>(5) Newtown Retreat $245  5/24-5/26</t>
  </si>
  <si>
    <t>ink &amp; DVD+R</t>
  </si>
  <si>
    <t>5/15/14</t>
  </si>
  <si>
    <t>6/3/14-6/4/14</t>
  </si>
  <si>
    <t>Atlanta, GA</t>
  </si>
  <si>
    <t>annual report, stay one night</t>
  </si>
  <si>
    <t>5/13/14-7/4/14, Mon-Fri nights</t>
  </si>
  <si>
    <t>CRU</t>
  </si>
  <si>
    <t>Ed Fleming- summer mission @ NYC</t>
  </si>
  <si>
    <t>N&amp;E's 3 sessions of swimming lessons, Camp Kidsway</t>
  </si>
  <si>
    <t>lawn mowing service</t>
  </si>
  <si>
    <t>(Airfares $5223.6)</t>
  </si>
  <si>
    <t>**** Include in regular monthly expenses*****</t>
  </si>
  <si>
    <t>Jennifer Monty - campus outreach (Campus Crusade)</t>
  </si>
  <si>
    <t>Jennifer Monty- campus outreach (Campus Crusade)</t>
  </si>
  <si>
    <t>5/24-5/28</t>
  </si>
  <si>
    <t>Lancaster, PA trip</t>
  </si>
  <si>
    <t>scale</t>
  </si>
  <si>
    <t>Planning for coming year (2015) moving to Queens, New York</t>
  </si>
  <si>
    <t>See if we have enough money to pay for housing expense in Queens</t>
  </si>
  <si>
    <t>* estimated amount</t>
  </si>
  <si>
    <t>Monthly Income *</t>
  </si>
  <si>
    <t>Teaching (Liberty Univ. On-line)</t>
  </si>
  <si>
    <t>($135K annually before tax)</t>
  </si>
  <si>
    <t>($20K)</t>
  </si>
  <si>
    <t>(will miss the teaching income for UNH after moving)</t>
  </si>
  <si>
    <t>After moving to Queens, NY</t>
  </si>
  <si>
    <t>Cru</t>
  </si>
  <si>
    <t>Jennifer Monty</t>
  </si>
  <si>
    <t>(8/14-7/15)</t>
  </si>
  <si>
    <t>Ed Fleming</t>
  </si>
  <si>
    <t>6/15/14-7/30/14, summer mission)</t>
  </si>
  <si>
    <t>Caleb Ware</t>
  </si>
  <si>
    <t>Spring break mission to Haiti</t>
  </si>
  <si>
    <t>Expense</t>
  </si>
  <si>
    <t>Existing houses</t>
  </si>
  <si>
    <t>10 Wasserman Heights, Merrimack, NH 03054</t>
  </si>
  <si>
    <t>Property Tax *</t>
  </si>
  <si>
    <t>($9600/year *)</t>
  </si>
  <si>
    <t>Maintenance (utilities, mowing @minimum use)</t>
  </si>
  <si>
    <t>1241 Adams St., F504, Dorchester, MA 02124</t>
  </si>
  <si>
    <t>Mgt Fee*</t>
  </si>
  <si>
    <t>Living Expenses on Family</t>
  </si>
  <si>
    <t>Money gift to Parents (FC &amp; CK)</t>
  </si>
  <si>
    <t>both sides $500/month</t>
  </si>
  <si>
    <t>Fixed Expenses</t>
  </si>
  <si>
    <t>Estimated Expenses</t>
  </si>
  <si>
    <t>Food</t>
  </si>
  <si>
    <t>Commuting to work?</t>
  </si>
  <si>
    <t xml:space="preserve">Gasline </t>
  </si>
  <si>
    <t>Kids Eduation</t>
  </si>
  <si>
    <t>House Insurance</t>
  </si>
  <si>
    <t>House &amp; Umbrella Insurance</t>
  </si>
  <si>
    <t>Cars</t>
  </si>
  <si>
    <t>State Inspection</t>
  </si>
  <si>
    <t>Oil Change</t>
  </si>
  <si>
    <t>/month</t>
  </si>
  <si>
    <t>($902 a year)</t>
  </si>
  <si>
    <t>($680 a year)</t>
  </si>
  <si>
    <t>Can Chris work at home in NY to save Subway cost?  Gasline to Boston 2 times/month?</t>
  </si>
  <si>
    <t>BJU Press, piano lessons etc.  Annual budget $3000</t>
  </si>
  <si>
    <t>Eat-out</t>
  </si>
  <si>
    <t>Include friends over.</t>
  </si>
  <si>
    <t>Medical out pocket</t>
  </si>
  <si>
    <t>Clothing</t>
  </si>
  <si>
    <t>Balance to use for housing in Queens, NY</t>
  </si>
  <si>
    <t>Option I</t>
  </si>
  <si>
    <t>Buying Co-op</t>
  </si>
  <si>
    <t>Hoa Fee</t>
  </si>
  <si>
    <t>Mortgage</t>
  </si>
  <si>
    <t>Left for living exp.</t>
  </si>
  <si>
    <t>Option II</t>
  </si>
  <si>
    <t>Utilities</t>
  </si>
  <si>
    <t>Left for living exp or extra principal</t>
  </si>
  <si>
    <t>Federal tax refund 2013</t>
  </si>
  <si>
    <t>Available for down payment</t>
  </si>
  <si>
    <t>Kids' Education Fund</t>
  </si>
  <si>
    <t>Kuo pool fund</t>
  </si>
  <si>
    <t>Chris Lan Hui Chou's oil painting "Open Door"</t>
  </si>
  <si>
    <t>As of 6/10/14</t>
  </si>
  <si>
    <t>Expected LU income</t>
  </si>
  <si>
    <t>X'fer to Ck acct for credit card payment</t>
  </si>
  <si>
    <t>TIAA-CREF</t>
  </si>
  <si>
    <t>Dad's account</t>
  </si>
  <si>
    <t>(borrow?)</t>
  </si>
  <si>
    <t>Chris' LM cpca reward</t>
  </si>
  <si>
    <t>(save for CA trip?)</t>
  </si>
  <si>
    <t>Water &amp; Sewer</t>
  </si>
  <si>
    <t>Home Insurance</t>
  </si>
  <si>
    <t>As of 6/12/14</t>
  </si>
  <si>
    <t>FC's Balance</t>
  </si>
  <si>
    <t>Kids College Fd</t>
  </si>
  <si>
    <t>Dad's</t>
  </si>
  <si>
    <t>Dad's allowance</t>
  </si>
  <si>
    <t>Beginning this year</t>
  </si>
  <si>
    <t>Borrowed from Dad</t>
  </si>
  <si>
    <t>Balance as 6/12/14</t>
  </si>
  <si>
    <t>YTD paid off amt</t>
  </si>
  <si>
    <t>Kuo's pool Fd</t>
  </si>
  <si>
    <t>R/E as of 5/31/14</t>
  </si>
  <si>
    <t>In Laws 5/31/14</t>
  </si>
  <si>
    <t>TW fund</t>
  </si>
  <si>
    <t>FC's allowance</t>
  </si>
  <si>
    <t>Stick to the budget for house in Queens</t>
  </si>
  <si>
    <t>Affordable down payment + closing cost should be around</t>
  </si>
  <si>
    <t>6/13/14</t>
  </si>
  <si>
    <t>(2) Pre-buy propane $1300.75</t>
  </si>
  <si>
    <t>Pre-buy 388.4 gallons of propane for coming winter $1300.75; teaching income (5) $9398.8</t>
  </si>
  <si>
    <t>Kids' books</t>
  </si>
  <si>
    <t>06/05/2014, 6/13/14</t>
  </si>
  <si>
    <t>(3) NYC trip for house search 6/13-6/15</t>
  </si>
  <si>
    <t>6/20-6/22 Michale Shang &amp; family visited</t>
  </si>
  <si>
    <t>Cannon Mountain Cable Car</t>
  </si>
  <si>
    <t>(4) Michael &amp; Laurie Shang family visited 6/20-6/22</t>
  </si>
  <si>
    <t>iParty</t>
  </si>
  <si>
    <t xml:space="preserve">6 Corning noodle soup bowls </t>
  </si>
  <si>
    <t>$4412/year</t>
  </si>
  <si>
    <t>Buying single house @410K</t>
  </si>
  <si>
    <t>20% down $82K, mortgage 328K, 69-13 67 Place, Glendale, NY 11385</t>
  </si>
  <si>
    <t>(1) NYC house hunting 6/27-6/29</t>
  </si>
  <si>
    <t>(1) NYC house hunting 6/13-6/15</t>
  </si>
  <si>
    <t>Ikea</t>
  </si>
  <si>
    <t>NYC house hunting</t>
  </si>
  <si>
    <t xml:space="preserve">NYC house hunting </t>
  </si>
  <si>
    <t>Nathan's glasses</t>
  </si>
  <si>
    <t>NYC house hunting, Eileen's dance recital celebration</t>
  </si>
  <si>
    <t>(P&amp;I=1589.65 if mortgage amt $328K@4.125% for 30 years)</t>
  </si>
  <si>
    <t>6/30/14-8/22/14, Mon-Fri nights</t>
  </si>
  <si>
    <t>69-13 67 Place, Glendale, NY 11385</t>
  </si>
  <si>
    <t>Using gutter away from house for 5 feet (front garden)</t>
  </si>
  <si>
    <t>A)</t>
  </si>
  <si>
    <t>Water penetration problem</t>
  </si>
  <si>
    <t>Get rid of shrub in front garden.  Concrete pad the area beneath the covered porch area with slop toward the garden to direct water away from house.</t>
  </si>
  <si>
    <t>B)</t>
  </si>
  <si>
    <t>Roof</t>
  </si>
  <si>
    <t>C)</t>
  </si>
  <si>
    <t>D)</t>
  </si>
  <si>
    <t>E)</t>
  </si>
  <si>
    <t>$10K</t>
  </si>
  <si>
    <t>$8K</t>
  </si>
  <si>
    <t>Water pipes replacement - CK can do it</t>
  </si>
  <si>
    <t>F)</t>
  </si>
  <si>
    <t>Basement exterior wall - scrap off the paint and repaint waterproof</t>
  </si>
  <si>
    <t>Sealant the edge of driveway and the building - sweep clean the debris away from the building to prevent the weed grows and cracks the foundation more.</t>
  </si>
  <si>
    <t>Direct water away from house structure to minimumize the water penetration problem.</t>
  </si>
  <si>
    <t>$500</t>
  </si>
  <si>
    <t>Sewer pipe rewiring</t>
  </si>
  <si>
    <t>material</t>
  </si>
  <si>
    <t>$1K</t>
  </si>
  <si>
    <t>Bathroom: toilet, vanity, shower, and floor</t>
  </si>
  <si>
    <t>Bedrooms:</t>
  </si>
  <si>
    <t>paint, doors, trims</t>
  </si>
  <si>
    <t>$1.5K</t>
  </si>
  <si>
    <t>drywalls</t>
  </si>
  <si>
    <t>$2K</t>
  </si>
  <si>
    <t>Window: energy saving</t>
  </si>
  <si>
    <t>G)</t>
  </si>
  <si>
    <t>Basement</t>
  </si>
  <si>
    <t>Garage demlish &amp; redo + Driveway redo</t>
  </si>
  <si>
    <t>$15K-$20K</t>
  </si>
  <si>
    <t>$5K</t>
  </si>
  <si>
    <t xml:space="preserve">Redo floor - woodfloor through all first floor </t>
  </si>
  <si>
    <t>Kitchen</t>
  </si>
  <si>
    <t>remodeling - cabinets</t>
  </si>
  <si>
    <t>kitchen appliance: refrigerator, sink, faucet</t>
  </si>
  <si>
    <t>$8-5K</t>
  </si>
  <si>
    <t>First Floor: make it cool and fun to stay</t>
  </si>
  <si>
    <t>Second Floor:  clean and crispy</t>
  </si>
  <si>
    <t>Interior: Clean, Crispy, Cool and Fun to Stay!!!</t>
  </si>
  <si>
    <t>10K</t>
  </si>
  <si>
    <t>Tear down all partitions and redo everything after finishing 1+2 floors</t>
  </si>
  <si>
    <t>Add shower and vanity to Bathroom?</t>
  </si>
  <si>
    <t>Move laundry room next to utility room?</t>
  </si>
  <si>
    <t>Partition sewer/water meter room and gas meter/ electric box room for futre</t>
  </si>
  <si>
    <t>Plumbing</t>
  </si>
  <si>
    <t>Driveway: deweed, fillup the cracks, patch up</t>
  </si>
  <si>
    <t>E's dance</t>
  </si>
  <si>
    <t>Michael &amp; Laurie Shang 6/20-6/22</t>
  </si>
  <si>
    <t>(2) Newtown young professional group visit 7/25-7/27</t>
  </si>
  <si>
    <t>(3) Portland, ME vacation w/ the Su family (Tim's &amp; Pastor Su's)</t>
  </si>
  <si>
    <t>(2) Camping 8/1-8/3</t>
  </si>
  <si>
    <t>(3) Daniel &amp; Ching-ching Hu family visit 8/8-8/13</t>
  </si>
  <si>
    <t>8/3/14-8/7/14</t>
  </si>
  <si>
    <t>Driving</t>
  </si>
  <si>
    <t>20% Down Payment</t>
  </si>
  <si>
    <t>Mortgage Amount</t>
  </si>
  <si>
    <t>Cost of Purchase</t>
  </si>
  <si>
    <t>Tower Home Inspectors, LLC</t>
  </si>
  <si>
    <t>Home Inspection</t>
  </si>
  <si>
    <t>Floor: tiles? Pergo wood panel like Wasserman Hts?  Prefer wood-like floor.</t>
  </si>
  <si>
    <t>Cost to move meter reading to exterior?  Too Expensive.</t>
  </si>
  <si>
    <t>Christmas Tree Shop (TDBANK VISA)</t>
  </si>
  <si>
    <t>sealcoating driveway &amp; repairs</t>
  </si>
  <si>
    <t>Power washer</t>
  </si>
  <si>
    <t>graber control</t>
  </si>
  <si>
    <t>GLENDALE, NY</t>
  </si>
  <si>
    <t>7 Newtown young professional ladies visited 7/25-7/27</t>
  </si>
  <si>
    <t>(2) Brunswick, ME vacation w/ Su family7/18-7/19</t>
  </si>
  <si>
    <t>7/31/14</t>
  </si>
  <si>
    <t>Experian credit report, Lego Movie</t>
  </si>
  <si>
    <t>(China Pearl dim sum w/ 7 Newtown young ladies 7/27)</t>
  </si>
  <si>
    <t>8/1-8/3 camping Gunstock, NH</t>
  </si>
  <si>
    <t>(69-13 67th Place, Glendale, NY 11385)</t>
  </si>
  <si>
    <t>Solidifi US Appraisals</t>
  </si>
  <si>
    <t>Appraisals 8/2/14</t>
  </si>
  <si>
    <t>Brunswick, ME 7/18-7/20, Camping 8/1-8/3</t>
  </si>
  <si>
    <t>(1) Daniel &amp; Beth Garcia sleep over 8/4-8/6</t>
  </si>
  <si>
    <t>(2) Daniel &amp; Ching-ching Hu family 8/8-813</t>
  </si>
  <si>
    <t>(4) Tim Su's 8/14-8/17</t>
  </si>
  <si>
    <t>(3) Tim &amp; Ann Su's 8/14-8/17</t>
  </si>
  <si>
    <t>7/25 maintained laundry ctr, repaired dryer vent duct</t>
  </si>
  <si>
    <t>(Kohl's 99.8, Home Depot $826.44, TDBank $40.5)</t>
  </si>
  <si>
    <t>7/25/14, 8/8/14</t>
  </si>
  <si>
    <t>cleaning for Glendale, NY</t>
  </si>
  <si>
    <t>(1)9/5 closing Glendale, NY house</t>
  </si>
  <si>
    <t>(2) Parents Chou visit 9/14-10/11</t>
  </si>
  <si>
    <t>Glendale, NY House</t>
  </si>
  <si>
    <t>Principal &amp; Int &amp; Purchase Cost</t>
  </si>
  <si>
    <t>P&amp;I &amp; R/E Tax</t>
  </si>
  <si>
    <t>mileages - CPCU</t>
  </si>
  <si>
    <t>IIA/CPCU Exam</t>
  </si>
  <si>
    <t>Annual SAS Conference, driving to Boston</t>
  </si>
  <si>
    <t>CPCU Exam</t>
  </si>
  <si>
    <t>Glendale NY House</t>
  </si>
  <si>
    <t>Remodleing Cost</t>
  </si>
  <si>
    <t>(CPCU $6228.27)</t>
  </si>
  <si>
    <t>Lend to Kuo for Baker Sq Condo purchase**(2)</t>
  </si>
  <si>
    <t>Purchase Cost</t>
  </si>
  <si>
    <t>(5) Martin &amp; Judy Chan 8/23-8/24</t>
  </si>
  <si>
    <t>(4) Gordon &amp; Ivy Chang 8/15-8/17</t>
  </si>
  <si>
    <t>Eileen's dance recital DVD &amp; Photos</t>
  </si>
  <si>
    <t>9/2/14-12/16/14, Tuesday nights</t>
  </si>
  <si>
    <t>(Designated for Glendale, NY remodeling project.</t>
  </si>
  <si>
    <t>(2) Closing Glendale, NY house and planning for remodeling</t>
  </si>
  <si>
    <t>(3) Saving $ for Glendale remodeling</t>
  </si>
  <si>
    <t>$960/yr</t>
  </si>
  <si>
    <t>Electricity &amp; Gas Heating</t>
  </si>
  <si>
    <t>(2) Save for Glendale remodeling project</t>
  </si>
  <si>
    <t>8/25/14-10/17/14, Mon-Fri nights</t>
  </si>
  <si>
    <t>10/20/14-12/12/14, Mon-Fri nights</t>
  </si>
  <si>
    <t xml:space="preserve">1. Rental property (1241 Adams Street, F504, Boston, MA 02124) is for Children's college fund.  Plan to pay off this mortgage in Year 2018. </t>
  </si>
  <si>
    <t>----&gt; Has to wait, after paying off Glendale, NY house in 2021.</t>
  </si>
  <si>
    <t>4. Purchased Glendale, NY house 9/5/14 for $418,000.  (20% down, mortgage $334,400 @3.5% 7/1ARM)</t>
  </si>
  <si>
    <t>Update:  God clearly burdened us for Chinese immigrants ministry after 5/24-5/27 retreat w/Newtown Church.  Purchased Glendale, NY house 9/5/14 @$418K, not our plan but w/thankfulness for God provided this house in a quiet neighborhood.</t>
  </si>
  <si>
    <t>ACTS 18:9-10</t>
  </si>
  <si>
    <t>This year Income after tax is</t>
  </si>
  <si>
    <t>mgt fee Baker's</t>
  </si>
  <si>
    <t>Baker's</t>
  </si>
  <si>
    <t>Glendale Mrgt</t>
  </si>
  <si>
    <t>(3) Trips to repair Glendale house</t>
  </si>
  <si>
    <t>9/5-9/7</t>
  </si>
  <si>
    <t>9/12-9/14</t>
  </si>
  <si>
    <t>Demolition partition in dining/living room area</t>
  </si>
  <si>
    <t>(4) Bring Parents Chou to Montreal 9/19-9/21</t>
  </si>
  <si>
    <t>(5) Bring Parents Chou to NYC 9/26-9/28</t>
  </si>
  <si>
    <t>E-Z Pass Violation (4/10/14 pickup Tom Chu)</t>
  </si>
  <si>
    <t>WSJ Subscription</t>
  </si>
  <si>
    <t>Bose</t>
  </si>
  <si>
    <t xml:space="preserve">Mortgage Recording Fee &amp; Home Insurance </t>
  </si>
  <si>
    <t>Dehumidifier &amp; building materials</t>
  </si>
  <si>
    <t>irrigation winterizing</t>
  </si>
  <si>
    <t>dehumidifier for NH house</t>
  </si>
  <si>
    <t>N&amp;E Piano Lessons, EXALT program $450</t>
  </si>
  <si>
    <t>Eye Co-pay, CK's contact lense, eye med payment</t>
  </si>
  <si>
    <t>Parents Chou's shopping &amp; reimbursement</t>
  </si>
  <si>
    <t>(4) Trip to Montreal, Canada 9/19-9/21</t>
  </si>
  <si>
    <t>Stop in Jan 2015</t>
  </si>
  <si>
    <t>Stop in Feb 2015</t>
  </si>
  <si>
    <t>Continue</t>
  </si>
  <si>
    <t>Stop? Or Reduce?</t>
  </si>
  <si>
    <t>Stop in 2015</t>
  </si>
  <si>
    <t>$100/qtr first, then in 2010 $200/qtr, will continue in 2015</t>
  </si>
  <si>
    <t>Stop in July 2015</t>
  </si>
  <si>
    <t>@7)</t>
  </si>
  <si>
    <t>^7)</t>
  </si>
  <si>
    <t>62/65F</t>
  </si>
  <si>
    <t>* Indoor room temp is mostly about 65F to 62F, much better than using propane only 58-60F.</t>
  </si>
  <si>
    <t>BREAK-EVEN</t>
  </si>
  <si>
    <t>Trip to Glendale</t>
  </si>
  <si>
    <t xml:space="preserve">10/24-11/2  </t>
  </si>
  <si>
    <t>Demolition 1st floor &amp; basement, Roofing, and Bathroom plumbing &amp; Subflooring</t>
  </si>
  <si>
    <t>Furniture &amp; Utility</t>
  </si>
  <si>
    <t>Demolition $3400 &amp; Roofing $3500</t>
  </si>
  <si>
    <t>microwave, water pitcher, trash can</t>
  </si>
  <si>
    <t>Mayhem (Nathan's FLL) &amp; Rechargable batteries for EV3</t>
  </si>
  <si>
    <t>LLBean Clearnace pants for CK &amp; dresses for FC</t>
  </si>
  <si>
    <t xml:space="preserve">Time to Clay w/Eileen </t>
  </si>
  <si>
    <t>Wine</t>
  </si>
  <si>
    <t>Exhange to TWD for using in TW next year</t>
  </si>
  <si>
    <t>Montreal 9/19-9/21, NYC 9/26-9/28</t>
  </si>
  <si>
    <t>CK's IBM ThinkPad</t>
  </si>
  <si>
    <t>Plumbing, electricl wiring (partial), bathroom fixtures:toilet, vanity, faucets, shower base, 2 Trash Removal $1340, Jack electrical work $300</t>
  </si>
  <si>
    <t>gas, water, electricity</t>
  </si>
  <si>
    <t>Utility</t>
  </si>
  <si>
    <t>caulk for bath, window in NH house</t>
  </si>
  <si>
    <t>Nathan's Piano Adventure L.4</t>
  </si>
  <si>
    <t>toilet papers, tissues</t>
  </si>
  <si>
    <t>underwear, socks, shirts</t>
  </si>
  <si>
    <t>$150.28 is Corningware for Laurie Lee, $100 40th Anniversary Gift to Rev. &amp; Mrs. David &amp; Lois Su</t>
  </si>
  <si>
    <t>T&amp;A Su family visited 11/20-11/23</t>
  </si>
  <si>
    <t>Trips to Repair Glendale house</t>
  </si>
  <si>
    <t>12/12-12/14</t>
  </si>
  <si>
    <t>Electrical wiring, steam pipes insulation, insulation between walls</t>
  </si>
  <si>
    <t>12/25-1/4/15</t>
  </si>
  <si>
    <t>Electrical wiring, insulation, closet framing</t>
  </si>
  <si>
    <t>CK's iPhone 5C</t>
  </si>
  <si>
    <t>Payoff CK's corporate card balance</t>
  </si>
  <si>
    <t>2 pest control devises, trash removal $710, insulation, soundproofing material, $85 drywall delivery and $760 drywall wage to Johnny &amp; Justin</t>
  </si>
  <si>
    <t>from Cash grocery shopping</t>
  </si>
  <si>
    <t>Heating system maintenance.  Can DIY coming years.</t>
  </si>
  <si>
    <t>AIR Oil Refresher</t>
  </si>
  <si>
    <t>Santa hats, reindeel antlers</t>
  </si>
  <si>
    <t>w/Su family, w/J&amp;V Thomas</t>
  </si>
  <si>
    <t>shutterfly photobook (Thomas)</t>
  </si>
  <si>
    <t>To Real Estate Purchase*(4) Glendale, NY</t>
  </si>
  <si>
    <t>To Real Estate Purchase*(1) Baker's</t>
  </si>
  <si>
    <t xml:space="preserve">To Real Estate Purchase*(1)Baker's </t>
  </si>
  <si>
    <t>Lend to Kuo for Glendale NY house purchase (4)</t>
  </si>
  <si>
    <t>**(2) 2/4/2013 Borrowed from Dad Chou for Adams Street down payment $62,000</t>
  </si>
  <si>
    <t>Liberty Mutual Home Insurance</t>
  </si>
  <si>
    <t>Appraisal Report</t>
  </si>
  <si>
    <t>Maureen Papalas</t>
  </si>
  <si>
    <t>Liberty Land Abstract</t>
  </si>
  <si>
    <t>*(4) Glendale, NY house 9/5/14.  5% Downpayment and part of closing exp borrowed from Chou (total $61,800).</t>
  </si>
  <si>
    <t>($37,700 to pay off loan borrowed from Chou for Baker purchase)</t>
  </si>
  <si>
    <t>July, 2018</t>
  </si>
  <si>
    <t>(4)7/5/2014 $41,800 and 9/5/12 $20,000 Borrowed from Dad Chou's total $61,800 for Glendale purchase</t>
  </si>
  <si>
    <t>$61,800, @3% APR, 48 months</t>
  </si>
  <si>
    <t>Interest</t>
  </si>
  <si>
    <t>ACTUAL PAID OFF DATE</t>
  </si>
  <si>
    <t>ACTUAL PAID INTEREST</t>
  </si>
  <si>
    <t>2015 Paid to Dad Chou Acct</t>
  </si>
  <si>
    <t>TOTAL (incl $83,600 downpayment)</t>
  </si>
  <si>
    <t xml:space="preserve">less: 20% downpayment </t>
  </si>
  <si>
    <t>TOTAL COST OF PURCHASE</t>
  </si>
  <si>
    <t>Cost of Fixing up Glendale house:</t>
  </si>
  <si>
    <t>A) Demolition &amp; Trash Removal</t>
  </si>
  <si>
    <t>B) Roofing</t>
  </si>
  <si>
    <t>Flat rooftop &amp; Asphalt tiles replaced by Huang, Yuang 10/28-11/1</t>
  </si>
  <si>
    <t>11/14-11/16</t>
  </si>
  <si>
    <t>Electrical wiring</t>
  </si>
  <si>
    <t>11/23-11/30</t>
  </si>
  <si>
    <t>Demolished 2nd floor &amp; trash removal</t>
  </si>
  <si>
    <t>Johnny did electrical wiring for kitchen and basement in Jan 2015.</t>
  </si>
  <si>
    <t>Soundproofing materials for ceiling, cement boards, compounds, grout for tiling</t>
  </si>
  <si>
    <t>Jan. 2015</t>
  </si>
  <si>
    <t>Plumbing, Electrical wires materials: BX cables,switches , plugs &amp; boxes etc.</t>
  </si>
  <si>
    <t>Construction materials: nails, screws, 2x4, 3x1 wood beams for closet structure building,</t>
  </si>
  <si>
    <t>9/6, 9/13 CK demolished the dinning/living partition walls to make it open concept</t>
  </si>
  <si>
    <t xml:space="preserve">10/27-10/28/14 hired team to demolished 1&amp;2 fl and found extra 2 windows in living room, </t>
  </si>
  <si>
    <t xml:space="preserve">demolished </t>
  </si>
  <si>
    <t xml:space="preserve">CK demlished basement, 11/23-11/30 CK cleaned the sand buried under the bathroom floor </t>
  </si>
  <si>
    <t>C) Electrical Wiring done partially by Jack (11/15) 1.5 days SLOW, CK did 1st &amp; 2nd floor mostly in Dec,</t>
  </si>
  <si>
    <t>Insulation materials for wall &amp; radiator pipes - CK</t>
  </si>
  <si>
    <t>strengthen bathroom floor w/ hardwood panel</t>
  </si>
  <si>
    <t>Bathroom: Toilet, Vanity, Faucet, Shower Base, shower head, floor tiles &amp; wall tiles, Vent out</t>
  </si>
  <si>
    <t>Kitchen floor tiles,5/8" Drywalls (50+80+20 pcs),</t>
  </si>
  <si>
    <t>D) Wages to Johnny &amp; Justin  $200/10 hours/day each, 6 days $1200 each</t>
  </si>
  <si>
    <t>D) Materials Purchased by Us</t>
  </si>
  <si>
    <t>1/12/15~1/17/15 Bathroom: drywall, tiling, vent out, fix closet &amp; drywall closet (2nd flr DONE)</t>
  </si>
  <si>
    <t>Drywalling, joint compound (1/2/15~1/3/15)  1st ceiling leveling &amp; drywalling</t>
  </si>
  <si>
    <t>1/5/15~1/10/15  Drywall - most of 1st flr. 2nd Floor: 3 rooms and stairway except closet</t>
  </si>
  <si>
    <t xml:space="preserve">1/19~1/24 Kitchen partition wall, closet understairs, pantry closet above basement stairs, mudroom, </t>
  </si>
  <si>
    <t>kitchen floor tiling, mudroom/basement stairs tiling, electrical wiring for kitchen &amp; mudroom area</t>
  </si>
  <si>
    <t>1/26~1/31 Basement walls, partitions, electrical wiring, bathroom, laundry closet, flooring</t>
  </si>
  <si>
    <t>2/2~2/7</t>
  </si>
  <si>
    <t>2/9~2/14  Windows, Compound 1st&amp;2nd flr, Painting</t>
  </si>
  <si>
    <t>Painting, Baseboard, Hardwood Floors, Kitchen Cabinets and Painting, Entry Door &amp; Frames</t>
  </si>
  <si>
    <t>F) Misc. Material Purchased /Delivery Fee by Justin/Johnny</t>
  </si>
  <si>
    <t>Glendale, NY Purchase</t>
  </si>
  <si>
    <t>Glendale Remodeling</t>
  </si>
  <si>
    <t>*$61,800 borrowed from Parents Chou account</t>
  </si>
  <si>
    <t>w/o house related exp</t>
  </si>
  <si>
    <t>monthly w/o mortgage &amp; remodeling</t>
  </si>
  <si>
    <t>Glendale Remodeling Exp 2014</t>
  </si>
  <si>
    <t>Purchased Glendale house</t>
  </si>
  <si>
    <t>Glendale remodeling</t>
  </si>
  <si>
    <t>9/5/14 purchased 6913 67th Place, Glendale, NY 11385</t>
  </si>
  <si>
    <t>Prior Year Saving</t>
  </si>
  <si>
    <t>Investment Acct</t>
  </si>
  <si>
    <t>Remodeling cost $19394.27 from Oct to Dec.  Work expected to be done in March 2015.  Budget $50,000</t>
  </si>
  <si>
    <t>E) Special Orders:</t>
  </si>
  <si>
    <t>18 Vynl Windows: Double Hungs, Tempered Glass. Low E3, Argon, Energy Star, Full Screen</t>
  </si>
  <si>
    <t>Hardwood Floor</t>
  </si>
  <si>
    <t>Kitchen Cabinet &amp; Countertops</t>
  </si>
  <si>
    <t>Entrance Doors &amp; Frames (Front &amp; Back Doors)</t>
  </si>
  <si>
    <t>Refrigerator</t>
  </si>
  <si>
    <t>Rang Oven</t>
  </si>
  <si>
    <t>Dish Washer</t>
  </si>
  <si>
    <t>Home Insurance, Appraisal Report, etc, Utility</t>
  </si>
  <si>
    <t>Liberty Land Abstract, mortgage recording fee</t>
  </si>
  <si>
    <t>Shen &amp; Chang, LLC</t>
  </si>
  <si>
    <t>9/2/14, 9/29</t>
  </si>
  <si>
    <t>9/26/14, 10/2, 10/3</t>
  </si>
  <si>
    <t>$200, 12/1/14</t>
  </si>
  <si>
    <t>^ The rest of funding borrowed from SV Chou acct</t>
  </si>
  <si>
    <t>Diff (W2 Net vs. Actual)</t>
  </si>
  <si>
    <t>W2-wages</t>
  </si>
  <si>
    <t>Federal Tax Withheld</t>
  </si>
  <si>
    <t>Social Security Tax</t>
  </si>
  <si>
    <t>Medicare Tax</t>
  </si>
  <si>
    <t>MA state tax</t>
  </si>
  <si>
    <t>W2 Net</t>
  </si>
  <si>
    <t>PreTax Exp. (Commute cost, Flexible Acct)</t>
  </si>
  <si>
    <t>Special project for Home Depot, flight, drive to Boston Logan</t>
  </si>
  <si>
    <t>Merrimack-Boston-NYC-Merrimack</t>
  </si>
  <si>
    <t>Subway State Street</t>
  </si>
  <si>
    <t>Concord Coach Lines</t>
  </si>
  <si>
    <t>MTA MVM*York St</t>
  </si>
  <si>
    <t>MTA MVM*Fresh Pond</t>
  </si>
  <si>
    <t>MTA MVM*Grand Ave</t>
  </si>
  <si>
    <t>Airfare</t>
  </si>
  <si>
    <t>Sheraton Hotel</t>
  </si>
  <si>
    <t>Dorval QC</t>
  </si>
  <si>
    <t>Southboro, MA</t>
  </si>
  <si>
    <t>Auburn, MA</t>
  </si>
  <si>
    <t>200 Stuart St. Parking</t>
  </si>
  <si>
    <t>Stationnement Centre</t>
  </si>
  <si>
    <t>Montreal QC</t>
  </si>
  <si>
    <t>Mass Port Authority Logan Airport</t>
  </si>
  <si>
    <t>Logan Airport, Boston, MA</t>
  </si>
  <si>
    <t>TD Bank Debit Card</t>
  </si>
  <si>
    <t>Dept. of State</t>
  </si>
  <si>
    <t>Passport</t>
  </si>
  <si>
    <t>TD Bank ck#1907</t>
  </si>
  <si>
    <t>TD Bank ck#1906</t>
  </si>
  <si>
    <t>NH Dot E-Z Pass</t>
  </si>
  <si>
    <t>NH</t>
  </si>
  <si>
    <t>TD Bank ck#1908</t>
  </si>
  <si>
    <t>Pay Pal</t>
  </si>
  <si>
    <t>TD Bank debit card</t>
  </si>
  <si>
    <t>Joel Kosch</t>
  </si>
  <si>
    <t>TD Bank ck#1928</t>
  </si>
  <si>
    <t>SWAdvantage.com</t>
  </si>
  <si>
    <t>online books monthly subscription</t>
  </si>
  <si>
    <t>Common Wealth of Mass</t>
  </si>
  <si>
    <t>TD Bank ck#1952</t>
  </si>
  <si>
    <t>lodging</t>
  </si>
  <si>
    <t>Cathay Pacific</t>
  </si>
  <si>
    <t>Barnes&amp;Noble</t>
  </si>
  <si>
    <t>Bose Store</t>
  </si>
  <si>
    <t xml:space="preserve">Blue-tooth Speaker for conference </t>
  </si>
  <si>
    <t>Headphone</t>
  </si>
  <si>
    <t>SFI*Shutterfly</t>
  </si>
  <si>
    <t>photo booklet</t>
  </si>
  <si>
    <t>123SignUp</t>
  </si>
  <si>
    <t>Propertyrecord.com</t>
  </si>
  <si>
    <t>Franconia Notch State</t>
  </si>
  <si>
    <t>Experian</t>
  </si>
  <si>
    <t xml:space="preserve">Data </t>
  </si>
  <si>
    <t>Data</t>
  </si>
  <si>
    <t>Springer Customer</t>
  </si>
  <si>
    <t>WSJ</t>
  </si>
  <si>
    <t>Journal</t>
  </si>
  <si>
    <t>Vignoble De La Bauge</t>
  </si>
  <si>
    <t>Timothy P. Su</t>
  </si>
  <si>
    <t>ThinkPad computer</t>
  </si>
  <si>
    <t>ck#1969</t>
  </si>
  <si>
    <t>El Tapatio Restaurant</t>
  </si>
  <si>
    <t>NYC SAS conference</t>
  </si>
  <si>
    <t>Tico</t>
  </si>
  <si>
    <t xml:space="preserve">Pho Da Lat </t>
  </si>
  <si>
    <t>TA#22</t>
  </si>
  <si>
    <t>Red Rose Restaurant</t>
  </si>
  <si>
    <t>New China Pearl Restaurant</t>
  </si>
  <si>
    <t>Osaka Express</t>
  </si>
  <si>
    <t>LM Annual Report meeting @Boston</t>
  </si>
  <si>
    <t>Glendale Pizza</t>
  </si>
  <si>
    <t>NYC Special Proj</t>
  </si>
  <si>
    <t>Restaurant Bar Focacci</t>
  </si>
  <si>
    <t>Commerce Ilon Inc</t>
  </si>
  <si>
    <t>Restaurant Eggspectation</t>
  </si>
  <si>
    <t>Dumbo Kitchen</t>
  </si>
  <si>
    <t>MSSM Café</t>
  </si>
  <si>
    <t>Taco Bell</t>
  </si>
  <si>
    <t>Teaching</t>
  </si>
  <si>
    <t>Joey's Diner</t>
  </si>
  <si>
    <t>Arby's</t>
  </si>
  <si>
    <t>Sweet Yummy House</t>
  </si>
  <si>
    <t>Merrimack Ten Pin</t>
  </si>
  <si>
    <t>9/23/14-9/25/14</t>
  </si>
  <si>
    <t>Tempa, FL</t>
  </si>
  <si>
    <t>Annual Meeting w/Medi Claim Group, flight, drive to Boston Logan</t>
  </si>
  <si>
    <t>9/5/14-9/8/14</t>
  </si>
  <si>
    <t>9/12014_9/15/14</t>
  </si>
  <si>
    <t>NYC Special project</t>
  </si>
  <si>
    <t>9/19/14-9/21/14</t>
  </si>
  <si>
    <t>Vermont</t>
  </si>
  <si>
    <t>VT Special Project</t>
  </si>
  <si>
    <t>9/26/14-9/29/14</t>
  </si>
  <si>
    <t>9/24/14-11/3/14</t>
  </si>
  <si>
    <t>11/15/14-11/17/14</t>
  </si>
  <si>
    <t>11/23/14-12/1/14</t>
  </si>
  <si>
    <t>12/12/14-12/14/14</t>
  </si>
  <si>
    <t>12/23/14-1/3/14</t>
  </si>
  <si>
    <t>Merrimack-VT-Montreal-Merrimack</t>
  </si>
  <si>
    <t>Property Tax Paid in 2014</t>
  </si>
  <si>
    <t>NYC, NY</t>
  </si>
  <si>
    <t>Mortgage Interest Paid</t>
  </si>
  <si>
    <t>Mortgage Tax (NY)</t>
  </si>
  <si>
    <t>mileages - Special Projects &amp; Annual Report Conference</t>
  </si>
  <si>
    <t>Overpayment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</si>
</sst>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$&quot;#,##0.00_);[Red]\(&quot;$&quot;#,##0.00\)"/>
    <numFmt numFmtId="164" formatCode="&quot; $&quot;#,##0.00\ ;&quot; $(&quot;#,##0.00\);&quot; $-&quot;#\ ;@\ "/>
    <numFmt numFmtId="165" formatCode="#,##0.00\ ;&quot; (&quot;#,##0.00\);&quot; -&quot;#\ ;@\ "/>
    <numFmt numFmtId="166" formatCode="[$$-409]#,##0.00;[Red]\-[$$-409]#,##0.00"/>
    <numFmt numFmtId="167" formatCode="#,##0.0"/>
    <numFmt numFmtId="168" formatCode="0.000%"/>
    <numFmt numFmtId="169" formatCode="\$#,##0\ ;[Red]&quot;($&quot;#,##0\)"/>
    <numFmt numFmtId="170" formatCode="\$#,##0.00\ ;[Red]&quot;($&quot;#,##0.00\)"/>
    <numFmt numFmtId="171" formatCode="mm/dd/yy"/>
    <numFmt numFmtId="172" formatCode="[$$-409]#,##0.00_ ;[Red]\-[$$-409]#,##0.00\ "/>
    <numFmt numFmtId="173" formatCode="[$$-409]#,##0.000;[Red]\-[$$-409]#,##0.000"/>
    <numFmt numFmtId="174" formatCode="_(* #,##0.00_);_(* \(#,##0.00\);_(* \-??_);_(@_)"/>
    <numFmt numFmtId="175" formatCode="_-[$$-409]* #,##0.00_ ;_-[$$-409]* \-#,##0.00\ ;_-[$$-409]* \-??_ ;_-@_ "/>
    <numFmt numFmtId="176" formatCode="[$$-409]#,##0.00;[Red][$$-409]#,##0.00"/>
    <numFmt numFmtId="177" formatCode="_-[$$-409]* #,##0.000_ ;_-[$$-409]* \-#,##0.000\ ;_-[$$-409]* &quot;-&quot;??_ ;_-@_ "/>
    <numFmt numFmtId="178" formatCode="_-[$$-409]* #,##0.00_ ;_-[$$-409]* \-#,##0.00\ ;_-[$$-409]* &quot;-&quot;??_ ;_-@_ "/>
    <numFmt numFmtId="179" formatCode="0.0"/>
  </numFmts>
  <fonts count="54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Century Schoolbook L"/>
      <family val="1"/>
    </font>
    <font>
      <b/>
      <i/>
      <sz val="12"/>
      <color indexed="53"/>
      <name val="Century Schoolbook L"/>
      <family val="1"/>
    </font>
    <font>
      <b/>
      <i/>
      <sz val="10"/>
      <color indexed="53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sz val="12"/>
      <color indexed="10"/>
      <name val="Arial"/>
      <family val="2"/>
    </font>
    <font>
      <sz val="10.5"/>
      <color indexed="30"/>
      <name val="Arial"/>
      <family val="2"/>
    </font>
    <font>
      <sz val="10"/>
      <color indexed="3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Bitstream Charter"/>
      <family val="1"/>
    </font>
    <font>
      <b/>
      <sz val="12"/>
      <name val="Bitstream Charter"/>
      <family val="1"/>
    </font>
    <font>
      <sz val="10"/>
      <name val="Arial"/>
      <family val="2"/>
    </font>
    <font>
      <sz val="10.5"/>
      <name val="Century"/>
      <family val="1"/>
    </font>
    <font>
      <sz val="10.5"/>
      <color rgb="FFFF0000"/>
      <name val="Century"/>
      <family val="1"/>
    </font>
    <font>
      <b/>
      <sz val="10.5"/>
      <color indexed="10"/>
      <name val="Century"/>
      <family val="1"/>
    </font>
    <font>
      <b/>
      <sz val="10.5"/>
      <name val="Century"/>
      <family val="1"/>
    </font>
    <font>
      <sz val="10.5"/>
      <color indexed="10"/>
      <name val="Century"/>
      <family val="1"/>
    </font>
    <font>
      <sz val="10"/>
      <name val="Century"/>
      <family val="1"/>
    </font>
    <font>
      <b/>
      <sz val="12"/>
      <name val="Century"/>
      <family val="1"/>
    </font>
    <font>
      <b/>
      <sz val="10"/>
      <name val="Century"/>
      <family val="1"/>
    </font>
    <font>
      <sz val="12"/>
      <name val="Century"/>
      <family val="1"/>
    </font>
    <font>
      <b/>
      <sz val="10.5"/>
      <color rgb="FFFF0000"/>
      <name val="Century"/>
      <family val="1"/>
    </font>
    <font>
      <sz val="12"/>
      <name val="Bitstream Charter"/>
      <family val="1"/>
    </font>
    <font>
      <sz val="12"/>
      <color indexed="8"/>
      <name val="Bitstream Charter"/>
      <family val="1"/>
    </font>
    <font>
      <u/>
      <sz val="12"/>
      <name val="Bitstream Charter"/>
      <family val="1"/>
    </font>
    <font>
      <b/>
      <i/>
      <sz val="12"/>
      <color rgb="FF000000"/>
      <name val="Arial"/>
      <family val="2"/>
    </font>
    <font>
      <b/>
      <i/>
      <sz val="12"/>
      <name val="Bitstream Charter"/>
    </font>
    <font>
      <b/>
      <sz val="12"/>
      <name val="Bitstream Charter"/>
    </font>
    <font>
      <b/>
      <sz val="11"/>
      <name val="Century"/>
      <family val="1"/>
    </font>
    <font>
      <sz val="11"/>
      <name val="Century"/>
      <family val="1"/>
    </font>
    <font>
      <sz val="11"/>
      <color indexed="10"/>
      <name val="Century"/>
      <family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Bitstream Charter"/>
      <family val="1"/>
    </font>
    <font>
      <u/>
      <sz val="10.5"/>
      <name val="Century"/>
      <family val="1"/>
    </font>
    <font>
      <sz val="10.5"/>
      <name val="Bitstream Charter"/>
      <family val="1"/>
    </font>
    <font>
      <b/>
      <sz val="10"/>
      <color rgb="FFFF0000"/>
      <name val="Bitstream Charter"/>
    </font>
    <font>
      <b/>
      <i/>
      <sz val="12"/>
      <color rgb="FFFF0000"/>
      <name val="Bitstream Charter"/>
    </font>
    <font>
      <sz val="10"/>
      <color rgb="FFFF0000"/>
      <name val="Arial"/>
      <family val="2"/>
    </font>
    <font>
      <sz val="9"/>
      <name val="Arial"/>
      <family val="2"/>
    </font>
    <font>
      <b/>
      <sz val="12"/>
      <color rgb="FFFF0000"/>
      <name val="Bitstream Charter"/>
    </font>
    <font>
      <b/>
      <sz val="10"/>
      <name val="Bitstream Charter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63"/>
      </left>
      <right/>
      <top/>
      <bottom style="hair">
        <color indexed="8"/>
      </bottom>
      <diagonal/>
    </border>
    <border>
      <left/>
      <right style="thin">
        <color indexed="63"/>
      </right>
      <top/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3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174" fontId="20" fillId="0" borderId="0" applyFill="0" applyBorder="0" applyAlignment="0" applyProtection="0"/>
    <xf numFmtId="164" fontId="20" fillId="0" borderId="0"/>
    <xf numFmtId="165" fontId="20" fillId="0" borderId="0"/>
    <xf numFmtId="9" fontId="20" fillId="0" borderId="0"/>
  </cellStyleXfs>
  <cellXfs count="42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Font="1"/>
    <xf numFmtId="164" fontId="0" fillId="0" borderId="0" xfId="0" applyNumberFormat="1" applyFont="1"/>
    <xf numFmtId="164" fontId="1" fillId="0" borderId="2" xfId="0" applyNumberFormat="1" applyFont="1" applyBorder="1"/>
    <xf numFmtId="9" fontId="1" fillId="0" borderId="0" xfId="4" applyFont="1" applyBorder="1" applyAlignment="1" applyProtection="1"/>
    <xf numFmtId="165" fontId="0" fillId="0" borderId="0" xfId="3" applyFont="1" applyBorder="1" applyAlignment="1" applyProtection="1"/>
    <xf numFmtId="9" fontId="0" fillId="0" borderId="0" xfId="4" applyFont="1" applyBorder="1" applyAlignment="1" applyProtection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2" applyFont="1" applyBorder="1" applyAlignment="1" applyProtection="1"/>
    <xf numFmtId="164" fontId="0" fillId="0" borderId="0" xfId="0" applyNumberFormat="1"/>
    <xf numFmtId="10" fontId="20" fillId="0" borderId="0" xfId="4" applyNumberFormat="1"/>
    <xf numFmtId="167" fontId="0" fillId="0" borderId="0" xfId="0" applyNumberFormat="1"/>
    <xf numFmtId="168" fontId="0" fillId="0" borderId="0" xfId="4" applyNumberFormat="1" applyFont="1" applyBorder="1" applyAlignment="1" applyProtection="1"/>
    <xf numFmtId="0" fontId="7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 applyFont="1"/>
    <xf numFmtId="169" fontId="0" fillId="0" borderId="3" xfId="0" applyNumberFormat="1" applyBorder="1"/>
    <xf numFmtId="169" fontId="0" fillId="0" borderId="0" xfId="0" applyNumberFormat="1"/>
    <xf numFmtId="170" fontId="0" fillId="0" borderId="0" xfId="0" applyNumberFormat="1"/>
    <xf numFmtId="0" fontId="8" fillId="0" borderId="0" xfId="0" applyFont="1"/>
    <xf numFmtId="0" fontId="1" fillId="0" borderId="0" xfId="0" applyFont="1" applyBorder="1"/>
    <xf numFmtId="0" fontId="0" fillId="0" borderId="2" xfId="0" applyBorder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Border="1"/>
    <xf numFmtId="0" fontId="0" fillId="0" borderId="18" xfId="0" applyFont="1" applyBorder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18" fillId="4" borderId="26" xfId="0" applyFont="1" applyFill="1" applyBorder="1"/>
    <xf numFmtId="0" fontId="18" fillId="4" borderId="28" xfId="0" applyFont="1" applyFill="1" applyBorder="1"/>
    <xf numFmtId="166" fontId="18" fillId="0" borderId="0" xfId="0" applyNumberFormat="1" applyFont="1"/>
    <xf numFmtId="0" fontId="18" fillId="0" borderId="6" xfId="0" applyFont="1" applyBorder="1"/>
    <xf numFmtId="166" fontId="18" fillId="0" borderId="6" xfId="0" applyNumberFormat="1" applyFont="1" applyBorder="1"/>
    <xf numFmtId="0" fontId="18" fillId="0" borderId="0" xfId="0" applyFont="1" applyBorder="1"/>
    <xf numFmtId="0" fontId="18" fillId="0" borderId="0" xfId="0" applyFont="1" applyFill="1"/>
    <xf numFmtId="166" fontId="18" fillId="0" borderId="0" xfId="0" applyNumberFormat="1" applyFont="1" applyBorder="1"/>
    <xf numFmtId="0" fontId="18" fillId="0" borderId="0" xfId="0" applyFont="1" applyFill="1" applyBorder="1"/>
    <xf numFmtId="175" fontId="18" fillId="0" borderId="0" xfId="0" applyNumberFormat="1" applyFont="1"/>
    <xf numFmtId="0" fontId="0" fillId="0" borderId="0" xfId="0" quotePrefix="1"/>
    <xf numFmtId="0" fontId="0" fillId="0" borderId="29" xfId="0" applyBorder="1"/>
    <xf numFmtId="174" fontId="0" fillId="0" borderId="0" xfId="1" applyFont="1" applyFill="1" applyBorder="1" applyAlignment="1" applyProtection="1"/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Border="1"/>
    <xf numFmtId="0" fontId="23" fillId="0" borderId="0" xfId="0" applyFont="1"/>
    <xf numFmtId="0" fontId="24" fillId="0" borderId="0" xfId="0" applyFont="1"/>
    <xf numFmtId="165" fontId="21" fillId="0" borderId="0" xfId="0" applyNumberFormat="1" applyFont="1"/>
    <xf numFmtId="166" fontId="25" fillId="0" borderId="0" xfId="0" applyNumberFormat="1" applyFont="1"/>
    <xf numFmtId="0" fontId="21" fillId="2" borderId="0" xfId="0" applyFont="1" applyFill="1"/>
    <xf numFmtId="164" fontId="24" fillId="0" borderId="0" xfId="2" applyFont="1" applyBorder="1" applyAlignment="1" applyProtection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26" fillId="0" borderId="0" xfId="0" applyFont="1"/>
    <xf numFmtId="0" fontId="21" fillId="0" borderId="32" xfId="0" applyFont="1" applyBorder="1"/>
    <xf numFmtId="0" fontId="21" fillId="0" borderId="33" xfId="0" applyFont="1" applyBorder="1"/>
    <xf numFmtId="0" fontId="21" fillId="5" borderId="32" xfId="0" applyFont="1" applyFill="1" applyBorder="1"/>
    <xf numFmtId="166" fontId="21" fillId="0" borderId="0" xfId="0" applyNumberFormat="1" applyFont="1" applyAlignment="1">
      <alignment horizontal="center" vertical="center"/>
    </xf>
    <xf numFmtId="0" fontId="21" fillId="0" borderId="29" xfId="0" applyFont="1" applyBorder="1"/>
    <xf numFmtId="0" fontId="27" fillId="0" borderId="0" xfId="0" applyFont="1"/>
    <xf numFmtId="0" fontId="28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165" fontId="26" fillId="0" borderId="0" xfId="3" applyFont="1" applyBorder="1" applyAlignment="1" applyProtection="1"/>
    <xf numFmtId="164" fontId="28" fillId="0" borderId="0" xfId="2" applyFont="1" applyBorder="1" applyAlignment="1" applyProtection="1"/>
    <xf numFmtId="165" fontId="26" fillId="0" borderId="0" xfId="0" applyNumberFormat="1" applyFont="1"/>
    <xf numFmtId="4" fontId="24" fillId="0" borderId="0" xfId="0" applyNumberFormat="1" applyFont="1" applyBorder="1"/>
    <xf numFmtId="0" fontId="21" fillId="5" borderId="0" xfId="0" applyFont="1" applyFill="1" applyBorder="1"/>
    <xf numFmtId="0" fontId="26" fillId="6" borderId="0" xfId="0" applyFont="1" applyFill="1"/>
    <xf numFmtId="165" fontId="26" fillId="6" borderId="0" xfId="0" applyNumberFormat="1" applyFont="1" applyFill="1"/>
    <xf numFmtId="0" fontId="21" fillId="5" borderId="0" xfId="0" applyFont="1" applyFill="1"/>
    <xf numFmtId="0" fontId="21" fillId="5" borderId="0" xfId="0" applyFont="1" applyFill="1" applyAlignment="1">
      <alignment horizontal="center"/>
    </xf>
    <xf numFmtId="0" fontId="21" fillId="5" borderId="0" xfId="0" applyFont="1" applyFill="1" applyAlignment="1">
      <alignment horizontal="right"/>
    </xf>
    <xf numFmtId="0" fontId="21" fillId="6" borderId="0" xfId="0" applyFont="1" applyFill="1" applyBorder="1"/>
    <xf numFmtId="166" fontId="25" fillId="6" borderId="0" xfId="0" applyNumberFormat="1" applyFont="1" applyFill="1"/>
    <xf numFmtId="0" fontId="21" fillId="6" borderId="0" xfId="0" applyFont="1" applyFill="1"/>
    <xf numFmtId="0" fontId="18" fillId="4" borderId="27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/>
    </xf>
    <xf numFmtId="0" fontId="18" fillId="4" borderId="34" xfId="0" applyFont="1" applyFill="1" applyBorder="1"/>
    <xf numFmtId="0" fontId="18" fillId="4" borderId="35" xfId="0" applyFont="1" applyFill="1" applyBorder="1"/>
    <xf numFmtId="0" fontId="18" fillId="4" borderId="36" xfId="0" applyFont="1" applyFill="1" applyBorder="1"/>
    <xf numFmtId="0" fontId="21" fillId="0" borderId="30" xfId="0" applyFont="1" applyBorder="1"/>
    <xf numFmtId="176" fontId="21" fillId="0" borderId="30" xfId="0" applyNumberFormat="1" applyFont="1" applyBorder="1"/>
    <xf numFmtId="0" fontId="21" fillId="7" borderId="0" xfId="0" applyFont="1" applyFill="1"/>
    <xf numFmtId="0" fontId="21" fillId="7" borderId="0" xfId="0" applyFont="1" applyFill="1" applyAlignment="1">
      <alignment horizontal="center"/>
    </xf>
    <xf numFmtId="0" fontId="21" fillId="7" borderId="0" xfId="0" applyFont="1" applyFill="1" applyAlignment="1">
      <alignment horizontal="right"/>
    </xf>
    <xf numFmtId="0" fontId="26" fillId="0" borderId="0" xfId="0" applyFont="1" applyFill="1"/>
    <xf numFmtId="166" fontId="25" fillId="0" borderId="38" xfId="0" applyNumberFormat="1" applyFont="1" applyBorder="1"/>
    <xf numFmtId="0" fontId="21" fillId="7" borderId="37" xfId="0" applyFont="1" applyFill="1" applyBorder="1" applyAlignment="1">
      <alignment horizontal="right"/>
    </xf>
    <xf numFmtId="8" fontId="18" fillId="0" borderId="0" xfId="0" applyNumberFormat="1" applyFont="1" applyBorder="1"/>
    <xf numFmtId="175" fontId="18" fillId="0" borderId="31" xfId="0" applyNumberFormat="1" applyFont="1" applyBorder="1"/>
    <xf numFmtId="176" fontId="21" fillId="0" borderId="0" xfId="0" applyNumberFormat="1" applyFont="1" applyBorder="1"/>
    <xf numFmtId="0" fontId="30" fillId="0" borderId="0" xfId="0" applyFont="1"/>
    <xf numFmtId="0" fontId="0" fillId="0" borderId="29" xfId="0" applyFont="1" applyBorder="1"/>
    <xf numFmtId="0" fontId="18" fillId="9" borderId="0" xfId="0" applyFont="1" applyFill="1" applyBorder="1"/>
    <xf numFmtId="166" fontId="18" fillId="9" borderId="0" xfId="0" applyNumberFormat="1" applyFont="1" applyFill="1" applyBorder="1"/>
    <xf numFmtId="0" fontId="1" fillId="0" borderId="37" xfId="0" applyFont="1" applyBorder="1"/>
    <xf numFmtId="0" fontId="0" fillId="0" borderId="37" xfId="0" applyFont="1" applyBorder="1"/>
    <xf numFmtId="0" fontId="0" fillId="0" borderId="37" xfId="0" applyBorder="1" applyAlignment="1">
      <alignment horizontal="center"/>
    </xf>
    <xf numFmtId="0" fontId="0" fillId="0" borderId="0" xfId="0" applyAlignment="1"/>
    <xf numFmtId="0" fontId="31" fillId="0" borderId="0" xfId="0" applyFont="1"/>
    <xf numFmtId="0" fontId="32" fillId="3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31" fillId="3" borderId="0" xfId="0" applyFont="1" applyFill="1" applyAlignment="1">
      <alignment horizontal="center"/>
    </xf>
    <xf numFmtId="0" fontId="31" fillId="0" borderId="0" xfId="0" applyFont="1" applyFill="1"/>
    <xf numFmtId="0" fontId="31" fillId="9" borderId="0" xfId="0" applyFont="1" applyFill="1"/>
    <xf numFmtId="0" fontId="31" fillId="8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Border="1"/>
    <xf numFmtId="0" fontId="33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171" fontId="31" fillId="0" borderId="0" xfId="0" applyNumberFormat="1" applyFont="1"/>
    <xf numFmtId="0" fontId="35" fillId="0" borderId="0" xfId="0" applyFont="1" applyAlignment="1">
      <alignment horizontal="center"/>
    </xf>
    <xf numFmtId="14" fontId="21" fillId="0" borderId="0" xfId="0" applyNumberFormat="1" applyFont="1"/>
    <xf numFmtId="174" fontId="20" fillId="0" borderId="0" xfId="1"/>
    <xf numFmtId="174" fontId="20" fillId="0" borderId="0" xfId="1" applyBorder="1" applyAlignment="1" applyProtection="1"/>
    <xf numFmtId="0" fontId="18" fillId="10" borderId="6" xfId="0" applyFont="1" applyFill="1" applyBorder="1"/>
    <xf numFmtId="175" fontId="18" fillId="10" borderId="6" xfId="0" applyNumberFormat="1" applyFont="1" applyFill="1" applyBorder="1"/>
    <xf numFmtId="164" fontId="20" fillId="10" borderId="31" xfId="2" applyFill="1" applyBorder="1"/>
    <xf numFmtId="0" fontId="35" fillId="0" borderId="0" xfId="0" applyFont="1"/>
    <xf numFmtId="0" fontId="0" fillId="0" borderId="0" xfId="0" applyAlignment="1">
      <alignment horizontal="right"/>
    </xf>
    <xf numFmtId="164" fontId="1" fillId="0" borderId="0" xfId="2" applyFont="1"/>
    <xf numFmtId="174" fontId="20" fillId="10" borderId="31" xfId="1" applyFill="1" applyBorder="1"/>
    <xf numFmtId="0" fontId="0" fillId="0" borderId="0" xfId="0" applyAlignment="1">
      <alignment horizontal="center"/>
    </xf>
    <xf numFmtId="4" fontId="0" fillId="0" borderId="0" xfId="0" applyNumberFormat="1" applyFont="1"/>
    <xf numFmtId="164" fontId="0" fillId="0" borderId="47" xfId="0" applyNumberFormat="1" applyFont="1" applyBorder="1"/>
    <xf numFmtId="0" fontId="18" fillId="4" borderId="38" xfId="0" applyFont="1" applyFill="1" applyBorder="1"/>
    <xf numFmtId="0" fontId="0" fillId="0" borderId="37" xfId="0" applyBorder="1"/>
    <xf numFmtId="14" fontId="0" fillId="0" borderId="0" xfId="0" applyNumberFormat="1"/>
    <xf numFmtId="0" fontId="0" fillId="0" borderId="0" xfId="0" applyFill="1" applyBorder="1"/>
    <xf numFmtId="0" fontId="34" fillId="0" borderId="31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17" fillId="0" borderId="0" xfId="0" applyFont="1" applyBorder="1"/>
    <xf numFmtId="0" fontId="17" fillId="0" borderId="0" xfId="0" applyFont="1"/>
    <xf numFmtId="0" fontId="7" fillId="0" borderId="0" xfId="0" applyFont="1" applyBorder="1"/>
    <xf numFmtId="175" fontId="18" fillId="10" borderId="30" xfId="0" applyNumberFormat="1" applyFont="1" applyFill="1" applyBorder="1"/>
    <xf numFmtId="164" fontId="20" fillId="0" borderId="0" xfId="2"/>
    <xf numFmtId="0" fontId="24" fillId="0" borderId="30" xfId="0" applyFont="1" applyBorder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/>
    </xf>
    <xf numFmtId="0" fontId="38" fillId="0" borderId="0" xfId="0" applyFont="1"/>
    <xf numFmtId="0" fontId="38" fillId="6" borderId="0" xfId="0" applyFont="1" applyFill="1"/>
    <xf numFmtId="165" fontId="38" fillId="0" borderId="0" xfId="3" applyFont="1" applyBorder="1" applyAlignment="1" applyProtection="1"/>
    <xf numFmtId="165" fontId="38" fillId="0" borderId="0" xfId="0" applyNumberFormat="1" applyFont="1"/>
    <xf numFmtId="165" fontId="38" fillId="6" borderId="0" xfId="0" applyNumberFormat="1" applyFont="1" applyFill="1"/>
    <xf numFmtId="0" fontId="38" fillId="7" borderId="0" xfId="0" applyFont="1" applyFill="1"/>
    <xf numFmtId="0" fontId="38" fillId="5" borderId="0" xfId="0" applyFont="1" applyFill="1"/>
    <xf numFmtId="0" fontId="38" fillId="7" borderId="0" xfId="0" applyFont="1" applyFill="1" applyAlignment="1">
      <alignment horizontal="center"/>
    </xf>
    <xf numFmtId="0" fontId="38" fillId="5" borderId="0" xfId="0" applyFont="1" applyFill="1" applyAlignment="1">
      <alignment horizontal="center"/>
    </xf>
    <xf numFmtId="0" fontId="38" fillId="7" borderId="0" xfId="0" applyFont="1" applyFill="1" applyAlignment="1">
      <alignment horizontal="right"/>
    </xf>
    <xf numFmtId="0" fontId="38" fillId="5" borderId="0" xfId="0" applyFont="1" applyFill="1" applyAlignment="1">
      <alignment horizontal="right"/>
    </xf>
    <xf numFmtId="0" fontId="38" fillId="7" borderId="37" xfId="0" applyFont="1" applyFill="1" applyBorder="1" applyAlignment="1">
      <alignment horizontal="right"/>
    </xf>
    <xf numFmtId="0" fontId="38" fillId="5" borderId="0" xfId="0" applyFont="1" applyFill="1" applyBorder="1"/>
    <xf numFmtId="0" fontId="38" fillId="0" borderId="33" xfId="0" applyFont="1" applyBorder="1"/>
    <xf numFmtId="0" fontId="38" fillId="6" borderId="0" xfId="0" applyFont="1" applyFill="1" applyBorder="1"/>
    <xf numFmtId="0" fontId="38" fillId="0" borderId="0" xfId="0" applyFont="1" applyBorder="1"/>
    <xf numFmtId="166" fontId="39" fillId="0" borderId="38" xfId="0" applyNumberFormat="1" applyFont="1" applyBorder="1"/>
    <xf numFmtId="166" fontId="39" fillId="6" borderId="0" xfId="0" applyNumberFormat="1" applyFont="1" applyFill="1"/>
    <xf numFmtId="14" fontId="38" fillId="0" borderId="0" xfId="0" applyNumberFormat="1" applyFont="1"/>
    <xf numFmtId="165" fontId="0" fillId="0" borderId="33" xfId="3" applyFont="1" applyBorder="1" applyAlignment="1" applyProtection="1"/>
    <xf numFmtId="0" fontId="0" fillId="0" borderId="0" xfId="0" applyFont="1" applyBorder="1"/>
    <xf numFmtId="165" fontId="0" fillId="0" borderId="48" xfId="3" applyFont="1" applyBorder="1" applyAlignment="1" applyProtection="1"/>
    <xf numFmtId="14" fontId="0" fillId="0" borderId="0" xfId="0" applyNumberFormat="1" applyAlignment="1">
      <alignment horizontal="right"/>
    </xf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2" fillId="0" borderId="0" xfId="0" applyFont="1" applyFill="1"/>
    <xf numFmtId="0" fontId="2" fillId="0" borderId="0" xfId="0" applyFont="1" applyFill="1"/>
    <xf numFmtId="0" fontId="0" fillId="0" borderId="6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ill="1" applyBorder="1"/>
    <xf numFmtId="0" fontId="0" fillId="0" borderId="8" xfId="0" applyFont="1" applyFill="1" applyBorder="1" applyAlignment="1">
      <alignment horizontal="center"/>
    </xf>
    <xf numFmtId="0" fontId="13" fillId="0" borderId="10" xfId="0" applyFont="1" applyFill="1" applyBorder="1"/>
    <xf numFmtId="0" fontId="0" fillId="0" borderId="39" xfId="0" applyFont="1" applyFill="1" applyBorder="1" applyAlignment="1">
      <alignment horizontal="center"/>
    </xf>
    <xf numFmtId="0" fontId="13" fillId="0" borderId="40" xfId="0" applyFont="1" applyFill="1" applyBorder="1"/>
    <xf numFmtId="0" fontId="2" fillId="0" borderId="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13" fillId="0" borderId="13" xfId="0" applyFont="1" applyFill="1" applyBorder="1"/>
    <xf numFmtId="0" fontId="0" fillId="0" borderId="11" xfId="0" applyFont="1" applyFill="1" applyBorder="1" applyAlignment="1">
      <alignment horizontal="center"/>
    </xf>
    <xf numFmtId="166" fontId="13" fillId="0" borderId="13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41" xfId="0" applyFill="1" applyBorder="1" applyAlignment="1">
      <alignment horizontal="center"/>
    </xf>
    <xf numFmtId="166" fontId="13" fillId="0" borderId="42" xfId="0" applyNumberFormat="1" applyFont="1" applyFill="1" applyBorder="1"/>
    <xf numFmtId="0" fontId="0" fillId="0" borderId="14" xfId="0" applyFont="1" applyFill="1" applyBorder="1"/>
    <xf numFmtId="0" fontId="13" fillId="0" borderId="0" xfId="0" applyFont="1" applyFill="1" applyBorder="1"/>
    <xf numFmtId="0" fontId="0" fillId="0" borderId="39" xfId="0" applyFill="1" applyBorder="1"/>
    <xf numFmtId="0" fontId="13" fillId="0" borderId="17" xfId="0" applyFont="1" applyFill="1" applyBorder="1"/>
    <xf numFmtId="0" fontId="0" fillId="0" borderId="15" xfId="0" applyFont="1" applyFill="1" applyBorder="1"/>
    <xf numFmtId="0" fontId="0" fillId="0" borderId="16" xfId="0" applyFill="1" applyBorder="1"/>
    <xf numFmtId="0" fontId="0" fillId="0" borderId="1" xfId="0" applyFont="1" applyFill="1" applyBorder="1"/>
    <xf numFmtId="0" fontId="13" fillId="0" borderId="44" xfId="0" applyFont="1" applyFill="1" applyBorder="1"/>
    <xf numFmtId="0" fontId="0" fillId="0" borderId="45" xfId="0" applyFill="1" applyBorder="1"/>
    <xf numFmtId="0" fontId="0" fillId="0" borderId="1" xfId="0" applyFill="1" applyBorder="1"/>
    <xf numFmtId="2" fontId="0" fillId="0" borderId="43" xfId="0" applyNumberFormat="1" applyFill="1" applyBorder="1"/>
    <xf numFmtId="0" fontId="0" fillId="0" borderId="19" xfId="0" applyFill="1" applyBorder="1"/>
    <xf numFmtId="0" fontId="13" fillId="0" borderId="20" xfId="0" applyFont="1" applyFill="1" applyBorder="1"/>
    <xf numFmtId="0" fontId="0" fillId="0" borderId="4" xfId="0" applyFill="1" applyBorder="1"/>
    <xf numFmtId="2" fontId="0" fillId="0" borderId="46" xfId="0" applyNumberFormat="1" applyFill="1" applyBorder="1"/>
    <xf numFmtId="0" fontId="13" fillId="0" borderId="42" xfId="0" applyFon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" xfId="0" applyFill="1" applyBorder="1"/>
    <xf numFmtId="2" fontId="0" fillId="0" borderId="11" xfId="0" applyNumberFormat="1" applyFill="1" applyBorder="1"/>
    <xf numFmtId="0" fontId="16" fillId="0" borderId="0" xfId="0" applyFont="1" applyFill="1"/>
    <xf numFmtId="0" fontId="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3" xfId="0" applyFill="1" applyBorder="1" applyAlignment="1">
      <alignment horizontal="right"/>
    </xf>
    <xf numFmtId="0" fontId="12" fillId="0" borderId="3" xfId="0" applyFont="1" applyFill="1" applyBorder="1" applyAlignment="1">
      <alignment horizontal="right"/>
    </xf>
    <xf numFmtId="166" fontId="12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1" fontId="0" fillId="0" borderId="30" xfId="0" applyNumberFormat="1" applyFill="1" applyBorder="1"/>
    <xf numFmtId="0" fontId="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66" fontId="0" fillId="0" borderId="0" xfId="0" applyNumberFormat="1" applyFill="1" applyBorder="1"/>
    <xf numFmtId="172" fontId="0" fillId="0" borderId="0" xfId="0" applyNumberFormat="1" applyFill="1"/>
    <xf numFmtId="2" fontId="0" fillId="0" borderId="0" xfId="0" applyNumberFormat="1" applyFill="1"/>
    <xf numFmtId="177" fontId="0" fillId="0" borderId="0" xfId="0" applyNumberFormat="1" applyFill="1" applyBorder="1"/>
    <xf numFmtId="2" fontId="0" fillId="0" borderId="0" xfId="0" applyNumberFormat="1" applyFill="1" applyBorder="1"/>
    <xf numFmtId="173" fontId="0" fillId="0" borderId="0" xfId="0" applyNumberFormat="1" applyFill="1" applyBorder="1"/>
    <xf numFmtId="166" fontId="0" fillId="0" borderId="0" xfId="0" applyNumberFormat="1" applyFill="1"/>
    <xf numFmtId="14" fontId="0" fillId="0" borderId="0" xfId="0" quotePrefix="1" applyNumberFormat="1" applyFill="1"/>
    <xf numFmtId="166" fontId="0" fillId="0" borderId="0" xfId="0" applyNumberFormat="1" applyFill="1" applyAlignment="1">
      <alignment horizontal="left"/>
    </xf>
    <xf numFmtId="0" fontId="0" fillId="0" borderId="25" xfId="0" applyFill="1" applyBorder="1"/>
    <xf numFmtId="164" fontId="0" fillId="0" borderId="0" xfId="2" applyFont="1" applyFill="1" applyBorder="1" applyAlignment="1" applyProtection="1"/>
    <xf numFmtId="164" fontId="12" fillId="0" borderId="2" xfId="0" applyNumberFormat="1" applyFont="1" applyFill="1" applyBorder="1"/>
    <xf numFmtId="17" fontId="0" fillId="0" borderId="0" xfId="0" applyNumberFormat="1"/>
    <xf numFmtId="0" fontId="40" fillId="0" borderId="0" xfId="0" applyFont="1"/>
    <xf numFmtId="0" fontId="41" fillId="0" borderId="0" xfId="0" applyFont="1"/>
    <xf numFmtId="0" fontId="42" fillId="0" borderId="0" xfId="0" applyFont="1"/>
    <xf numFmtId="174" fontId="42" fillId="0" borderId="0" xfId="1" applyFont="1"/>
    <xf numFmtId="10" fontId="42" fillId="0" borderId="0" xfId="4" applyNumberFormat="1" applyFont="1"/>
    <xf numFmtId="0" fontId="0" fillId="0" borderId="31" xfId="0" applyFill="1" applyBorder="1"/>
    <xf numFmtId="0" fontId="0" fillId="0" borderId="49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50" xfId="0" applyFill="1" applyBorder="1"/>
    <xf numFmtId="0" fontId="13" fillId="0" borderId="24" xfId="0" applyFont="1" applyFill="1" applyBorder="1"/>
    <xf numFmtId="0" fontId="13" fillId="0" borderId="22" xfId="0" applyFont="1" applyFill="1" applyBorder="1"/>
    <xf numFmtId="0" fontId="0" fillId="0" borderId="38" xfId="0" applyFill="1" applyBorder="1"/>
    <xf numFmtId="0" fontId="43" fillId="0" borderId="0" xfId="0" applyFont="1"/>
    <xf numFmtId="0" fontId="21" fillId="0" borderId="52" xfId="0" applyFont="1" applyBorder="1"/>
    <xf numFmtId="0" fontId="21" fillId="0" borderId="53" xfId="0" applyFont="1" applyBorder="1"/>
    <xf numFmtId="0" fontId="21" fillId="0" borderId="0" xfId="0" applyFont="1" applyFill="1"/>
    <xf numFmtId="178" fontId="21" fillId="0" borderId="0" xfId="0" applyNumberFormat="1" applyFont="1"/>
    <xf numFmtId="164" fontId="24" fillId="0" borderId="0" xfId="2" applyFont="1" applyBorder="1" applyAlignment="1" applyProtection="1"/>
    <xf numFmtId="178" fontId="24" fillId="0" borderId="0" xfId="0" applyNumberFormat="1" applyFont="1" applyAlignment="1"/>
    <xf numFmtId="174" fontId="20" fillId="0" borderId="0" xfId="1" applyBorder="1"/>
    <xf numFmtId="0" fontId="22" fillId="0" borderId="0" xfId="0" applyFont="1" applyFill="1"/>
    <xf numFmtId="164" fontId="40" fillId="0" borderId="0" xfId="2" applyFont="1"/>
    <xf numFmtId="166" fontId="21" fillId="0" borderId="0" xfId="0" applyNumberFormat="1" applyFont="1"/>
    <xf numFmtId="0" fontId="44" fillId="0" borderId="0" xfId="0" applyFont="1"/>
    <xf numFmtId="172" fontId="24" fillId="0" borderId="0" xfId="0" applyNumberFormat="1" applyFont="1"/>
    <xf numFmtId="0" fontId="45" fillId="0" borderId="0" xfId="0" applyFont="1"/>
    <xf numFmtId="165" fontId="28" fillId="0" borderId="0" xfId="0" applyNumberFormat="1" applyFont="1"/>
    <xf numFmtId="0" fontId="46" fillId="0" borderId="0" xfId="0" applyFont="1"/>
    <xf numFmtId="0" fontId="36" fillId="0" borderId="0" xfId="0" applyFont="1"/>
    <xf numFmtId="175" fontId="18" fillId="0" borderId="0" xfId="0" applyNumberFormat="1" applyFont="1" applyFill="1" applyBorder="1"/>
    <xf numFmtId="0" fontId="35" fillId="0" borderId="0" xfId="0" applyFont="1" applyAlignment="1">
      <alignment horizontal="right"/>
    </xf>
    <xf numFmtId="0" fontId="47" fillId="0" borderId="0" xfId="0" applyFont="1"/>
    <xf numFmtId="164" fontId="20" fillId="0" borderId="0" xfId="2" applyFill="1" applyBorder="1"/>
    <xf numFmtId="166" fontId="18" fillId="0" borderId="0" xfId="0" applyNumberFormat="1" applyFont="1" applyFill="1" applyBorder="1"/>
    <xf numFmtId="0" fontId="0" fillId="0" borderId="0" xfId="0" applyFill="1" applyAlignment="1">
      <alignment horizontal="center" vertical="center"/>
    </xf>
    <xf numFmtId="0" fontId="48" fillId="0" borderId="34" xfId="0" applyFont="1" applyFill="1" applyBorder="1" applyAlignment="1">
      <alignment horizontal="center"/>
    </xf>
    <xf numFmtId="0" fontId="48" fillId="0" borderId="31" xfId="0" applyFont="1" applyFill="1" applyBorder="1" applyAlignment="1">
      <alignment horizontal="center"/>
    </xf>
    <xf numFmtId="0" fontId="0" fillId="0" borderId="29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9" xfId="0" applyFont="1" applyFill="1" applyBorder="1"/>
    <xf numFmtId="0" fontId="0" fillId="8" borderId="0" xfId="0" applyFill="1"/>
    <xf numFmtId="0" fontId="0" fillId="8" borderId="16" xfId="0" applyFill="1" applyBorder="1"/>
    <xf numFmtId="0" fontId="13" fillId="0" borderId="29" xfId="0" applyFont="1" applyFill="1" applyBorder="1"/>
    <xf numFmtId="0" fontId="13" fillId="0" borderId="0" xfId="0" applyFont="1" applyBorder="1"/>
    <xf numFmtId="0" fontId="13" fillId="0" borderId="0" xfId="0" applyFont="1" applyAlignment="1">
      <alignment horizontal="center"/>
    </xf>
    <xf numFmtId="0" fontId="0" fillId="0" borderId="0" xfId="0" quotePrefix="1" applyFill="1"/>
    <xf numFmtId="0" fontId="12" fillId="0" borderId="0" xfId="0" applyFont="1" applyFill="1" applyBorder="1" applyAlignment="1">
      <alignment horizontal="center"/>
    </xf>
    <xf numFmtId="0" fontId="0" fillId="0" borderId="32" xfId="0" applyFill="1" applyBorder="1"/>
    <xf numFmtId="2" fontId="0" fillId="0" borderId="37" xfId="0" applyNumberFormat="1" applyFill="1" applyBorder="1"/>
    <xf numFmtId="179" fontId="49" fillId="0" borderId="0" xfId="0" applyNumberFormat="1" applyFont="1" applyFill="1" applyBorder="1" applyAlignment="1">
      <alignment horizontal="center"/>
    </xf>
    <xf numFmtId="179" fontId="49" fillId="0" borderId="29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0" fillId="0" borderId="54" xfId="0" applyFill="1" applyBorder="1"/>
    <xf numFmtId="0" fontId="0" fillId="0" borderId="55" xfId="0" applyFill="1" applyBorder="1"/>
    <xf numFmtId="0" fontId="1" fillId="0" borderId="55" xfId="0" applyFont="1" applyFill="1" applyBorder="1" applyAlignment="1">
      <alignment horizontal="center"/>
    </xf>
    <xf numFmtId="0" fontId="0" fillId="0" borderId="56" xfId="0" applyFill="1" applyBorder="1"/>
    <xf numFmtId="0" fontId="0" fillId="0" borderId="57" xfId="0" applyFont="1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9" xfId="0" applyFill="1" applyBorder="1"/>
    <xf numFmtId="0" fontId="0" fillId="0" borderId="60" xfId="0" applyFill="1" applyBorder="1"/>
    <xf numFmtId="0" fontId="0" fillId="0" borderId="58" xfId="0" applyFill="1" applyBorder="1"/>
    <xf numFmtId="0" fontId="0" fillId="0" borderId="61" xfId="0" applyFill="1" applyBorder="1"/>
    <xf numFmtId="0" fontId="13" fillId="0" borderId="31" xfId="0" applyFont="1" applyFill="1" applyBorder="1"/>
    <xf numFmtId="0" fontId="0" fillId="0" borderId="62" xfId="0" applyFill="1" applyBorder="1"/>
    <xf numFmtId="0" fontId="13" fillId="0" borderId="63" xfId="0" applyFont="1" applyFill="1" applyBorder="1"/>
    <xf numFmtId="0" fontId="0" fillId="0" borderId="64" xfId="0" applyFill="1" applyBorder="1"/>
    <xf numFmtId="0" fontId="0" fillId="0" borderId="34" xfId="0" applyFill="1" applyBorder="1"/>
    <xf numFmtId="0" fontId="0" fillId="0" borderId="8" xfId="0" applyFont="1" applyFill="1" applyBorder="1"/>
    <xf numFmtId="0" fontId="0" fillId="0" borderId="16" xfId="0" applyFont="1" applyFill="1" applyBorder="1"/>
    <xf numFmtId="0" fontId="13" fillId="0" borderId="40" xfId="0" applyFont="1" applyBorder="1"/>
    <xf numFmtId="0" fontId="13" fillId="0" borderId="44" xfId="0" applyFont="1" applyBorder="1"/>
    <xf numFmtId="0" fontId="0" fillId="0" borderId="37" xfId="0" applyFill="1" applyBorder="1"/>
    <xf numFmtId="0" fontId="13" fillId="0" borderId="49" xfId="0" applyFont="1" applyFill="1" applyBorder="1"/>
    <xf numFmtId="0" fontId="0" fillId="0" borderId="45" xfId="0" applyFont="1" applyFill="1" applyBorder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51" xfId="0" applyFont="1" applyFill="1" applyBorder="1"/>
    <xf numFmtId="0" fontId="0" fillId="0" borderId="65" xfId="0" applyFill="1" applyBorder="1"/>
    <xf numFmtId="0" fontId="48" fillId="0" borderId="0" xfId="0" applyFont="1" applyFill="1"/>
    <xf numFmtId="0" fontId="50" fillId="0" borderId="0" xfId="0" applyFont="1"/>
    <xf numFmtId="175" fontId="50" fillId="0" borderId="0" xfId="0" applyNumberFormat="1" applyFont="1" applyFill="1" applyBorder="1"/>
    <xf numFmtId="0" fontId="0" fillId="0" borderId="29" xfId="0" applyFill="1" applyBorder="1" applyAlignment="1">
      <alignment horizontal="right"/>
    </xf>
    <xf numFmtId="0" fontId="51" fillId="0" borderId="0" xfId="0" applyFont="1"/>
    <xf numFmtId="17" fontId="21" fillId="0" borderId="0" xfId="0" applyNumberFormat="1" applyFont="1"/>
    <xf numFmtId="14" fontId="18" fillId="0" borderId="0" xfId="0" applyNumberFormat="1" applyFont="1"/>
    <xf numFmtId="14" fontId="0" fillId="0" borderId="0" xfId="0" quotePrefix="1" applyNumberFormat="1" applyFill="1" applyBorder="1"/>
    <xf numFmtId="0" fontId="48" fillId="0" borderId="0" xfId="0" applyFont="1" applyFill="1" applyBorder="1"/>
    <xf numFmtId="14" fontId="0" fillId="0" borderId="37" xfId="0" quotePrefix="1" applyNumberFormat="1" applyFill="1" applyBorder="1"/>
    <xf numFmtId="0" fontId="48" fillId="0" borderId="37" xfId="0" applyFont="1" applyFill="1" applyBorder="1"/>
    <xf numFmtId="17" fontId="0" fillId="0" borderId="37" xfId="0" applyNumberFormat="1" applyFont="1" applyFill="1" applyBorder="1"/>
    <xf numFmtId="0" fontId="0" fillId="0" borderId="37" xfId="0" applyFill="1" applyBorder="1" applyAlignment="1">
      <alignment wrapText="1"/>
    </xf>
    <xf numFmtId="0" fontId="0" fillId="0" borderId="0" xfId="0" applyAlignment="1">
      <alignment horizontal="left" vertical="center"/>
    </xf>
    <xf numFmtId="178" fontId="1" fillId="0" borderId="0" xfId="1" applyNumberFormat="1" applyFont="1"/>
    <xf numFmtId="0" fontId="41" fillId="0" borderId="0" xfId="0" applyFont="1" applyAlignment="1">
      <alignment wrapText="1"/>
    </xf>
    <xf numFmtId="178" fontId="1" fillId="0" borderId="29" xfId="0" applyNumberFormat="1" applyFont="1" applyBorder="1"/>
    <xf numFmtId="178" fontId="1" fillId="0" borderId="0" xfId="0" applyNumberFormat="1" applyFont="1"/>
    <xf numFmtId="0" fontId="21" fillId="0" borderId="0" xfId="0" quotePrefix="1" applyFont="1"/>
    <xf numFmtId="16" fontId="0" fillId="0" borderId="0" xfId="0" applyNumberFormat="1"/>
    <xf numFmtId="0" fontId="0" fillId="0" borderId="66" xfId="0" applyFill="1" applyBorder="1"/>
    <xf numFmtId="0" fontId="0" fillId="0" borderId="67" xfId="0" applyFill="1" applyBorder="1"/>
    <xf numFmtId="0" fontId="0" fillId="0" borderId="52" xfId="0" applyFill="1" applyBorder="1"/>
    <xf numFmtId="0" fontId="0" fillId="0" borderId="68" xfId="0" applyFill="1" applyBorder="1"/>
    <xf numFmtId="0" fontId="0" fillId="0" borderId="53" xfId="0" applyFill="1" applyBorder="1"/>
    <xf numFmtId="16" fontId="0" fillId="0" borderId="30" xfId="0" applyNumberFormat="1" applyFill="1" applyBorder="1"/>
    <xf numFmtId="0" fontId="0" fillId="0" borderId="52" xfId="0" applyFill="1" applyBorder="1" applyAlignment="1">
      <alignment horizontal="right"/>
    </xf>
    <xf numFmtId="0" fontId="0" fillId="0" borderId="30" xfId="0" applyFill="1" applyBorder="1"/>
    <xf numFmtId="2" fontId="0" fillId="0" borderId="52" xfId="0" applyNumberFormat="1" applyFill="1" applyBorder="1"/>
    <xf numFmtId="2" fontId="0" fillId="0" borderId="53" xfId="0" applyNumberFormat="1" applyFill="1" applyBorder="1"/>
    <xf numFmtId="0" fontId="0" fillId="0" borderId="53" xfId="0" applyFill="1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4" xfId="0" applyFill="1" applyBorder="1"/>
    <xf numFmtId="0" fontId="0" fillId="0" borderId="72" xfId="0" applyFill="1" applyBorder="1" applyAlignment="1">
      <alignment horizontal="center"/>
    </xf>
    <xf numFmtId="0" fontId="0" fillId="0" borderId="73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/>
    <xf numFmtId="0" fontId="30" fillId="0" borderId="30" xfId="0" applyFont="1" applyBorder="1"/>
    <xf numFmtId="0" fontId="30" fillId="0" borderId="52" xfId="0" applyFont="1" applyBorder="1"/>
    <xf numFmtId="16" fontId="0" fillId="0" borderId="0" xfId="0" applyNumberFormat="1" applyFont="1" applyAlignment="1">
      <alignment horizontal="right"/>
    </xf>
    <xf numFmtId="4" fontId="1" fillId="0" borderId="29" xfId="0" applyNumberFormat="1" applyFont="1" applyBorder="1"/>
    <xf numFmtId="2" fontId="21" fillId="0" borderId="30" xfId="0" applyNumberFormat="1" applyFont="1" applyBorder="1"/>
    <xf numFmtId="177" fontId="20" fillId="0" borderId="0" xfId="1" applyNumberFormat="1" applyFill="1" applyBorder="1"/>
    <xf numFmtId="0" fontId="40" fillId="0" borderId="0" xfId="0" applyFont="1" applyFill="1"/>
    <xf numFmtId="0" fontId="42" fillId="0" borderId="0" xfId="0" applyFont="1" applyFill="1"/>
    <xf numFmtId="0" fontId="16" fillId="0" borderId="0" xfId="0" applyFont="1" applyFill="1" applyBorder="1"/>
    <xf numFmtId="2" fontId="0" fillId="0" borderId="68" xfId="0" applyNumberFormat="1" applyFill="1" applyBorder="1"/>
    <xf numFmtId="166" fontId="18" fillId="0" borderId="30" xfId="0" applyNumberFormat="1" applyFont="1" applyBorder="1"/>
    <xf numFmtId="1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48" xfId="0" applyBorder="1"/>
    <xf numFmtId="0" fontId="0" fillId="0" borderId="31" xfId="0" applyBorder="1"/>
    <xf numFmtId="0" fontId="48" fillId="0" borderId="48" xfId="0" applyFont="1" applyBorder="1"/>
    <xf numFmtId="0" fontId="52" fillId="0" borderId="0" xfId="0" applyFont="1"/>
    <xf numFmtId="0" fontId="52" fillId="0" borderId="0" xfId="0" applyFont="1" applyAlignment="1">
      <alignment wrapText="1"/>
    </xf>
    <xf numFmtId="14" fontId="52" fillId="0" borderId="0" xfId="0" applyNumberFormat="1" applyFont="1"/>
    <xf numFmtId="0" fontId="24" fillId="0" borderId="0" xfId="0" applyFont="1" applyBorder="1"/>
    <xf numFmtId="0" fontId="30" fillId="0" borderId="0" xfId="0" applyFont="1" applyBorder="1"/>
    <xf numFmtId="0" fontId="1" fillId="0" borderId="0" xfId="0" quotePrefix="1" applyFont="1"/>
    <xf numFmtId="175" fontId="50" fillId="0" borderId="0" xfId="0" applyNumberFormat="1" applyFont="1"/>
    <xf numFmtId="175" fontId="36" fillId="0" borderId="0" xfId="0" applyNumberFormat="1" applyFont="1" applyFill="1" applyBorder="1"/>
    <xf numFmtId="0" fontId="53" fillId="0" borderId="29" xfId="0" applyFont="1" applyBorder="1"/>
    <xf numFmtId="0" fontId="53" fillId="0" borderId="0" xfId="0" applyFont="1"/>
    <xf numFmtId="0" fontId="53" fillId="0" borderId="0" xfId="0" applyFont="1" applyBorder="1"/>
    <xf numFmtId="16" fontId="52" fillId="0" borderId="0" xfId="0" applyNumberFormat="1" applyFont="1"/>
    <xf numFmtId="8" fontId="21" fillId="0" borderId="0" xfId="0" applyNumberFormat="1" applyFont="1"/>
    <xf numFmtId="9" fontId="20" fillId="0" borderId="0" xfId="4"/>
    <xf numFmtId="4" fontId="1" fillId="0" borderId="0" xfId="0" applyNumberFormat="1" applyFont="1" applyBorder="1"/>
    <xf numFmtId="16" fontId="21" fillId="0" borderId="0" xfId="0" applyNumberFormat="1" applyFont="1"/>
    <xf numFmtId="0" fontId="0" fillId="0" borderId="0" xfId="0" applyAlignment="1">
      <alignment horizontal="left"/>
    </xf>
    <xf numFmtId="0" fontId="0" fillId="0" borderId="32" xfId="0" applyFont="1" applyBorder="1"/>
    <xf numFmtId="14" fontId="1" fillId="0" borderId="0" xfId="0" applyNumberFormat="1" applyFont="1"/>
    <xf numFmtId="14" fontId="0" fillId="0" borderId="0" xfId="0" applyNumberFormat="1" applyFont="1" applyAlignment="1">
      <alignment wrapText="1"/>
    </xf>
    <xf numFmtId="174" fontId="20" fillId="0" borderId="33" xfId="1" applyBorder="1"/>
    <xf numFmtId="174" fontId="20" fillId="0" borderId="75" xfId="1" applyBorder="1"/>
    <xf numFmtId="174" fontId="20" fillId="0" borderId="29" xfId="1" applyBorder="1"/>
  </cellXfs>
  <cellStyles count="5">
    <cellStyle name="Comma" xfId="1" builtinId="3"/>
    <cellStyle name="Currency" xfId="2" builtinId="4"/>
    <cellStyle name="Excel Built-in Result2" xfId="3"/>
    <cellStyle name="Normal" xfId="0" builtinId="0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9001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B613D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5" sqref="M15"/>
    </sheetView>
  </sheetViews>
  <sheetFormatPr defaultRowHeight="15"/>
  <cols>
    <col min="1" max="1" width="13.7109375" style="259" customWidth="1"/>
    <col min="2" max="2" width="3" style="259" customWidth="1"/>
    <col min="3" max="3" width="16.42578125" style="259" customWidth="1"/>
    <col min="4" max="4" width="3" style="259" customWidth="1"/>
    <col min="5" max="5" width="16.42578125" style="259" customWidth="1"/>
    <col min="6" max="6" width="11" style="259" customWidth="1"/>
    <col min="7" max="7" width="3" style="259" customWidth="1"/>
    <col min="8" max="8" width="23.85546875" style="259" customWidth="1"/>
    <col min="9" max="9" width="10.5703125" style="259" customWidth="1"/>
    <col min="10" max="10" width="3" style="259" customWidth="1"/>
    <col min="11" max="11" width="15.42578125" style="259" customWidth="1"/>
    <col min="12" max="12" width="3" style="259" customWidth="1"/>
    <col min="13" max="16384" width="9.140625" style="259"/>
  </cols>
  <sheetData>
    <row r="1" spans="1:13" ht="15.75">
      <c r="A1" s="258" t="s">
        <v>460</v>
      </c>
    </row>
    <row r="3" spans="1:13" s="258" customFormat="1" ht="47.25">
      <c r="A3" s="258" t="s">
        <v>202</v>
      </c>
      <c r="C3" s="258" t="s">
        <v>461</v>
      </c>
      <c r="E3" s="258" t="s">
        <v>462</v>
      </c>
      <c r="F3" s="258" t="s">
        <v>463</v>
      </c>
      <c r="H3" s="358" t="s">
        <v>464</v>
      </c>
      <c r="I3" s="258" t="s">
        <v>463</v>
      </c>
      <c r="K3" s="258" t="s">
        <v>465</v>
      </c>
    </row>
    <row r="5" spans="1:13">
      <c r="A5" s="259">
        <v>2010</v>
      </c>
      <c r="C5" s="260">
        <v>112656.36</v>
      </c>
      <c r="E5" s="260">
        <v>12914.2</v>
      </c>
      <c r="F5" s="261">
        <f>E5/C5</f>
        <v>0.11463356352007113</v>
      </c>
      <c r="H5" s="260">
        <v>43565.06</v>
      </c>
      <c r="I5" s="261">
        <f>H5/C5</f>
        <v>0.38670750590556979</v>
      </c>
      <c r="K5" s="260">
        <f>H5/12</f>
        <v>3630.4216666666666</v>
      </c>
    </row>
    <row r="6" spans="1:13">
      <c r="C6" s="260"/>
      <c r="E6" s="260"/>
      <c r="F6" s="261"/>
      <c r="H6" s="260"/>
      <c r="I6" s="261"/>
      <c r="K6" s="260"/>
    </row>
    <row r="7" spans="1:13">
      <c r="A7" s="259">
        <v>2011</v>
      </c>
      <c r="C7" s="260">
        <v>92549.43</v>
      </c>
      <c r="E7" s="260">
        <v>11624</v>
      </c>
      <c r="F7" s="261">
        <f>E7/C7</f>
        <v>0.12559774814388378</v>
      </c>
      <c r="H7" s="260">
        <v>37617.75</v>
      </c>
      <c r="I7" s="261">
        <f>H7/C7</f>
        <v>0.40646117431517409</v>
      </c>
      <c r="K7" s="260">
        <f>H7/12</f>
        <v>3134.8125</v>
      </c>
      <c r="M7" s="259" t="s">
        <v>466</v>
      </c>
    </row>
    <row r="8" spans="1:13">
      <c r="C8" s="260"/>
      <c r="E8" s="260"/>
      <c r="F8" s="261"/>
      <c r="H8" s="260"/>
      <c r="I8" s="261"/>
      <c r="K8" s="260"/>
    </row>
    <row r="9" spans="1:13">
      <c r="A9" s="259">
        <v>2012</v>
      </c>
      <c r="C9" s="260">
        <v>109844.7</v>
      </c>
      <c r="E9" s="260">
        <v>12166</v>
      </c>
      <c r="F9" s="261">
        <f>E9/C9</f>
        <v>0.11075636785388826</v>
      </c>
      <c r="H9" s="260">
        <v>42001.120000000003</v>
      </c>
      <c r="I9" s="261">
        <f>H9/C9</f>
        <v>0.3823681980104639</v>
      </c>
      <c r="K9" s="260">
        <f>H9/12</f>
        <v>3500.0933333333337</v>
      </c>
    </row>
    <row r="10" spans="1:13">
      <c r="C10" s="260"/>
      <c r="E10" s="260"/>
      <c r="F10" s="261"/>
      <c r="H10" s="260"/>
      <c r="I10" s="261"/>
      <c r="K10" s="260"/>
    </row>
    <row r="11" spans="1:13">
      <c r="A11" s="259">
        <v>2013</v>
      </c>
      <c r="C11" s="260">
        <v>133324.93</v>
      </c>
      <c r="E11" s="260">
        <v>13528.4</v>
      </c>
      <c r="F11" s="261">
        <f>E11/C11</f>
        <v>0.10146939510862672</v>
      </c>
      <c r="H11" s="260">
        <v>40660.01</v>
      </c>
      <c r="I11" s="261">
        <f>H11/C11</f>
        <v>0.30496929568986086</v>
      </c>
      <c r="K11" s="260">
        <f>H11/12</f>
        <v>3388.334166666667</v>
      </c>
      <c r="M11" s="259" t="s">
        <v>471</v>
      </c>
    </row>
    <row r="12" spans="1:13">
      <c r="F12" s="261"/>
      <c r="I12" s="261"/>
      <c r="K12" s="260"/>
    </row>
    <row r="13" spans="1:13">
      <c r="A13" s="259">
        <v>2014</v>
      </c>
      <c r="C13" s="260">
        <v>144311.16</v>
      </c>
      <c r="E13" s="260">
        <v>15370</v>
      </c>
      <c r="F13" s="261">
        <f>E13/C13</f>
        <v>0.10650596946209842</v>
      </c>
      <c r="H13" s="260">
        <f>Summary!H41</f>
        <v>41178.249999999993</v>
      </c>
      <c r="I13" s="261">
        <f>H13/C13</f>
        <v>0.28534348972040685</v>
      </c>
      <c r="K13" s="260">
        <f>H13/12</f>
        <v>3431.5208333333326</v>
      </c>
      <c r="M13" s="259" t="s">
        <v>1194</v>
      </c>
    </row>
    <row r="14" spans="1:13">
      <c r="M14" s="259" t="s">
        <v>1197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101" zoomScale="84" zoomScaleNormal="84" workbookViewId="0">
      <selection activeCell="F76" sqref="F76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L1" s="75" t="s">
        <v>557</v>
      </c>
    </row>
    <row r="2" spans="1:16">
      <c r="A2" s="73" t="s">
        <v>191</v>
      </c>
      <c r="B2" s="75" t="s">
        <v>8</v>
      </c>
      <c r="C2" s="75"/>
      <c r="M2" s="75" t="s">
        <v>540</v>
      </c>
    </row>
    <row r="3" spans="1:16">
      <c r="M3" s="75" t="s">
        <v>539</v>
      </c>
      <c r="O3"/>
    </row>
    <row r="4" spans="1:16">
      <c r="A4" s="73" t="s">
        <v>4</v>
      </c>
      <c r="B4" s="78">
        <f>SUM(G5:G8)</f>
        <v>23361.14</v>
      </c>
      <c r="C4" s="78"/>
      <c r="F4" s="100"/>
      <c r="G4" s="67" t="s">
        <v>34</v>
      </c>
      <c r="L4" s="79"/>
      <c r="M4" s="67" t="s">
        <v>642</v>
      </c>
      <c r="O4"/>
    </row>
    <row r="5" spans="1:16" ht="12.75">
      <c r="A5" s="67" t="s">
        <v>25</v>
      </c>
      <c r="B5" s="128">
        <v>3245.19</v>
      </c>
      <c r="C5" s="129">
        <v>3245.19</v>
      </c>
      <c r="D5" s="128">
        <v>9961.67</v>
      </c>
      <c r="F5" s="100"/>
      <c r="G5" s="128">
        <f>SUM(B5:E5)</f>
        <v>16452.05</v>
      </c>
      <c r="H5" s="79" t="s">
        <v>675</v>
      </c>
      <c r="I5" s="79"/>
      <c r="J5" s="79"/>
      <c r="K5" s="83"/>
      <c r="L5" s="79"/>
      <c r="M5" s="67" t="s">
        <v>688</v>
      </c>
      <c r="O5"/>
    </row>
    <row r="6" spans="1:16" ht="12.75">
      <c r="A6" s="67" t="s">
        <v>251</v>
      </c>
      <c r="B6" s="67">
        <v>1879.76</v>
      </c>
      <c r="C6" s="77">
        <v>1879.76</v>
      </c>
      <c r="D6" s="128">
        <f>1879.76+646.45</f>
        <v>2526.21</v>
      </c>
      <c r="F6" s="100"/>
      <c r="G6" s="128">
        <f>SUM(B6:E6)</f>
        <v>6285.73</v>
      </c>
      <c r="H6" s="79"/>
      <c r="I6" s="79"/>
      <c r="J6" s="79"/>
      <c r="K6" s="83"/>
      <c r="L6" s="79"/>
      <c r="M6" s="67" t="s">
        <v>668</v>
      </c>
      <c r="O6" s="77"/>
    </row>
    <row r="7" spans="1:16" ht="12.75">
      <c r="A7" s="67" t="s">
        <v>27</v>
      </c>
      <c r="B7" s="67">
        <v>311.68</v>
      </c>
      <c r="C7" s="67">
        <v>311.68</v>
      </c>
      <c r="F7" s="100"/>
      <c r="G7" s="128">
        <f>SUM(B7:E7)</f>
        <v>623.36</v>
      </c>
      <c r="H7" s="79"/>
      <c r="I7" s="79"/>
      <c r="J7" s="79"/>
      <c r="K7" s="83"/>
      <c r="L7" s="79"/>
      <c r="O7" s="77"/>
    </row>
    <row r="8" spans="1:16">
      <c r="F8" s="100"/>
      <c r="G8" s="128"/>
      <c r="H8" s="79"/>
      <c r="I8" s="79"/>
      <c r="J8" s="79"/>
      <c r="K8" s="83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1280</v>
      </c>
      <c r="D11" s="54" t="s">
        <v>299</v>
      </c>
      <c r="E11" s="54">
        <f>G11/B4</f>
        <v>5.4791846630772301E-2</v>
      </c>
      <c r="F11" s="275"/>
      <c r="G11" s="55">
        <f>Tithe!D8</f>
        <v>1280</v>
      </c>
      <c r="H11" s="54">
        <v>1200</v>
      </c>
      <c r="I11" s="66">
        <f>H11-G11</f>
        <v>-80</v>
      </c>
      <c r="J11" s="99">
        <f>Jan!I11+Feb!I11+Mar!I11</f>
        <v>40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L13" s="54" t="s">
        <v>686</v>
      </c>
    </row>
    <row r="14" spans="1:16" s="54" customFormat="1" ht="13.5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>Jan!I14+Feb!I14+Mar!I14</f>
        <v>0</v>
      </c>
      <c r="K14" s="86"/>
      <c r="L14" s="54" t="s">
        <v>687</v>
      </c>
    </row>
    <row r="15" spans="1:16" s="54" customFormat="1" ht="13.5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>Jan!I15+Feb!I15+Mar!I15</f>
        <v>0</v>
      </c>
      <c r="K15" s="86"/>
    </row>
    <row r="16" spans="1:16" s="54" customFormat="1" ht="13.5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>Jan!I16+Feb!I16+Mar!I16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>Jan!I17+Feb!I17+Mar!I17</f>
        <v>0</v>
      </c>
      <c r="K17" s="86"/>
    </row>
    <row r="18" spans="1:13" s="54" customFormat="1" ht="15.95" customHeight="1">
      <c r="B18" s="60" t="s">
        <v>284</v>
      </c>
      <c r="E18" s="54" t="s">
        <v>524</v>
      </c>
      <c r="F18" s="275"/>
      <c r="G18" s="55">
        <v>50</v>
      </c>
      <c r="H18" s="54">
        <v>50</v>
      </c>
      <c r="I18" s="66">
        <f t="shared" si="0"/>
        <v>0</v>
      </c>
      <c r="J18" s="99">
        <f>Jan!I18+Feb!I18+Mar!I18</f>
        <v>0</v>
      </c>
      <c r="K18" s="86"/>
    </row>
    <row r="19" spans="1:13" s="54" customFormat="1" ht="15.95" customHeight="1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>Jan!I19+Feb!I19+Mar!I19</f>
        <v>0</v>
      </c>
      <c r="K19" s="86"/>
    </row>
    <row r="20" spans="1:13" s="54" customFormat="1" ht="15.95" customHeight="1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>Jan!I20+Feb!I20+Mar!I20</f>
        <v>0</v>
      </c>
      <c r="K20" s="86"/>
    </row>
    <row r="21" spans="1:13" s="54" customFormat="1" ht="15.95" customHeight="1">
      <c r="A21" s="60"/>
      <c r="F21" s="275"/>
      <c r="G21" s="55"/>
      <c r="I21" s="66"/>
      <c r="J21" s="99"/>
      <c r="K21" s="86"/>
      <c r="L21" s="60" t="s">
        <v>559</v>
      </c>
    </row>
    <row r="22" spans="1:13" s="54" customFormat="1" ht="15.95" customHeight="1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>Jan!I22+Feb!I22+Mar!I22</f>
        <v>0</v>
      </c>
      <c r="K22" s="86"/>
      <c r="M22" s="54" t="s">
        <v>733</v>
      </c>
    </row>
    <row r="23" spans="1:13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5.95" customHeight="1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</f>
        <v>1500</v>
      </c>
      <c r="K25" s="86"/>
    </row>
    <row r="26" spans="1:13" s="54" customFormat="1" ht="12.75" customHeight="1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</f>
        <v>900</v>
      </c>
      <c r="K26" s="86"/>
    </row>
    <row r="27" spans="1:13" s="54" customFormat="1" ht="12.75" customHeight="1">
      <c r="A27" s="60"/>
      <c r="F27" s="275"/>
      <c r="G27" s="68"/>
      <c r="H27" s="68"/>
      <c r="I27" s="70"/>
      <c r="J27" s="81"/>
      <c r="K27" s="81"/>
    </row>
    <row r="28" spans="1:13" s="54" customFormat="1" ht="12.75" customHeight="1" thickBot="1">
      <c r="A28" s="60"/>
      <c r="B28" s="60"/>
      <c r="F28" s="275"/>
      <c r="G28" s="69">
        <f>SUM(G11:G26)</f>
        <v>4030</v>
      </c>
      <c r="H28" s="69">
        <f>SUM(H11:H26)</f>
        <v>4750</v>
      </c>
      <c r="I28" s="69">
        <f>SUM(I11:I26)</f>
        <v>720</v>
      </c>
      <c r="J28" s="69">
        <f>SUM(J11:J26)</f>
        <v>2440</v>
      </c>
      <c r="K28" s="87"/>
    </row>
    <row r="29" spans="1:13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3" s="54" customFormat="1" ht="12.75" customHeight="1" thickBot="1">
      <c r="A30" s="60" t="s">
        <v>305</v>
      </c>
      <c r="B30" s="60"/>
      <c r="F30" s="275"/>
      <c r="G30" s="95"/>
      <c r="H30" s="58"/>
      <c r="I30" s="58"/>
      <c r="J30" s="58"/>
      <c r="K30" s="87"/>
    </row>
    <row r="31" spans="1:13" s="54" customFormat="1" ht="12.75" customHeight="1">
      <c r="A31" s="106" t="s">
        <v>298</v>
      </c>
      <c r="B31" s="60"/>
      <c r="F31" s="275"/>
      <c r="G31" s="281">
        <f>B4-G28+G30</f>
        <v>19331.14</v>
      </c>
      <c r="H31" s="58"/>
      <c r="I31" s="58"/>
      <c r="J31" s="58"/>
      <c r="K31" s="87"/>
      <c r="L31" s="58"/>
    </row>
    <row r="32" spans="1:13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3219.58</v>
      </c>
      <c r="H32" s="58"/>
      <c r="I32" s="58"/>
      <c r="J32" s="58"/>
      <c r="K32" s="87"/>
      <c r="L32" s="58"/>
    </row>
    <row r="33" spans="1:14" s="54" customFormat="1" ht="12.75" customHeight="1">
      <c r="A33" s="60" t="s">
        <v>655</v>
      </c>
      <c r="B33" s="60"/>
      <c r="F33" s="275"/>
      <c r="G33" s="80">
        <f>G31-G32-M42</f>
        <v>16111.56</v>
      </c>
      <c r="H33" s="58"/>
      <c r="I33" s="58"/>
      <c r="J33" s="58"/>
      <c r="K33" s="87"/>
      <c r="L33" s="58"/>
    </row>
    <row r="34" spans="1:14" s="54" customFormat="1" ht="12.75" customHeight="1">
      <c r="H34" s="58"/>
      <c r="I34" s="58"/>
      <c r="J34" s="58"/>
      <c r="K34" s="87"/>
      <c r="L34" s="58"/>
    </row>
    <row r="35" spans="1:14" s="54" customFormat="1" ht="12.75" customHeight="1">
      <c r="A35" s="60" t="s">
        <v>527</v>
      </c>
      <c r="B35" s="60"/>
      <c r="E35" s="54">
        <f>B47</f>
        <v>1718.5500000000002</v>
      </c>
      <c r="F35" s="275"/>
      <c r="G35" s="135"/>
      <c r="H35" s="58"/>
      <c r="I35" s="58"/>
      <c r="J35" s="58"/>
      <c r="K35" s="87"/>
      <c r="L35" s="58"/>
    </row>
    <row r="36" spans="1:14" s="54" customFormat="1" ht="12.75" customHeight="1">
      <c r="A36" s="60" t="s">
        <v>491</v>
      </c>
      <c r="B36" s="60"/>
      <c r="E36" s="54">
        <f>B76</f>
        <v>1501.0299999999997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30.109999999999996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283.77999999999997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208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176.91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180</v>
      </c>
      <c r="F41" s="275"/>
      <c r="G41" s="105"/>
      <c r="H41" s="58"/>
      <c r="I41" s="58"/>
      <c r="J41" s="58"/>
      <c r="K41" s="87"/>
      <c r="L41" s="95"/>
      <c r="M41" s="54">
        <f>M46+M44+M43+M42</f>
        <v>2242</v>
      </c>
      <c r="N41" s="54">
        <f>N46-N42</f>
        <v>138.83999999999997</v>
      </c>
    </row>
    <row r="42" spans="1:14" s="54" customFormat="1" ht="13.5">
      <c r="B42" s="60" t="s">
        <v>533</v>
      </c>
      <c r="C42" s="61"/>
      <c r="D42" s="61">
        <f>B130</f>
        <v>8.99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613.24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0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SUM(G48:G161)</f>
        <v>3219.58</v>
      </c>
      <c r="H46" s="101">
        <f>SUM(H48:H161)</f>
        <v>4553</v>
      </c>
      <c r="I46" s="101">
        <f>H46-G46</f>
        <v>1333.42</v>
      </c>
      <c r="J46" s="101">
        <f>SUM(J48:J132)</f>
        <v>1953.8</v>
      </c>
      <c r="K46" s="88"/>
      <c r="L46" s="92">
        <f>SUM(L48:L143)</f>
        <v>988.74</v>
      </c>
      <c r="M46" s="92">
        <f>SUM(M48:M143)</f>
        <v>2092</v>
      </c>
      <c r="N46" s="140">
        <f>SUM(N48:N143)</f>
        <v>138.83999999999997</v>
      </c>
    </row>
    <row r="47" spans="1:14" s="54" customFormat="1" ht="14.25" thickBot="1">
      <c r="A47" s="106" t="s">
        <v>492</v>
      </c>
      <c r="B47" s="273">
        <f>B48+B61+B65</f>
        <v>1718.5500000000002</v>
      </c>
      <c r="C47" s="273">
        <f>C48+C61+C65</f>
        <v>1378</v>
      </c>
      <c r="D47" s="95">
        <f>D48+D61+D65</f>
        <v>-340.55000000000007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1233.96</v>
      </c>
      <c r="C48" s="60">
        <f>SUM(H49:H57)</f>
        <v>911</v>
      </c>
      <c r="D48" s="60">
        <f>SUM(I49:I57)</f>
        <v>-322.96000000000004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</f>
        <v>300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</f>
        <v>290.36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</f>
        <v>300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</f>
        <v>0.11999999999989086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680</v>
      </c>
      <c r="H54" s="54">
        <v>57</v>
      </c>
      <c r="I54" s="63">
        <f t="shared" si="2"/>
        <v>-623</v>
      </c>
      <c r="J54" s="97">
        <f>Jan!I54+Feb!I54+Mar!I54</f>
        <v>-509</v>
      </c>
      <c r="K54" s="84"/>
      <c r="L54" s="41"/>
      <c r="M54" s="42">
        <v>680</v>
      </c>
      <c r="N54" s="42"/>
    </row>
    <row r="55" spans="1:14" s="54" customFormat="1" ht="13.5">
      <c r="A55" s="60"/>
      <c r="B55" s="54" t="s">
        <v>352</v>
      </c>
      <c r="G55" s="54">
        <f t="shared" si="1"/>
        <v>1687.49</v>
      </c>
      <c r="H55" s="54">
        <f>1636.68+50.81</f>
        <v>1687.49</v>
      </c>
      <c r="I55" s="63">
        <f t="shared" si="2"/>
        <v>0</v>
      </c>
      <c r="J55" s="97">
        <f>Jan!I55+Feb!I55+Mar!I55</f>
        <v>0</v>
      </c>
      <c r="K55" s="84"/>
      <c r="L55" s="41">
        <v>1687.49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312.51</v>
      </c>
      <c r="H56" s="54">
        <v>312.51</v>
      </c>
      <c r="I56" s="63">
        <f t="shared" si="2"/>
        <v>0</v>
      </c>
      <c r="J56" s="97">
        <f>Jan!I56+Feb!I56+Mar!I56</f>
        <v>0</v>
      </c>
      <c r="K56" s="84"/>
      <c r="L56" s="41">
        <v>312.51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-2000</v>
      </c>
      <c r="H57" s="54">
        <v>-2000</v>
      </c>
      <c r="I57" s="63">
        <f t="shared" si="2"/>
        <v>0</v>
      </c>
      <c r="J57" s="97">
        <f>Jan!I57+Feb!I57+Mar!I57</f>
        <v>0</v>
      </c>
      <c r="K57" s="84"/>
      <c r="L57" s="41">
        <v>-2000</v>
      </c>
      <c r="M57" s="42"/>
      <c r="N57" s="42"/>
    </row>
    <row r="58" spans="1:14" s="54" customFormat="1" ht="13.5">
      <c r="A58" s="60"/>
      <c r="I58" s="63"/>
      <c r="J58" s="97"/>
      <c r="K58" s="84"/>
      <c r="L58" s="41"/>
      <c r="M58" s="42"/>
      <c r="N58" s="42"/>
    </row>
    <row r="59" spans="1:14" s="54" customFormat="1" ht="13.5">
      <c r="A59" s="60"/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164.71</v>
      </c>
      <c r="C61" s="60">
        <f>SUM(H62:H63)</f>
        <v>167</v>
      </c>
      <c r="D61" s="60">
        <f>C61-B61</f>
        <v>2.289999999999992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69.09</v>
      </c>
      <c r="H62" s="54">
        <v>67</v>
      </c>
      <c r="I62" s="63">
        <f t="shared" ref="I62:I123" si="4">H62-G62</f>
        <v>-2.0900000000000034</v>
      </c>
      <c r="J62" s="97">
        <f>Jan!I62+Feb!I62+Mar!I62</f>
        <v>-2.4500000000000171</v>
      </c>
      <c r="K62" s="84"/>
      <c r="L62" s="41"/>
      <c r="M62" s="42">
        <v>69.09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95.62</v>
      </c>
      <c r="H63" s="54">
        <v>100</v>
      </c>
      <c r="I63" s="63">
        <f t="shared" si="4"/>
        <v>4.3799999999999955</v>
      </c>
      <c r="J63" s="97">
        <f>Jan!I63+Feb!I63+Mar!I63</f>
        <v>-15.540000000000006</v>
      </c>
      <c r="K63" s="84"/>
      <c r="L63" s="41"/>
      <c r="M63" s="42">
        <v>95.62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319.88</v>
      </c>
      <c r="C65" s="60">
        <f>SUM(H66:H74)</f>
        <v>300</v>
      </c>
      <c r="D65" s="60">
        <f>C65-B65</f>
        <v>-19.879999999999995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34.57</v>
      </c>
      <c r="H66" s="54">
        <v>60</v>
      </c>
      <c r="I66" s="63">
        <f t="shared" si="4"/>
        <v>25.43</v>
      </c>
      <c r="J66" s="97">
        <f>Jan!I66+Feb!I66+Mar!I66</f>
        <v>7.8299999999999983</v>
      </c>
      <c r="K66" s="84"/>
      <c r="L66" s="41"/>
      <c r="M66" s="42">
        <f>34.57</f>
        <v>34.57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175</v>
      </c>
      <c r="H67" s="54">
        <v>130</v>
      </c>
      <c r="I67" s="63">
        <f t="shared" si="4"/>
        <v>-45</v>
      </c>
      <c r="J67" s="97">
        <f>Jan!I67+Feb!I67+Mar!I67</f>
        <v>45</v>
      </c>
      <c r="K67" s="84"/>
      <c r="L67" s="41"/>
      <c r="M67" s="42">
        <f>5+85+85</f>
        <v>175</v>
      </c>
      <c r="N67" s="42"/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84.600000000000009</v>
      </c>
      <c r="H70" s="54">
        <v>25</v>
      </c>
      <c r="I70" s="63">
        <f t="shared" si="4"/>
        <v>-59.600000000000009</v>
      </c>
      <c r="J70" s="97">
        <f>Jan!I70+Feb!I70+Mar!I70</f>
        <v>-22.430000000000007</v>
      </c>
      <c r="K70" s="84"/>
      <c r="L70" s="41"/>
      <c r="M70" s="42">
        <f>7.27+6.6+(76.08-5.35)</f>
        <v>84.600000000000009</v>
      </c>
      <c r="N70" s="42"/>
      <c r="O70" s="54" t="s">
        <v>672</v>
      </c>
    </row>
    <row r="71" spans="1:15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Jan!I71+Feb!I71+Mar!I71</f>
        <v>-697.49</v>
      </c>
      <c r="K71" s="84"/>
      <c r="L71" s="41"/>
      <c r="M71" s="42"/>
      <c r="N71" s="42"/>
    </row>
    <row r="72" spans="1:15" s="54" customFormat="1" ht="13.5">
      <c r="A72" s="60"/>
      <c r="B72" s="54" t="s">
        <v>488</v>
      </c>
      <c r="G72" s="54">
        <f t="shared" si="3"/>
        <v>8.94</v>
      </c>
      <c r="H72" s="54">
        <v>20</v>
      </c>
      <c r="I72" s="63">
        <f t="shared" si="4"/>
        <v>11.06</v>
      </c>
      <c r="J72" s="97">
        <f>Jan!I72+Feb!I72+Mar!I72</f>
        <v>51.06</v>
      </c>
      <c r="K72" s="84"/>
      <c r="L72" s="41"/>
      <c r="M72" s="42">
        <f>8.94</f>
        <v>8.94</v>
      </c>
      <c r="N72" s="42"/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16.77</v>
      </c>
      <c r="H74" s="54">
        <v>35</v>
      </c>
      <c r="I74" s="63">
        <f t="shared" si="4"/>
        <v>18.23</v>
      </c>
      <c r="J74" s="97">
        <f>Jan!I74+Feb!I74+Mar!I74</f>
        <v>75.240000000000009</v>
      </c>
      <c r="K74" s="84"/>
      <c r="L74" s="41"/>
      <c r="M74" s="42">
        <f>8.82+7.95</f>
        <v>16.77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1501.0299999999997</v>
      </c>
      <c r="C76" s="151">
        <f>C78+C82+C88+C93+C102+C107+C112+C117+C130+C133+C138+C141</f>
        <v>2885</v>
      </c>
      <c r="D76" s="151">
        <f>D78+D82+D88+D93+D102+D107+D112+D117+D130+D133+D138+D141</f>
        <v>1383.9700000000003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5" s="54" customFormat="1" ht="13.5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5" s="54" customFormat="1" ht="13.5">
      <c r="I81" s="63"/>
      <c r="J81" s="97"/>
      <c r="K81" s="84"/>
      <c r="L81" s="41"/>
      <c r="M81" s="42"/>
      <c r="N81" s="42"/>
    </row>
    <row r="82" spans="1:15" s="54" customFormat="1" ht="13.5">
      <c r="A82" s="60" t="s">
        <v>42</v>
      </c>
      <c r="B82" s="60">
        <f>SUM(G83:G86)</f>
        <v>283.77999999999997</v>
      </c>
      <c r="C82" s="60">
        <f>SUM(H83:H86)</f>
        <v>395</v>
      </c>
      <c r="D82" s="60">
        <f>C82-B82</f>
        <v>111.22000000000003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94.78</v>
      </c>
      <c r="H83" s="54">
        <v>125</v>
      </c>
      <c r="I83" s="63">
        <f t="shared" si="4"/>
        <v>30.22</v>
      </c>
      <c r="J83" s="97">
        <f>Jan!I83+Feb!I83+Mar!I83</f>
        <v>-115.19</v>
      </c>
      <c r="K83" s="84"/>
      <c r="L83" s="41">
        <v>94.78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</f>
        <v>92.95</v>
      </c>
      <c r="K84" s="84"/>
      <c r="L84" s="41"/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189</v>
      </c>
      <c r="H85" s="54">
        <v>100</v>
      </c>
      <c r="I85" s="63">
        <f t="shared" si="4"/>
        <v>-89</v>
      </c>
      <c r="J85" s="97">
        <f>Jan!I85+Feb!I85+Mar!I85</f>
        <v>111</v>
      </c>
      <c r="K85" s="84"/>
      <c r="L85" s="41"/>
      <c r="M85" s="42">
        <f>54+135</f>
        <v>189</v>
      </c>
      <c r="N85" s="42"/>
      <c r="O85" s="54" t="s">
        <v>676</v>
      </c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</f>
        <v>360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208</v>
      </c>
      <c r="C88" s="60">
        <f>SUM(H89:H91)</f>
        <v>162</v>
      </c>
      <c r="D88" s="60">
        <f>C88-B88</f>
        <v>-46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208</v>
      </c>
      <c r="H89" s="54">
        <v>57.5</v>
      </c>
      <c r="I89" s="63">
        <f t="shared" si="4"/>
        <v>-150.5</v>
      </c>
      <c r="J89" s="97">
        <f>Jan!I89+Feb!I89+Mar!I89</f>
        <v>-729.5</v>
      </c>
      <c r="K89" s="84"/>
      <c r="L89" s="41"/>
      <c r="M89" s="42">
        <v>208</v>
      </c>
      <c r="N89" s="42"/>
      <c r="O89" s="54" t="s">
        <v>661</v>
      </c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</f>
        <v>205.5</v>
      </c>
      <c r="K90" s="84"/>
      <c r="L90" s="41">
        <f>52-52</f>
        <v>0</v>
      </c>
      <c r="M90" s="42"/>
      <c r="N90" s="42"/>
      <c r="O90" s="54" t="s">
        <v>661</v>
      </c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</f>
        <v>108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27.339999999999996</v>
      </c>
      <c r="C93" s="60">
        <f>SUM(H94:H100)</f>
        <v>178</v>
      </c>
      <c r="D93" s="60">
        <f>C93-B93</f>
        <v>150.66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-9.64</v>
      </c>
      <c r="H94" s="54">
        <v>20</v>
      </c>
      <c r="I94" s="63">
        <f t="shared" si="4"/>
        <v>29.64</v>
      </c>
      <c r="J94" s="97">
        <f>Jan!I94+Feb!I94+Mar!I94</f>
        <v>-3.5600000000000023</v>
      </c>
      <c r="K94" s="84"/>
      <c r="L94" s="41"/>
      <c r="M94" s="42">
        <v>-9.64</v>
      </c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</f>
        <v>-6.43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</f>
        <v>161.69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</f>
        <v>45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</f>
        <v>105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</f>
        <v>78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36.979999999999997</v>
      </c>
      <c r="H100" s="54">
        <v>12</v>
      </c>
      <c r="I100" s="63">
        <f t="shared" si="4"/>
        <v>-24.979999999999997</v>
      </c>
      <c r="J100" s="97">
        <f>Jan!I100+Feb!I100+Mar!I100</f>
        <v>-0.97999999999999687</v>
      </c>
      <c r="K100" s="84"/>
      <c r="L100" s="41"/>
      <c r="M100" s="42">
        <v>36.979999999999997</v>
      </c>
      <c r="N100" s="42"/>
      <c r="O100" s="54" t="s">
        <v>673</v>
      </c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2.77</v>
      </c>
      <c r="C102" s="60">
        <f>SUM(H103:H105)</f>
        <v>130</v>
      </c>
      <c r="D102" s="60">
        <f>C102-B102</f>
        <v>127.23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</f>
        <v>-211.36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2.77</v>
      </c>
      <c r="H104" s="54">
        <v>60</v>
      </c>
      <c r="I104" s="63">
        <f t="shared" si="4"/>
        <v>57.23</v>
      </c>
      <c r="J104" s="97">
        <f>Jan!I104+Feb!I104+Mar!I104</f>
        <v>140.19999999999999</v>
      </c>
      <c r="K104" s="84"/>
      <c r="L104" s="41"/>
      <c r="M104" s="42">
        <f>2.77</f>
        <v>2.77</v>
      </c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</f>
        <v>30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176.91</v>
      </c>
      <c r="C107" s="60">
        <f>SUM(H108:H110)</f>
        <v>225</v>
      </c>
      <c r="D107" s="60">
        <f>C107-B107</f>
        <v>48.09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71.3</v>
      </c>
      <c r="H108" s="54">
        <v>90</v>
      </c>
      <c r="I108" s="63">
        <f t="shared" si="4"/>
        <v>18.700000000000003</v>
      </c>
      <c r="J108" s="97">
        <f>Jan!I108+Feb!I108+Mar!I108</f>
        <v>148.69999999999999</v>
      </c>
      <c r="K108" s="84"/>
      <c r="L108" s="41"/>
      <c r="M108" s="42">
        <v>71.3</v>
      </c>
      <c r="N108" s="42"/>
      <c r="O108" s="127" t="s">
        <v>683</v>
      </c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</f>
        <v>-158.39999999999998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105.61</v>
      </c>
      <c r="H110" s="54">
        <v>110</v>
      </c>
      <c r="I110" s="63">
        <f t="shared" si="4"/>
        <v>4.3900000000000006</v>
      </c>
      <c r="J110" s="97">
        <f>Jan!I110+Feb!I110+Mar!I110</f>
        <v>80.589999999999989</v>
      </c>
      <c r="K110" s="84"/>
      <c r="L110" s="41"/>
      <c r="M110" s="42">
        <f>56+49.61</f>
        <v>105.61</v>
      </c>
      <c r="N110" s="42"/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180</v>
      </c>
      <c r="C112" s="60">
        <f>SUM(H113:H115)</f>
        <v>415</v>
      </c>
      <c r="D112" s="60">
        <f>C112-B112</f>
        <v>235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</f>
        <v>450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160</v>
      </c>
      <c r="H114" s="54">
        <v>215</v>
      </c>
      <c r="I114" s="63">
        <f t="shared" si="4"/>
        <v>55</v>
      </c>
      <c r="J114" s="97">
        <f>Jan!I114+Feb!I114+Mar!I114</f>
        <v>165</v>
      </c>
      <c r="K114" s="84"/>
      <c r="L114" s="41">
        <v>160</v>
      </c>
      <c r="M114" s="42"/>
      <c r="N114" s="42"/>
    </row>
    <row r="115" spans="1:15" s="54" customFormat="1" ht="13.5">
      <c r="A115" s="60"/>
      <c r="B115" s="54" t="s">
        <v>526</v>
      </c>
      <c r="G115" s="54">
        <f t="shared" si="3"/>
        <v>20</v>
      </c>
      <c r="H115" s="54">
        <v>50</v>
      </c>
      <c r="I115" s="63">
        <f t="shared" si="4"/>
        <v>30</v>
      </c>
      <c r="J115" s="97">
        <f>Jan!I115+Feb!I115+Mar!I115</f>
        <v>116.03999999999999</v>
      </c>
      <c r="K115" s="84"/>
      <c r="L115" s="41">
        <v>20</v>
      </c>
      <c r="M115" s="42"/>
      <c r="N115" s="42"/>
      <c r="O115" s="54" t="s">
        <v>696</v>
      </c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355.57</v>
      </c>
      <c r="C117" s="60">
        <f>SUM(H118:H128)</f>
        <v>750</v>
      </c>
      <c r="D117" s="60">
        <f>C117-B117</f>
        <v>394.43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60</v>
      </c>
      <c r="H118" s="54">
        <v>100</v>
      </c>
      <c r="I118" s="63">
        <f t="shared" si="4"/>
        <v>40</v>
      </c>
      <c r="J118" s="97">
        <f>Jan!I118+Feb!I118+Mar!I118</f>
        <v>140</v>
      </c>
      <c r="K118" s="84"/>
      <c r="L118" s="41">
        <v>60</v>
      </c>
      <c r="M118" s="42"/>
      <c r="N118" s="42"/>
      <c r="O118" s="54" t="s">
        <v>684</v>
      </c>
    </row>
    <row r="119" spans="1:15" s="54" customFormat="1" ht="14.25" thickBot="1">
      <c r="B119" s="54" t="s">
        <v>511</v>
      </c>
      <c r="G119" s="54">
        <f t="shared" si="3"/>
        <v>258.59999999999997</v>
      </c>
      <c r="H119" s="54">
        <v>500</v>
      </c>
      <c r="I119" s="63">
        <f t="shared" si="4"/>
        <v>241.40000000000003</v>
      </c>
      <c r="J119" s="97">
        <f>Jan!I119+Feb!I119+Mar!I119</f>
        <v>455.21</v>
      </c>
      <c r="K119" s="84"/>
      <c r="L119" s="41">
        <v>100</v>
      </c>
      <c r="M119" s="42">
        <f>(34.61-11.44-9-2.77-8.94)+17.3</f>
        <v>19.760000000000005</v>
      </c>
      <c r="N119" s="42">
        <f>68.53+36.79+1.66+31.86</f>
        <v>138.83999999999997</v>
      </c>
      <c r="O119" s="54" t="s">
        <v>636</v>
      </c>
    </row>
    <row r="120" spans="1:15" s="54" customFormat="1" ht="14.25" thickBot="1">
      <c r="C120" s="54" t="s">
        <v>504</v>
      </c>
      <c r="E120" s="95">
        <f>19.8</f>
        <v>19.8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/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14.99</v>
      </c>
      <c r="H122" s="54">
        <v>40</v>
      </c>
      <c r="I122" s="63">
        <f t="shared" si="4"/>
        <v>25.009999999999998</v>
      </c>
      <c r="J122" s="97">
        <f>Jan!I122+Feb!I122+Mar!I122</f>
        <v>10.74000000000002</v>
      </c>
      <c r="K122" s="84"/>
      <c r="L122" s="41"/>
      <c r="M122" s="42">
        <f>11.44+(16.53-12.98)</f>
        <v>14.99</v>
      </c>
      <c r="N122" s="42"/>
      <c r="O122" s="54" t="s">
        <v>662</v>
      </c>
    </row>
    <row r="123" spans="1:15" s="54" customFormat="1" ht="14.25" thickBot="1">
      <c r="B123" s="54" t="s">
        <v>55</v>
      </c>
      <c r="G123" s="54">
        <f>SUM(L123:N123)</f>
        <v>21.98</v>
      </c>
      <c r="H123" s="54">
        <v>100</v>
      </c>
      <c r="I123" s="63">
        <f t="shared" si="4"/>
        <v>78.02</v>
      </c>
      <c r="J123" s="97">
        <f>Jan!I123+Feb!I123+Mar!I123</f>
        <v>194.7</v>
      </c>
      <c r="K123" s="84"/>
      <c r="L123" s="41"/>
      <c r="M123" s="42">
        <f>9+(4.99+7.99)</f>
        <v>21.98</v>
      </c>
      <c r="N123" s="42"/>
    </row>
    <row r="124" spans="1:15" s="54" customFormat="1" ht="14.25" thickBot="1">
      <c r="C124" s="273" t="s">
        <v>506</v>
      </c>
      <c r="D124" s="274"/>
      <c r="E124" s="95">
        <f>Jan!F136+Feb!F137+Mar!F137+Apr!F137+May!F137+Jun!F137+July!F137+Aug!F137+Sep!F137+Oct!F137+Nov!F137+Dec!F137</f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4.99+7.99</f>
        <v>12.98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f>Jan!F138+Feb!F139+Mar!F139+Apr!F139+May!F139+Jun!F139+July!F139+Aug!F139+Sep!F139+Oct!F139+Nov!F139+Dec!F139</f>
        <v>0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9</f>
        <v>9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43" si="5">SUM(L128:N128)</f>
        <v>0</v>
      </c>
      <c r="H128" s="54">
        <v>10</v>
      </c>
      <c r="I128" s="63">
        <f t="shared" ref="I128:I162" si="6">H128-G128</f>
        <v>10</v>
      </c>
      <c r="J128" s="97">
        <f>Jan!I128+Feb!I128+Mar!I128</f>
        <v>-55.78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8.99</v>
      </c>
      <c r="C130" s="60">
        <f>H131</f>
        <v>140</v>
      </c>
      <c r="D130" s="60">
        <f>I131</f>
        <v>131.01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8.99</v>
      </c>
      <c r="H131" s="54">
        <v>140</v>
      </c>
      <c r="I131" s="63">
        <f t="shared" si="6"/>
        <v>131.01</v>
      </c>
      <c r="J131" s="97">
        <f>Jan!I131+Feb!I131+Mar!I131</f>
        <v>213.98</v>
      </c>
      <c r="K131" s="84"/>
      <c r="L131" s="41"/>
      <c r="M131" s="41">
        <f>8.99</f>
        <v>8.99</v>
      </c>
      <c r="N131" s="42"/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136.30000000000001</v>
      </c>
      <c r="C133" s="60">
        <f>SUM(H134:H136)</f>
        <v>230</v>
      </c>
      <c r="D133" s="60">
        <f>C133-B133</f>
        <v>93.699999999999989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136.30000000000001</v>
      </c>
      <c r="H134" s="54">
        <v>100</v>
      </c>
      <c r="I134" s="63">
        <f t="shared" si="6"/>
        <v>-36.300000000000011</v>
      </c>
      <c r="J134" s="97">
        <f>Jan!I134+Feb!I134+Mar!I134</f>
        <v>81.329999999999984</v>
      </c>
      <c r="K134" s="84"/>
      <c r="L134" s="41"/>
      <c r="M134" s="41">
        <f>65+8.37+11.98+50.95</f>
        <v>136.30000000000001</v>
      </c>
      <c r="N134" s="42"/>
      <c r="O134" s="54" t="s">
        <v>652</v>
      </c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</f>
        <v>300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</f>
        <v>90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Jan!I139+Feb!I139+Mar!I139</f>
        <v>30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121.37</v>
      </c>
      <c r="C141" s="60">
        <f>SUM(H142:H143)</f>
        <v>250</v>
      </c>
      <c r="D141" s="60">
        <f>C141-B141</f>
        <v>128.63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61.370000000000005</v>
      </c>
      <c r="H142" s="54">
        <v>150</v>
      </c>
      <c r="I142" s="63">
        <f t="shared" si="6"/>
        <v>88.63</v>
      </c>
      <c r="J142" s="97">
        <f>Jan!I142+Feb!I142+Mar!I142</f>
        <v>388.63</v>
      </c>
      <c r="K142" s="84"/>
      <c r="L142" s="41"/>
      <c r="M142" s="41">
        <f>28.77+32.6</f>
        <v>61.370000000000005</v>
      </c>
      <c r="N142" s="42"/>
      <c r="O142" s="54" t="s">
        <v>653</v>
      </c>
    </row>
    <row r="143" spans="1:15" s="54" customFormat="1" ht="13.5">
      <c r="B143" s="54" t="s">
        <v>67</v>
      </c>
      <c r="D143" s="54" t="s">
        <v>291</v>
      </c>
      <c r="G143" s="54">
        <f t="shared" si="5"/>
        <v>60</v>
      </c>
      <c r="H143" s="54">
        <v>100</v>
      </c>
      <c r="I143" s="63">
        <f t="shared" si="6"/>
        <v>40</v>
      </c>
      <c r="J143" s="97">
        <f>Jan!I143+Feb!I143+Mar!I143</f>
        <v>224.66</v>
      </c>
      <c r="K143" s="89"/>
      <c r="L143" s="41"/>
      <c r="M143" s="41">
        <v>60</v>
      </c>
      <c r="N143" s="42"/>
      <c r="O143" s="54" t="s">
        <v>682</v>
      </c>
    </row>
    <row r="144" spans="1:15" s="54" customFormat="1" ht="13.5">
      <c r="I144" s="63"/>
      <c r="J144" s="97"/>
      <c r="K144" s="89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0</v>
      </c>
      <c r="C147" s="54">
        <f>SUM(H148:H162)</f>
        <v>410</v>
      </c>
      <c r="D147" s="60">
        <f>C147-B147</f>
        <v>410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0</v>
      </c>
      <c r="H149" s="54">
        <v>100</v>
      </c>
      <c r="I149" s="63">
        <f t="shared" si="6"/>
        <v>100</v>
      </c>
      <c r="J149" s="97">
        <f>Jan!I149+Feb!I149+Mar!I149</f>
        <v>221.59</v>
      </c>
      <c r="L149" s="41"/>
      <c r="M149" s="41"/>
      <c r="N149" s="42"/>
    </row>
    <row r="150" spans="1:14" ht="14.25" thickBot="1">
      <c r="A150" s="95">
        <f>SUM(G149:G153)</f>
        <v>0</v>
      </c>
      <c r="B150" s="54" t="s">
        <v>289</v>
      </c>
      <c r="C150" s="54"/>
      <c r="D150" s="54"/>
      <c r="E150" s="54"/>
      <c r="F150" s="54"/>
      <c r="G150" s="54">
        <f t="shared" si="7"/>
        <v>0</v>
      </c>
      <c r="H150" s="54">
        <v>100</v>
      </c>
      <c r="I150" s="63">
        <f t="shared" si="6"/>
        <v>100</v>
      </c>
      <c r="J150" s="97">
        <f>Jan!I150+Feb!I150+Mar!I150</f>
        <v>192.56</v>
      </c>
      <c r="L150" s="41"/>
      <c r="M150" s="41"/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7"/>
        <v>0</v>
      </c>
      <c r="H151" s="54">
        <v>30</v>
      </c>
      <c r="I151" s="63">
        <f t="shared" si="6"/>
        <v>30</v>
      </c>
      <c r="J151" s="97">
        <f>Jan!I151+Feb!I151+Mar!I151</f>
        <v>90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7"/>
        <v>0</v>
      </c>
      <c r="H152" s="54">
        <v>50</v>
      </c>
      <c r="I152" s="63">
        <f>H152-G152</f>
        <v>50</v>
      </c>
      <c r="J152" s="97">
        <f>Jan!I152+Feb!I152+Mar!I152</f>
        <v>150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>H153-G153</f>
        <v>10</v>
      </c>
      <c r="J153" s="97">
        <f>Jan!I153+Feb!I153+Mar!I153</f>
        <v>30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6"/>
        <v>0</v>
      </c>
      <c r="J156" s="97">
        <f>Jan!I156+Feb!I156+Mar!I156</f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/>
      <c r="I157" s="63">
        <f t="shared" si="6"/>
        <v>0</v>
      </c>
      <c r="J157" s="97">
        <f>Jan!I157+Feb!I157+Mar!I157</f>
        <v>0</v>
      </c>
      <c r="L157" s="41"/>
      <c r="M157" s="41"/>
      <c r="N157" s="42"/>
    </row>
    <row r="158" spans="1:14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6"/>
        <v>0</v>
      </c>
      <c r="J158" s="97">
        <f>Jan!I158+Feb!I158+Mar!I158</f>
        <v>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6"/>
        <v>0</v>
      </c>
      <c r="J159" s="97">
        <f>Jan!I159+Feb!I159+Mar!I159</f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/>
      <c r="I160" s="63">
        <f t="shared" si="6"/>
        <v>0</v>
      </c>
      <c r="J160" s="97">
        <f>Jan!I160+Feb!I160+Mar!I160</f>
        <v>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6"/>
        <v>120</v>
      </c>
      <c r="J162" s="97">
        <f>Jan!I162+Feb!I162+Mar!I162</f>
        <v>360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opLeftCell="A93" zoomScale="90" zoomScaleNormal="90" workbookViewId="0">
      <selection activeCell="E80" sqref="E80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7">
      <c r="A1" s="73" t="s">
        <v>202</v>
      </c>
      <c r="B1" s="74">
        <v>2014</v>
      </c>
      <c r="C1" s="74"/>
      <c r="L1" s="75" t="s">
        <v>557</v>
      </c>
    </row>
    <row r="2" spans="1:17">
      <c r="A2" s="73" t="s">
        <v>191</v>
      </c>
      <c r="B2" s="75" t="s">
        <v>9</v>
      </c>
      <c r="C2" s="75"/>
      <c r="M2" s="75" t="s">
        <v>540</v>
      </c>
      <c r="Q2"/>
    </row>
    <row r="3" spans="1:17">
      <c r="M3" s="75" t="s">
        <v>539</v>
      </c>
      <c r="O3" s="77"/>
      <c r="Q3"/>
    </row>
    <row r="4" spans="1:17">
      <c r="A4" s="73" t="s">
        <v>4</v>
      </c>
      <c r="B4" s="78">
        <f>SUM(G5:G8)</f>
        <v>7563.4700000000012</v>
      </c>
      <c r="C4" s="78"/>
      <c r="F4" s="100"/>
      <c r="G4" s="67" t="s">
        <v>34</v>
      </c>
      <c r="L4" s="79"/>
      <c r="M4" s="67" t="s">
        <v>739</v>
      </c>
      <c r="O4" s="77"/>
      <c r="Q4"/>
    </row>
    <row r="5" spans="1:17" ht="12.75">
      <c r="A5" s="67" t="s">
        <v>25</v>
      </c>
      <c r="B5" s="128">
        <v>3440.57</v>
      </c>
      <c r="C5" s="129">
        <v>3499.55</v>
      </c>
      <c r="F5" s="100"/>
      <c r="G5" s="128">
        <f>SUM(B5:E5)</f>
        <v>6940.1200000000008</v>
      </c>
      <c r="H5" s="79"/>
      <c r="I5" s="79"/>
      <c r="J5" s="79"/>
      <c r="K5" s="83"/>
      <c r="L5" s="79"/>
      <c r="M5" s="67" t="s">
        <v>738</v>
      </c>
      <c r="O5" s="77"/>
      <c r="Q5"/>
    </row>
    <row r="6" spans="1:17" ht="12.75">
      <c r="A6" s="67" t="s">
        <v>251</v>
      </c>
      <c r="C6" s="77"/>
      <c r="F6" s="100"/>
      <c r="G6" s="128">
        <f>SUM(B6:E6)</f>
        <v>0</v>
      </c>
      <c r="H6" s="79"/>
      <c r="I6" s="79"/>
      <c r="J6" s="79"/>
      <c r="K6" s="83"/>
      <c r="L6" s="79"/>
      <c r="M6" s="67" t="s">
        <v>749</v>
      </c>
      <c r="O6" s="77"/>
    </row>
    <row r="7" spans="1:17" ht="12.75">
      <c r="A7" s="67" t="s">
        <v>27</v>
      </c>
      <c r="B7" s="67">
        <v>311.68</v>
      </c>
      <c r="C7" s="67">
        <v>311.67</v>
      </c>
      <c r="F7" s="100"/>
      <c r="G7" s="128">
        <f>SUM(B7:E7)</f>
        <v>623.35</v>
      </c>
      <c r="H7" s="79"/>
      <c r="I7" s="79"/>
      <c r="J7" s="79"/>
      <c r="K7" s="83"/>
      <c r="L7" s="79"/>
      <c r="M7" s="67" t="s">
        <v>750</v>
      </c>
      <c r="O7" s="77"/>
    </row>
    <row r="8" spans="1:17">
      <c r="F8" s="100"/>
      <c r="G8" s="128"/>
      <c r="H8" s="79"/>
      <c r="I8" s="79"/>
      <c r="J8" s="79"/>
      <c r="K8" s="83"/>
      <c r="P8" s="77"/>
    </row>
    <row r="9" spans="1:17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7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7" s="54" customFormat="1" ht="13.5">
      <c r="A11" s="60" t="s">
        <v>297</v>
      </c>
      <c r="B11" s="277">
        <f>G11</f>
        <v>1350</v>
      </c>
      <c r="D11" s="54" t="s">
        <v>299</v>
      </c>
      <c r="E11" s="54">
        <f>G11/B4</f>
        <v>0.17848950283401663</v>
      </c>
      <c r="F11" s="275"/>
      <c r="G11" s="55">
        <f>Tithe!D9</f>
        <v>1350</v>
      </c>
      <c r="H11" s="54">
        <v>1200</v>
      </c>
      <c r="I11" s="66">
        <f>H11-G11</f>
        <v>-150</v>
      </c>
      <c r="J11" s="99">
        <f>Jan!I11+Feb!I11+Mar!I11+Apr!I11</f>
        <v>-110</v>
      </c>
      <c r="K11" s="85"/>
    </row>
    <row r="12" spans="1:17" s="54" customFormat="1" ht="13.5">
      <c r="I12" s="66"/>
      <c r="J12" s="99"/>
      <c r="K12" s="86"/>
      <c r="L12" s="286" t="s">
        <v>558</v>
      </c>
    </row>
    <row r="13" spans="1:17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L13" s="54" t="s">
        <v>700</v>
      </c>
    </row>
    <row r="14" spans="1:17" s="54" customFormat="1" ht="13.5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>Jan!I14+Feb!I14+Mar!I14+Apr!I14</f>
        <v>0</v>
      </c>
      <c r="K14" s="86"/>
      <c r="L14" s="54" t="s">
        <v>730</v>
      </c>
    </row>
    <row r="15" spans="1:17" s="54" customFormat="1" ht="13.5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>Jan!I15+Feb!I15+Mar!I15+Apr!I15</f>
        <v>0</v>
      </c>
      <c r="K15" s="86"/>
      <c r="L15" s="54" t="s">
        <v>743</v>
      </c>
    </row>
    <row r="16" spans="1:17" s="54" customFormat="1" ht="13.5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>Jan!I16+Feb!I16+Mar!I16+Apr!I16</f>
        <v>0</v>
      </c>
      <c r="K16" s="86"/>
      <c r="L16" s="54" t="s">
        <v>731</v>
      </c>
    </row>
    <row r="17" spans="1:12" s="54" customFormat="1" ht="13.5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>Jan!I17+Feb!I17+Mar!I17+Apr!I17</f>
        <v>0</v>
      </c>
      <c r="K17" s="86"/>
    </row>
    <row r="18" spans="1:12" s="54" customFormat="1" ht="15.95" customHeight="1">
      <c r="B18" s="60" t="s">
        <v>284</v>
      </c>
      <c r="E18" s="54" t="s">
        <v>524</v>
      </c>
      <c r="F18" s="275"/>
      <c r="G18" s="55">
        <v>50</v>
      </c>
      <c r="H18" s="54">
        <v>50</v>
      </c>
      <c r="I18" s="66">
        <f t="shared" si="0"/>
        <v>0</v>
      </c>
      <c r="J18" s="99">
        <f>Jan!I18+Feb!I18+Mar!I18+Apr!I18</f>
        <v>0</v>
      </c>
      <c r="K18" s="86"/>
    </row>
    <row r="19" spans="1:12" s="54" customFormat="1" ht="15.95" customHeight="1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>Jan!I19+Feb!I19+Mar!I19+Apr!I19</f>
        <v>0</v>
      </c>
      <c r="K19" s="86"/>
    </row>
    <row r="20" spans="1:12" s="54" customFormat="1" ht="15.95" customHeight="1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>Jan!I20+Feb!I20+Mar!I20+Apr!I20</f>
        <v>0</v>
      </c>
      <c r="K20" s="86"/>
    </row>
    <row r="21" spans="1:12" s="54" customFormat="1" ht="15.95" customHeight="1">
      <c r="A21" s="60"/>
      <c r="F21" s="275"/>
      <c r="G21" s="55"/>
      <c r="I21" s="66"/>
      <c r="J21" s="99"/>
      <c r="K21" s="86"/>
      <c r="L21" s="60" t="s">
        <v>559</v>
      </c>
    </row>
    <row r="22" spans="1:12" s="54" customFormat="1" ht="15.95" customHeight="1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>Jan!I22+Feb!I22+Mar!I22+Apr!I22</f>
        <v>0</v>
      </c>
      <c r="K22" s="86"/>
    </row>
    <row r="23" spans="1:12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2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2" s="54" customFormat="1" ht="15.95" customHeight="1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</f>
        <v>2000</v>
      </c>
      <c r="K25" s="86"/>
    </row>
    <row r="26" spans="1:12" s="54" customFormat="1" ht="12.75" customHeight="1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</f>
        <v>1200</v>
      </c>
      <c r="K26" s="86"/>
    </row>
    <row r="27" spans="1:12" s="54" customFormat="1" ht="12.75" customHeight="1">
      <c r="A27" s="60"/>
      <c r="F27" s="275"/>
      <c r="G27" s="68"/>
      <c r="H27" s="68"/>
      <c r="I27" s="70"/>
      <c r="J27" s="81"/>
      <c r="K27" s="81"/>
    </row>
    <row r="28" spans="1:12" s="54" customFormat="1" ht="12.75" customHeight="1" thickBot="1">
      <c r="A28" s="60"/>
      <c r="B28" s="60"/>
      <c r="F28" s="275"/>
      <c r="G28" s="69">
        <f>SUM(G11:G26)</f>
        <v>4100</v>
      </c>
      <c r="H28" s="69">
        <f>SUM(H11:H26)</f>
        <v>4750</v>
      </c>
      <c r="I28" s="69">
        <f>SUM(I11:I26)</f>
        <v>650</v>
      </c>
      <c r="J28" s="69">
        <f>SUM(J12:J26)</f>
        <v>3200</v>
      </c>
      <c r="K28" s="87"/>
    </row>
    <row r="29" spans="1:12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2" s="54" customFormat="1" ht="12.75" customHeight="1" thickBot="1">
      <c r="A30" s="60" t="s">
        <v>305</v>
      </c>
      <c r="B30" s="60"/>
      <c r="F30" s="275"/>
      <c r="G30" s="95">
        <v>1099</v>
      </c>
      <c r="H30" s="58" t="s">
        <v>748</v>
      </c>
      <c r="I30" s="58"/>
      <c r="J30" s="58"/>
      <c r="K30" s="87"/>
      <c r="L30" s="54" t="s">
        <v>734</v>
      </c>
    </row>
    <row r="31" spans="1:12" s="54" customFormat="1" ht="12.75" customHeight="1">
      <c r="A31" s="106" t="s">
        <v>298</v>
      </c>
      <c r="B31" s="60"/>
      <c r="F31" s="275"/>
      <c r="G31" s="281">
        <f>B4-G28+G30</f>
        <v>4562.4700000000012</v>
      </c>
      <c r="H31" s="58"/>
      <c r="I31" s="58"/>
      <c r="J31" s="58"/>
      <c r="K31" s="87"/>
      <c r="L31" s="58"/>
    </row>
    <row r="32" spans="1:12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4536.3799999999992</v>
      </c>
      <c r="H32" s="58"/>
      <c r="I32" s="58"/>
      <c r="J32" s="58"/>
      <c r="K32" s="87"/>
      <c r="L32" s="58"/>
    </row>
    <row r="33" spans="1:14" s="54" customFormat="1" ht="12.75" customHeight="1">
      <c r="A33" s="60" t="s">
        <v>655</v>
      </c>
      <c r="B33" s="60"/>
      <c r="F33" s="275"/>
      <c r="G33" s="80">
        <f>G31-G32-M42</f>
        <v>26.090000000001965</v>
      </c>
      <c r="H33" s="58"/>
      <c r="I33" s="58"/>
      <c r="J33" s="58"/>
      <c r="K33" s="87"/>
      <c r="L33" s="58"/>
    </row>
    <row r="34" spans="1:14" s="54" customFormat="1" ht="12.75" customHeight="1">
      <c r="H34" s="58"/>
      <c r="I34" s="58"/>
      <c r="J34" s="58"/>
      <c r="K34" s="87"/>
      <c r="L34" s="58"/>
    </row>
    <row r="35" spans="1:14" s="54" customFormat="1" ht="12.75" customHeight="1">
      <c r="A35" s="60" t="s">
        <v>527</v>
      </c>
      <c r="B35" s="60"/>
      <c r="E35" s="54">
        <f>B47</f>
        <v>1014.69</v>
      </c>
      <c r="F35" s="275"/>
      <c r="G35" s="135"/>
      <c r="H35" s="58"/>
      <c r="I35" s="58"/>
      <c r="J35" s="58"/>
      <c r="K35" s="87"/>
      <c r="L35" s="58"/>
    </row>
    <row r="36" spans="1:14" s="54" customFormat="1" ht="12.75" customHeight="1">
      <c r="A36" s="60" t="s">
        <v>491</v>
      </c>
      <c r="B36" s="60"/>
      <c r="E36" s="54">
        <f>B76</f>
        <v>3163.96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0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1201.19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493.09000000000003</v>
      </c>
      <c r="F40" s="275"/>
      <c r="G40" s="105"/>
      <c r="H40" s="58"/>
      <c r="I40" s="58"/>
      <c r="J40" s="58"/>
      <c r="K40" s="87"/>
      <c r="L40" s="58"/>
      <c r="M40" s="127"/>
    </row>
    <row r="41" spans="1:14" s="54" customFormat="1" ht="14.25" thickBot="1">
      <c r="A41" s="106"/>
      <c r="B41" s="60" t="s">
        <v>532</v>
      </c>
      <c r="D41" s="54">
        <f>B112</f>
        <v>160</v>
      </c>
      <c r="F41" s="275"/>
      <c r="G41" s="105"/>
      <c r="H41" s="58"/>
      <c r="I41" s="58"/>
      <c r="J41" s="58"/>
      <c r="K41" s="87"/>
      <c r="L41" s="95"/>
      <c r="M41" s="54">
        <f>M46+M44+M43+M42</f>
        <v>2856.44</v>
      </c>
      <c r="N41" s="54">
        <f>N46-N42</f>
        <v>560.79</v>
      </c>
    </row>
    <row r="42" spans="1:14" s="54" customFormat="1" ht="13.5">
      <c r="B42" s="60" t="s">
        <v>533</v>
      </c>
      <c r="C42" s="61"/>
      <c r="D42" s="61">
        <f>B130</f>
        <v>297.25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1012.43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357.73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4536.3799999999992</v>
      </c>
      <c r="H46" s="101">
        <f>SUM(H48:H162)</f>
        <v>4673</v>
      </c>
      <c r="I46" s="101">
        <f>H46-G46</f>
        <v>136.6200000000008</v>
      </c>
      <c r="J46" s="101">
        <f>SUM(J48:J162)</f>
        <v>4249.1900000000005</v>
      </c>
      <c r="K46" s="88"/>
      <c r="L46" s="92">
        <f>SUM(L48:L162)</f>
        <v>1269.1500000000001</v>
      </c>
      <c r="M46" s="92">
        <f>SUM(M48:M162)</f>
        <v>2706.44</v>
      </c>
      <c r="N46" s="140">
        <f>SUM(N48:N162)</f>
        <v>560.79</v>
      </c>
    </row>
    <row r="47" spans="1:14" s="54" customFormat="1" ht="14.25" thickBot="1">
      <c r="A47" s="106" t="s">
        <v>492</v>
      </c>
      <c r="B47" s="273">
        <f>B48+B61+B65</f>
        <v>1014.69</v>
      </c>
      <c r="C47" s="273">
        <f>C48+C61+C65</f>
        <v>1378</v>
      </c>
      <c r="D47" s="95">
        <f>D48+D61+D65</f>
        <v>363.30999999999995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553.96</v>
      </c>
      <c r="C48" s="60">
        <f>SUM(H49:H57)</f>
        <v>911</v>
      </c>
      <c r="D48" s="60">
        <f>SUM(I49:I57)</f>
        <v>357.03999999999996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</f>
        <v>400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</f>
        <v>390.36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</f>
        <v>400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</f>
        <v>0.15999999999985448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</f>
        <v>-452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1687.49</v>
      </c>
      <c r="H55" s="54">
        <f>1636.68+50.81</f>
        <v>1687.49</v>
      </c>
      <c r="I55" s="63">
        <f t="shared" si="2"/>
        <v>0</v>
      </c>
      <c r="J55" s="97">
        <f>Jan!I55+Feb!I55+Mar!I55+Apr!I55</f>
        <v>0</v>
      </c>
      <c r="K55" s="84"/>
      <c r="L55" s="41">
        <v>1687.49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312.51</v>
      </c>
      <c r="H56" s="54">
        <v>312.51</v>
      </c>
      <c r="I56" s="63">
        <f t="shared" si="2"/>
        <v>0</v>
      </c>
      <c r="J56" s="97">
        <f>Jan!I56+Feb!I56+Mar!I56+Apr!I56</f>
        <v>0</v>
      </c>
      <c r="K56" s="84"/>
      <c r="L56" s="41">
        <v>312.51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-2000</v>
      </c>
      <c r="H57" s="54">
        <v>-2000</v>
      </c>
      <c r="I57" s="63">
        <f t="shared" si="2"/>
        <v>0</v>
      </c>
      <c r="J57" s="97">
        <f>Jan!I57+Feb!I57+Mar!I57+Apr!I57</f>
        <v>0</v>
      </c>
      <c r="K57" s="84"/>
      <c r="L57" s="41">
        <v>-2000</v>
      </c>
      <c r="M57" s="42"/>
      <c r="N57" s="42"/>
    </row>
    <row r="58" spans="1:14" s="54" customFormat="1" ht="13.5">
      <c r="A58" s="60"/>
      <c r="I58" s="63"/>
      <c r="J58" s="97"/>
      <c r="K58" s="84"/>
      <c r="L58" s="41"/>
      <c r="M58" s="42"/>
      <c r="N58" s="42"/>
    </row>
    <row r="59" spans="1:14" s="54" customFormat="1" ht="13.5">
      <c r="A59" s="60"/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164.33</v>
      </c>
      <c r="C61" s="60">
        <f>SUM(H62:H63)</f>
        <v>167</v>
      </c>
      <c r="D61" s="60">
        <f>C61-B61</f>
        <v>2.6699999999999875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69.150000000000006</v>
      </c>
      <c r="H62" s="54">
        <v>67</v>
      </c>
      <c r="I62" s="63">
        <f t="shared" ref="I62:I123" si="4">H62-G62</f>
        <v>-2.1500000000000057</v>
      </c>
      <c r="J62" s="97">
        <f>Jan!I62+Feb!I62+Mar!I62+Apr!I62</f>
        <v>-4.6000000000000227</v>
      </c>
      <c r="K62" s="84"/>
      <c r="L62" s="41"/>
      <c r="M62" s="42">
        <v>69.150000000000006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95.18</v>
      </c>
      <c r="H63" s="54">
        <v>100</v>
      </c>
      <c r="I63" s="63">
        <f t="shared" si="4"/>
        <v>4.8199999999999932</v>
      </c>
      <c r="J63" s="97">
        <f>Jan!I63+Feb!I63+Mar!I63+Apr!I63</f>
        <v>-10.720000000000013</v>
      </c>
      <c r="K63" s="84"/>
      <c r="L63" s="41"/>
      <c r="M63" s="42">
        <v>95.18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4" s="54" customFormat="1" ht="13.5">
      <c r="A65" s="60" t="s">
        <v>486</v>
      </c>
      <c r="B65" s="60">
        <f>SUM(G66:G74)</f>
        <v>296.39999999999998</v>
      </c>
      <c r="C65" s="60">
        <f>SUM(H66:H74)</f>
        <v>300</v>
      </c>
      <c r="D65" s="60">
        <f>C65-B65</f>
        <v>3.6000000000000227</v>
      </c>
      <c r="I65" s="63"/>
      <c r="J65" s="97"/>
      <c r="K65" s="84"/>
      <c r="L65" s="41"/>
      <c r="M65" s="42"/>
      <c r="N65" s="42"/>
    </row>
    <row r="66" spans="1:14" s="54" customFormat="1" ht="13.5">
      <c r="B66" s="54" t="s">
        <v>58</v>
      </c>
      <c r="G66" s="54">
        <f t="shared" si="3"/>
        <v>45.23</v>
      </c>
      <c r="H66" s="54">
        <v>60</v>
      </c>
      <c r="I66" s="63">
        <f t="shared" si="4"/>
        <v>14.770000000000003</v>
      </c>
      <c r="J66" s="97">
        <f>Jan!I66+Feb!I66+Mar!I66+Apr!I66</f>
        <v>22.6</v>
      </c>
      <c r="K66" s="84"/>
      <c r="L66" s="41"/>
      <c r="M66" s="42">
        <f>45.23</f>
        <v>45.23</v>
      </c>
      <c r="N66" s="42"/>
    </row>
    <row r="67" spans="1:14" s="54" customFormat="1" ht="13.5">
      <c r="B67" s="54" t="s">
        <v>59</v>
      </c>
      <c r="D67" s="54" t="s">
        <v>60</v>
      </c>
      <c r="G67" s="54">
        <f t="shared" si="3"/>
        <v>119.36</v>
      </c>
      <c r="H67" s="54">
        <v>130</v>
      </c>
      <c r="I67" s="63">
        <f t="shared" si="4"/>
        <v>10.64</v>
      </c>
      <c r="J67" s="97">
        <f>Jan!I67+Feb!I67+Mar!I67+Apr!I67</f>
        <v>55.64</v>
      </c>
      <c r="K67" s="84"/>
      <c r="L67" s="41"/>
      <c r="M67" s="42">
        <f>85+34.36</f>
        <v>119.36</v>
      </c>
      <c r="N67" s="42"/>
    </row>
    <row r="68" spans="1:14" s="54" customFormat="1" ht="13.5">
      <c r="I68" s="63"/>
      <c r="J68" s="97"/>
      <c r="K68" s="84"/>
      <c r="L68" s="41"/>
      <c r="M68" s="42"/>
      <c r="N68" s="42"/>
    </row>
    <row r="69" spans="1:14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4" s="54" customFormat="1" ht="13.5">
      <c r="B70" s="54" t="s">
        <v>482</v>
      </c>
      <c r="G70" s="54">
        <f t="shared" si="3"/>
        <v>7.04</v>
      </c>
      <c r="H70" s="54">
        <v>25</v>
      </c>
      <c r="I70" s="63">
        <f t="shared" si="4"/>
        <v>17.96</v>
      </c>
      <c r="J70" s="97">
        <f>Jan!I70+Feb!I70+Mar!I70+Apr!I70</f>
        <v>-4.470000000000006</v>
      </c>
      <c r="K70" s="84"/>
      <c r="L70" s="41"/>
      <c r="M70" s="42">
        <f>7.04</f>
        <v>7.04</v>
      </c>
      <c r="N70" s="42"/>
    </row>
    <row r="71" spans="1:14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Jan!I71+Feb!I71+Mar!I71+Apr!I71</f>
        <v>-667.49</v>
      </c>
      <c r="K71" s="84"/>
      <c r="L71" s="41"/>
      <c r="M71" s="42"/>
      <c r="N71" s="42"/>
    </row>
    <row r="72" spans="1:14" s="54" customFormat="1" ht="13.5">
      <c r="A72" s="60"/>
      <c r="B72" s="54" t="s">
        <v>698</v>
      </c>
      <c r="G72" s="54">
        <f t="shared" si="3"/>
        <v>77.47</v>
      </c>
      <c r="H72" s="54">
        <v>20</v>
      </c>
      <c r="I72" s="63">
        <f t="shared" si="4"/>
        <v>-57.47</v>
      </c>
      <c r="J72" s="97">
        <f>Jan!I72+Feb!I72+Mar!I72+Apr!I72</f>
        <v>-6.4099999999999966</v>
      </c>
      <c r="K72" s="84"/>
      <c r="L72" s="41"/>
      <c r="M72" s="42">
        <f>58.04+9.8+9.63</f>
        <v>77.47</v>
      </c>
      <c r="N72" s="42"/>
    </row>
    <row r="73" spans="1:14" s="54" customFormat="1" ht="13.5">
      <c r="A73" s="60"/>
      <c r="I73" s="63"/>
      <c r="J73" s="97"/>
      <c r="K73" s="84"/>
      <c r="L73" s="41"/>
      <c r="M73" s="42"/>
      <c r="N73" s="42"/>
    </row>
    <row r="74" spans="1:14" s="54" customFormat="1" ht="13.5">
      <c r="A74" s="60" t="s">
        <v>484</v>
      </c>
      <c r="B74" s="54" t="s">
        <v>61</v>
      </c>
      <c r="G74" s="54">
        <f t="shared" si="3"/>
        <v>47.300000000000004</v>
      </c>
      <c r="H74" s="54">
        <v>35</v>
      </c>
      <c r="I74" s="63">
        <f t="shared" si="4"/>
        <v>-12.300000000000004</v>
      </c>
      <c r="J74" s="97">
        <f>Jan!I74+Feb!I74+Mar!I74+Apr!I74</f>
        <v>62.940000000000005</v>
      </c>
      <c r="K74" s="84"/>
      <c r="L74" s="41"/>
      <c r="M74" s="42">
        <f>6.69+14.84+14.84+3.93+7</f>
        <v>47.300000000000004</v>
      </c>
      <c r="N74" s="42"/>
    </row>
    <row r="75" spans="1:14" s="54" customFormat="1" ht="14.25" thickBot="1">
      <c r="A75" s="60"/>
      <c r="I75" s="63"/>
      <c r="J75" s="97"/>
      <c r="K75" s="84"/>
      <c r="L75" s="41"/>
      <c r="M75" s="42"/>
      <c r="N75" s="42"/>
    </row>
    <row r="76" spans="1:14" s="54" customFormat="1" ht="14.25" thickBot="1">
      <c r="A76" s="106" t="s">
        <v>491</v>
      </c>
      <c r="B76" s="151">
        <f>B78+B82+B88+B93+B102+B107+B112+B117+B130+B133+B138+B141</f>
        <v>3163.96</v>
      </c>
      <c r="C76" s="151">
        <f>C78+C82+C88+C93+C102+C107+C112+C117+C130+C133+C138+C141</f>
        <v>2885</v>
      </c>
      <c r="D76" s="151">
        <f>D78+D82+D88+D93+D102+D107+D112+D117+D130+D133+D138+D141</f>
        <v>-278.96000000000004</v>
      </c>
      <c r="I76" s="63"/>
      <c r="J76" s="97"/>
      <c r="K76" s="84"/>
      <c r="L76" s="41"/>
      <c r="M76" s="42"/>
      <c r="N76" s="42"/>
    </row>
    <row r="77" spans="1:14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4" s="54" customFormat="1" ht="13.5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4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4" s="54" customFormat="1" ht="13.5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5" s="54" customFormat="1" ht="13.5">
      <c r="I81" s="63"/>
      <c r="J81" s="97"/>
      <c r="K81" s="84"/>
      <c r="L81" s="41"/>
      <c r="M81" s="42"/>
      <c r="N81" s="42"/>
    </row>
    <row r="82" spans="1:15" s="54" customFormat="1" ht="13.5">
      <c r="A82" s="60" t="s">
        <v>42</v>
      </c>
      <c r="B82" s="60">
        <f>SUM(G83:G86)</f>
        <v>1201.19</v>
      </c>
      <c r="C82" s="60">
        <f>SUM(H83:H86)</f>
        <v>395</v>
      </c>
      <c r="D82" s="60">
        <f>C82-B82</f>
        <v>-806.19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92.29</v>
      </c>
      <c r="H83" s="54">
        <v>125</v>
      </c>
      <c r="I83" s="63">
        <f t="shared" si="4"/>
        <v>32.709999999999994</v>
      </c>
      <c r="J83" s="97">
        <f>Jan!I83+Feb!I83+Mar!I83+Apr!I83</f>
        <v>-82.48</v>
      </c>
      <c r="K83" s="84"/>
      <c r="L83" s="41">
        <v>92.29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</f>
        <v>142.94999999999999</v>
      </c>
      <c r="K84" s="84"/>
      <c r="L84" s="41"/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996</v>
      </c>
      <c r="H85" s="54">
        <v>100</v>
      </c>
      <c r="I85" s="63">
        <f t="shared" si="4"/>
        <v>-896</v>
      </c>
      <c r="J85" s="97">
        <f>Jan!I85+Feb!I85+Mar!I85+Apr!I85</f>
        <v>-785</v>
      </c>
      <c r="K85" s="84"/>
      <c r="L85" s="41"/>
      <c r="M85" s="42">
        <f>996</f>
        <v>996</v>
      </c>
      <c r="N85" s="42"/>
      <c r="O85" s="54" t="s">
        <v>702</v>
      </c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112.9</v>
      </c>
      <c r="H86" s="54">
        <v>120</v>
      </c>
      <c r="I86" s="63">
        <f t="shared" si="4"/>
        <v>7.0999999999999943</v>
      </c>
      <c r="J86" s="97">
        <f>Jan!I86+Feb!I86+Mar!I86+Apr!I86</f>
        <v>367.1</v>
      </c>
      <c r="K86" s="84"/>
      <c r="L86" s="41">
        <v>112.9</v>
      </c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</f>
        <v>-672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</f>
        <v>274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</f>
        <v>144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0</v>
      </c>
      <c r="C93" s="60">
        <f>SUM(H94:H100)</f>
        <v>178</v>
      </c>
      <c r="D93" s="60">
        <f>C93-B93</f>
        <v>178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0</v>
      </c>
      <c r="H94" s="54">
        <v>20</v>
      </c>
      <c r="I94" s="63">
        <f t="shared" si="4"/>
        <v>20</v>
      </c>
      <c r="J94" s="97">
        <f>Jan!I94+Feb!I94+Mar!I94+Apr!I94</f>
        <v>16.439999999999998</v>
      </c>
      <c r="K94" s="84"/>
      <c r="L94" s="41"/>
      <c r="M94" s="42"/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</f>
        <v>-1.4299999999999997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</f>
        <v>226.69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</f>
        <v>60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Jan!I98+Feb!I98+Mar!I98+Apr!I98</f>
        <v>140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</f>
        <v>104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</f>
        <v>11.020000000000003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</f>
        <v>-151.36000000000001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</f>
        <v>200.2</v>
      </c>
      <c r="K104" s="84"/>
      <c r="L104" s="41"/>
      <c r="M104" s="42"/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</f>
        <v>40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493.09000000000003</v>
      </c>
      <c r="C107" s="60">
        <f>SUM(H108:H110)</f>
        <v>225</v>
      </c>
      <c r="D107" s="60">
        <f>C107-B107</f>
        <v>-268.09000000000003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372.93</v>
      </c>
      <c r="H108" s="54">
        <v>90</v>
      </c>
      <c r="I108" s="63">
        <f t="shared" si="4"/>
        <v>-282.93</v>
      </c>
      <c r="J108" s="97">
        <f>Jan!I108+Feb!I108+Mar!I108+Apr!I108</f>
        <v>-134.23000000000002</v>
      </c>
      <c r="K108" s="84"/>
      <c r="L108" s="41"/>
      <c r="M108" s="42">
        <f>372.93</f>
        <v>372.93</v>
      </c>
      <c r="N108" s="42"/>
      <c r="O108" s="127" t="s">
        <v>697</v>
      </c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</f>
        <v>-133.39999999999998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120.16</v>
      </c>
      <c r="H110" s="54">
        <v>110</v>
      </c>
      <c r="I110" s="63">
        <f t="shared" si="4"/>
        <v>-10.159999999999997</v>
      </c>
      <c r="J110" s="97">
        <f>Jan!I110+Feb!I110+Mar!I110+Apr!I110</f>
        <v>70.429999999999993</v>
      </c>
      <c r="K110" s="84"/>
      <c r="L110" s="41"/>
      <c r="M110" s="42">
        <f>57.56+62.6</f>
        <v>120.16</v>
      </c>
      <c r="N110" s="42"/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160</v>
      </c>
      <c r="C112" s="60">
        <f>SUM(H113:H115)</f>
        <v>415</v>
      </c>
      <c r="D112" s="60">
        <f>C112-B112</f>
        <v>255</v>
      </c>
      <c r="I112" s="63"/>
      <c r="J112" s="97"/>
      <c r="K112" s="84"/>
      <c r="L112" s="41"/>
      <c r="M112" s="42"/>
      <c r="N112" s="42"/>
    </row>
    <row r="113" spans="1:17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Jan!I113+Feb!I113+Mar!I113+Apr!I113</f>
        <v>600</v>
      </c>
      <c r="K113" s="84"/>
      <c r="L113" s="41"/>
      <c r="M113" s="42"/>
      <c r="N113" s="42"/>
    </row>
    <row r="114" spans="1:17" s="54" customFormat="1" ht="13.5">
      <c r="A114" s="60"/>
      <c r="B114" s="54" t="s">
        <v>542</v>
      </c>
      <c r="G114" s="54">
        <f t="shared" si="3"/>
        <v>160</v>
      </c>
      <c r="H114" s="54">
        <v>215</v>
      </c>
      <c r="I114" s="63">
        <f t="shared" si="4"/>
        <v>55</v>
      </c>
      <c r="J114" s="97">
        <f>Jan!I114+Feb!I114+Mar!I114+Apr!I114</f>
        <v>220</v>
      </c>
      <c r="K114" s="84"/>
      <c r="L114" s="41">
        <v>160</v>
      </c>
      <c r="M114" s="42"/>
      <c r="N114" s="42"/>
    </row>
    <row r="115" spans="1:17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</f>
        <v>166.04</v>
      </c>
      <c r="K115" s="84"/>
      <c r="L115" s="41"/>
      <c r="M115" s="42"/>
      <c r="N115" s="42"/>
    </row>
    <row r="116" spans="1:17" s="54" customFormat="1" ht="13.5">
      <c r="A116" s="60"/>
      <c r="I116" s="63"/>
      <c r="J116" s="97"/>
      <c r="K116" s="84"/>
      <c r="L116" s="41"/>
      <c r="M116" s="42"/>
      <c r="N116" s="42"/>
    </row>
    <row r="117" spans="1:17" s="54" customFormat="1" ht="13.5">
      <c r="A117" s="60" t="s">
        <v>53</v>
      </c>
      <c r="B117" s="60">
        <f>SUM(G118:G128)</f>
        <v>904.59999999999991</v>
      </c>
      <c r="C117" s="60">
        <f>SUM(H118:H128)</f>
        <v>750</v>
      </c>
      <c r="D117" s="60">
        <f>C117-B117</f>
        <v>-154.59999999999991</v>
      </c>
      <c r="I117" s="63"/>
      <c r="J117" s="97"/>
      <c r="K117" s="84"/>
      <c r="L117" s="41"/>
      <c r="M117" s="42"/>
      <c r="N117" s="42"/>
    </row>
    <row r="118" spans="1:17" s="54" customFormat="1" ht="13.5">
      <c r="B118" s="54" t="s">
        <v>54</v>
      </c>
      <c r="G118" s="54">
        <f t="shared" si="3"/>
        <v>22</v>
      </c>
      <c r="H118" s="54">
        <v>100</v>
      </c>
      <c r="I118" s="63">
        <f t="shared" si="4"/>
        <v>78</v>
      </c>
      <c r="J118" s="97">
        <f>Jan!I118+Feb!I118+Mar!I118+Apr!I118</f>
        <v>218</v>
      </c>
      <c r="K118" s="84"/>
      <c r="L118" s="41">
        <f>40-18</f>
        <v>22</v>
      </c>
      <c r="M118" s="42"/>
      <c r="N118" s="42"/>
      <c r="O118" s="54" t="s">
        <v>684</v>
      </c>
    </row>
    <row r="119" spans="1:17" s="54" customFormat="1" ht="14.25" thickBot="1">
      <c r="B119" s="54" t="s">
        <v>511</v>
      </c>
      <c r="G119" s="54">
        <f t="shared" si="3"/>
        <v>768.9</v>
      </c>
      <c r="H119" s="54">
        <v>500</v>
      </c>
      <c r="I119" s="63">
        <f t="shared" si="4"/>
        <v>-268.89999999999998</v>
      </c>
      <c r="J119" s="97">
        <f>Jan!I119+Feb!I119+Mar!I119+Apr!I119</f>
        <v>186.31</v>
      </c>
      <c r="K119" s="84"/>
      <c r="L119" s="41">
        <v>100</v>
      </c>
      <c r="M119" s="42">
        <f>57.05+77.05</f>
        <v>134.1</v>
      </c>
      <c r="N119" s="42">
        <f>33.46+83.59+34.18+15.8+61.47+57.42+17.56+44.96+107.42+56.79+22.15</f>
        <v>534.79999999999995</v>
      </c>
      <c r="O119" s="54" t="s">
        <v>684</v>
      </c>
      <c r="Q119" s="54" t="s">
        <v>800</v>
      </c>
    </row>
    <row r="120" spans="1:17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7" s="54" customFormat="1" ht="14.25" thickBot="1">
      <c r="C121" s="54" t="s">
        <v>505</v>
      </c>
      <c r="E121" s="95">
        <f>Jan!F133+Feb!F134+Mar!F134+Apr!F134+May!F134+Jun!F134+July!F134+Aug!F134+Sep!F134+Oct!F134+Nov!F134+Dec!F134</f>
        <v>0</v>
      </c>
      <c r="I121" s="63"/>
      <c r="J121" s="97"/>
      <c r="K121" s="84"/>
      <c r="L121" s="41"/>
      <c r="M121" s="42"/>
      <c r="N121" s="42"/>
    </row>
    <row r="122" spans="1:17" s="54" customFormat="1" ht="13.5">
      <c r="B122" s="54" t="s">
        <v>322</v>
      </c>
      <c r="G122" s="54">
        <f>SUM(L122:N122)</f>
        <v>27.93</v>
      </c>
      <c r="H122" s="54">
        <v>40</v>
      </c>
      <c r="I122" s="63">
        <f t="shared" si="4"/>
        <v>12.07</v>
      </c>
      <c r="J122" s="97">
        <f>Jan!I122+Feb!I122+Mar!I122+Apr!I122</f>
        <v>22.81000000000002</v>
      </c>
      <c r="K122" s="84"/>
      <c r="L122" s="41"/>
      <c r="M122" s="42">
        <f>19.96+5.97</f>
        <v>25.93</v>
      </c>
      <c r="N122" s="42">
        <f>14.99-12.99</f>
        <v>2</v>
      </c>
    </row>
    <row r="123" spans="1:17" s="54" customFormat="1" ht="14.25" thickBot="1">
      <c r="B123" s="54" t="s">
        <v>55</v>
      </c>
      <c r="G123" s="54">
        <f>SUM(L123:N123)</f>
        <v>23.99</v>
      </c>
      <c r="H123" s="54">
        <v>100</v>
      </c>
      <c r="I123" s="63">
        <f t="shared" si="4"/>
        <v>76.010000000000005</v>
      </c>
      <c r="J123" s="97">
        <f>Jan!I123+Feb!I123+Mar!I123+Apr!I123</f>
        <v>270.70999999999998</v>
      </c>
      <c r="K123" s="84"/>
      <c r="L123" s="41"/>
      <c r="M123" s="42"/>
      <c r="N123" s="42">
        <v>23.99</v>
      </c>
    </row>
    <row r="124" spans="1:17" s="54" customFormat="1" ht="14.25" thickBot="1">
      <c r="C124" s="273" t="s">
        <v>506</v>
      </c>
      <c r="D124" s="274"/>
      <c r="E124" s="95">
        <v>23.99</v>
      </c>
      <c r="I124" s="63"/>
      <c r="J124" s="97"/>
      <c r="K124" s="84"/>
      <c r="L124" s="41"/>
      <c r="M124" s="41"/>
      <c r="N124" s="42"/>
    </row>
    <row r="125" spans="1:17" s="54" customFormat="1" ht="14.25" thickBot="1">
      <c r="C125" s="273" t="s">
        <v>507</v>
      </c>
      <c r="D125" s="274"/>
      <c r="E125" s="95">
        <f>Jan!F137+Feb!F138+Mar!F138+Apr!F138+May!F138+Jun!F138+July!F138+Aug!F138+Sep!F138+Oct!F138+Nov!F138+Dec!F138</f>
        <v>0</v>
      </c>
      <c r="I125" s="63"/>
      <c r="J125" s="97"/>
      <c r="K125" s="84"/>
      <c r="L125" s="41"/>
      <c r="M125" s="41"/>
      <c r="N125" s="42"/>
    </row>
    <row r="126" spans="1:17" s="54" customFormat="1" ht="14.25" thickBot="1">
      <c r="C126" s="273" t="s">
        <v>508</v>
      </c>
      <c r="D126" s="274"/>
      <c r="E126" s="95">
        <f>Jan!F138+Feb!F139+Mar!F139+Apr!F139+May!F139+Jun!F139+July!F139+Aug!F139+Sep!F139+Oct!F139+Nov!F139+Dec!F139</f>
        <v>0</v>
      </c>
      <c r="I126" s="63"/>
      <c r="J126" s="97"/>
      <c r="K126" s="84"/>
      <c r="L126" s="41"/>
      <c r="M126" s="41"/>
      <c r="N126" s="42"/>
    </row>
    <row r="127" spans="1:17" s="54" customFormat="1" ht="14.25" thickBot="1">
      <c r="C127" s="273" t="s">
        <v>509</v>
      </c>
      <c r="D127" s="274"/>
      <c r="E127" s="95">
        <f>Jan!F139+Feb!F140+Mar!F140+Apr!F140+May!F140+Jun!F140+July!F140+Aug!F140+Sep!F140+Oct!F140+Nov!F140+Dec!F140</f>
        <v>0</v>
      </c>
      <c r="I127" s="63"/>
      <c r="J127" s="97"/>
      <c r="K127" s="84"/>
      <c r="L127" s="41"/>
      <c r="M127" s="41"/>
      <c r="N127" s="42"/>
    </row>
    <row r="128" spans="1:17" s="54" customFormat="1" ht="13.5">
      <c r="B128" s="54" t="s">
        <v>510</v>
      </c>
      <c r="G128" s="54">
        <f t="shared" ref="G128:G143" si="5">SUM(L128:N128)</f>
        <v>61.779999999999994</v>
      </c>
      <c r="H128" s="54">
        <v>10</v>
      </c>
      <c r="I128" s="63">
        <f t="shared" ref="I128:I143" si="6">H128-G128</f>
        <v>-51.779999999999994</v>
      </c>
      <c r="J128" s="97">
        <f>Jan!I128+Feb!I128+Mar!I128+Apr!I128</f>
        <v>-107.56</v>
      </c>
      <c r="K128" s="84"/>
      <c r="L128" s="41"/>
      <c r="M128" s="41">
        <f>17.97*3+7.87</f>
        <v>61.779999999999994</v>
      </c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297.25</v>
      </c>
      <c r="C130" s="60">
        <f>H131</f>
        <v>140</v>
      </c>
      <c r="D130" s="60">
        <f>I131</f>
        <v>-157.25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297.25</v>
      </c>
      <c r="H131" s="54">
        <v>140</v>
      </c>
      <c r="I131" s="63">
        <f t="shared" si="6"/>
        <v>-157.25</v>
      </c>
      <c r="J131" s="97">
        <f>Jan!I131+Feb!I131+Mar!I131+Apr!I131</f>
        <v>56.72999999999999</v>
      </c>
      <c r="K131" s="84"/>
      <c r="L131" s="41"/>
      <c r="M131" s="41">
        <f>421.6-421.6+278.6+(86.4-61.78-5.97)</f>
        <v>297.25</v>
      </c>
      <c r="N131" s="42"/>
      <c r="O131" s="54" t="s">
        <v>699</v>
      </c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107.83</v>
      </c>
      <c r="C133" s="60">
        <f>SUM(H134:H136)</f>
        <v>230</v>
      </c>
      <c r="D133" s="60">
        <f>C133-B133</f>
        <v>122.17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98.86</v>
      </c>
      <c r="H134" s="54">
        <v>100</v>
      </c>
      <c r="I134" s="63">
        <f t="shared" si="6"/>
        <v>1.1400000000000006</v>
      </c>
      <c r="J134" s="97">
        <f>Jan!I134+Feb!I134+Mar!I134+Apr!I134</f>
        <v>82.469999999999985</v>
      </c>
      <c r="K134" s="84"/>
      <c r="L134" s="41"/>
      <c r="M134" s="41">
        <f>40+26.11+32.75</f>
        <v>98.86</v>
      </c>
      <c r="N134" s="42"/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</f>
        <v>400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8.9700000000000006</v>
      </c>
      <c r="H136" s="54">
        <v>30</v>
      </c>
      <c r="I136" s="63">
        <f t="shared" si="6"/>
        <v>21.03</v>
      </c>
      <c r="J136" s="97">
        <f>Jan!I136+Feb!I136+Mar!I136+Apr!I136</f>
        <v>111.03</v>
      </c>
      <c r="K136" s="84"/>
      <c r="L136" s="41"/>
      <c r="M136" s="41">
        <f>8.97</f>
        <v>8.9700000000000006</v>
      </c>
      <c r="N136" s="42"/>
      <c r="O136" s="54" t="s">
        <v>742</v>
      </c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Jan!I139+Feb!I139+Mar!I139+Apr!I139</f>
        <v>40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</f>
        <v>538.63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Jan!I143+Feb!I143+Mar!I143+Apr!I143</f>
        <v>324.65999999999997</v>
      </c>
      <c r="K143" s="89"/>
      <c r="L143" s="41"/>
      <c r="M143" s="41"/>
      <c r="N143" s="42"/>
    </row>
    <row r="144" spans="1:15" s="54" customFormat="1" ht="13.5">
      <c r="I144" s="63"/>
      <c r="J144" s="97"/>
      <c r="K144" s="89"/>
      <c r="L144" s="41"/>
      <c r="M144" s="41"/>
      <c r="N144" s="42"/>
    </row>
    <row r="145" spans="1:15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5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5" ht="13.5">
      <c r="A147" s="54"/>
      <c r="B147" s="54">
        <f>SUM(G148:G162)</f>
        <v>357.73</v>
      </c>
      <c r="C147" s="54">
        <f>SUM(H148:H162)</f>
        <v>410</v>
      </c>
      <c r="D147" s="60">
        <f>C147-B147</f>
        <v>52.269999999999982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5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5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81.400000000000006</v>
      </c>
      <c r="H149" s="54">
        <v>100</v>
      </c>
      <c r="I149" s="63">
        <f t="shared" ref="I149:I162" si="8">H149-G149</f>
        <v>18.599999999999994</v>
      </c>
      <c r="J149" s="97">
        <f>Jan!I149+Feb!I149+Mar!I149+Apr!I149</f>
        <v>240.19</v>
      </c>
      <c r="L149" s="41">
        <f>18</f>
        <v>18</v>
      </c>
      <c r="M149" s="41">
        <f>17.4+46</f>
        <v>63.4</v>
      </c>
      <c r="N149" s="42"/>
    </row>
    <row r="150" spans="1:15" ht="14.25" thickBot="1">
      <c r="A150" s="95">
        <f>SUM(G149:G153)</f>
        <v>147.73000000000002</v>
      </c>
      <c r="B150" s="54" t="s">
        <v>289</v>
      </c>
      <c r="C150" s="54"/>
      <c r="D150" s="54"/>
      <c r="E150" s="54"/>
      <c r="F150" s="54"/>
      <c r="G150" s="54">
        <f t="shared" si="7"/>
        <v>66.33</v>
      </c>
      <c r="H150" s="54">
        <v>100</v>
      </c>
      <c r="I150" s="63">
        <f t="shared" si="8"/>
        <v>33.67</v>
      </c>
      <c r="J150" s="97">
        <f>Jan!I150+Feb!I150+Mar!I150+Apr!I150</f>
        <v>226.23000000000002</v>
      </c>
      <c r="L150" s="41"/>
      <c r="M150" s="41">
        <f>66.33</f>
        <v>66.33</v>
      </c>
      <c r="N150" s="42"/>
    </row>
    <row r="151" spans="1:15" ht="13.5">
      <c r="A151" s="54"/>
      <c r="B151" s="54" t="s">
        <v>64</v>
      </c>
      <c r="C151" s="54"/>
      <c r="D151" s="54"/>
      <c r="E151" s="54"/>
      <c r="F151" s="54"/>
      <c r="G151" s="54">
        <f t="shared" si="7"/>
        <v>0</v>
      </c>
      <c r="H151" s="54">
        <v>30</v>
      </c>
      <c r="I151" s="63">
        <f t="shared" si="8"/>
        <v>30</v>
      </c>
      <c r="J151" s="97">
        <f>Jan!I151+Feb!I151+Mar!I151+Apr!I151</f>
        <v>120</v>
      </c>
      <c r="L151" s="41"/>
      <c r="M151" s="41"/>
      <c r="N151" s="42"/>
    </row>
    <row r="152" spans="1:15" ht="13.5">
      <c r="A152" s="54"/>
      <c r="B152" s="54" t="s">
        <v>65</v>
      </c>
      <c r="C152" s="54"/>
      <c r="D152" s="54"/>
      <c r="E152" s="54"/>
      <c r="F152" s="54"/>
      <c r="G152" s="54">
        <f t="shared" si="7"/>
        <v>0</v>
      </c>
      <c r="H152" s="54">
        <v>50</v>
      </c>
      <c r="I152" s="63">
        <f t="shared" si="8"/>
        <v>50</v>
      </c>
      <c r="J152" s="97">
        <f>Jan!I152+Feb!I152+Mar!I152+Apr!I152</f>
        <v>200</v>
      </c>
      <c r="L152" s="41"/>
      <c r="M152" s="41"/>
      <c r="N152" s="42"/>
    </row>
    <row r="153" spans="1:15" ht="13.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 t="shared" si="8"/>
        <v>10</v>
      </c>
      <c r="J153" s="97">
        <f>Jan!I153+Feb!I153+Mar!I153+Apr!I153</f>
        <v>40</v>
      </c>
      <c r="L153" s="41"/>
      <c r="M153" s="41"/>
      <c r="N153" s="42"/>
    </row>
    <row r="154" spans="1:15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5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5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8"/>
        <v>0</v>
      </c>
      <c r="J156" s="97">
        <f>Jan!I156+Feb!I156+Mar!I156+Apr!I156</f>
        <v>0</v>
      </c>
      <c r="L156" s="41"/>
      <c r="M156" s="41"/>
      <c r="N156" s="42"/>
    </row>
    <row r="157" spans="1:15" ht="14.25" thickBot="1">
      <c r="A157" s="95">
        <f>SUM(G156:G160)</f>
        <v>210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/>
      <c r="I157" s="63">
        <f t="shared" si="8"/>
        <v>0</v>
      </c>
      <c r="J157" s="97">
        <f>Jan!I157+Feb!I157+Mar!I157+Apr!I157</f>
        <v>0</v>
      </c>
      <c r="L157" s="41"/>
      <c r="M157" s="41"/>
      <c r="N157" s="42"/>
    </row>
    <row r="158" spans="1:15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8"/>
        <v>0</v>
      </c>
      <c r="J158" s="97">
        <f>Jan!I158+Feb!I158+Mar!I158+Apr!I158</f>
        <v>0</v>
      </c>
      <c r="L158" s="41"/>
      <c r="M158" s="41"/>
      <c r="N158" s="42"/>
    </row>
    <row r="159" spans="1:15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8"/>
        <v>0</v>
      </c>
      <c r="J159" s="97">
        <f>Jan!I159+Feb!I159+Mar!I159+Apr!I159</f>
        <v>0</v>
      </c>
      <c r="L159" s="41"/>
      <c r="M159" s="41"/>
      <c r="N159" s="42"/>
    </row>
    <row r="160" spans="1:15" ht="13.5">
      <c r="A160" s="54"/>
      <c r="B160" s="54" t="s">
        <v>544</v>
      </c>
      <c r="C160" s="54"/>
      <c r="D160" s="54"/>
      <c r="E160" s="54"/>
      <c r="F160" s="54"/>
      <c r="G160" s="54">
        <f t="shared" si="7"/>
        <v>210</v>
      </c>
      <c r="H160" s="54"/>
      <c r="I160" s="63">
        <f t="shared" si="8"/>
        <v>-210</v>
      </c>
      <c r="J160" s="97">
        <f>Jan!I160+Feb!I160+Mar!I160+Apr!I160</f>
        <v>-210</v>
      </c>
      <c r="L160" s="41">
        <f>50+160</f>
        <v>210</v>
      </c>
      <c r="M160" s="41"/>
      <c r="N160" s="42"/>
      <c r="O160" s="67" t="s">
        <v>747</v>
      </c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8"/>
        <v>120</v>
      </c>
      <c r="J162" s="97">
        <f>Jan!I162+Feb!I162+Mar!I162+Apr!I162</f>
        <v>480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92" zoomScale="86" zoomScaleNormal="86" workbookViewId="0">
      <selection activeCell="L114" sqref="L114"/>
    </sheetView>
  </sheetViews>
  <sheetFormatPr defaultColWidth="9" defaultRowHeight="14.25"/>
  <cols>
    <col min="1" max="1" width="24.42578125" style="156" customWidth="1"/>
    <col min="2" max="2" width="18" style="156" customWidth="1"/>
    <col min="3" max="3" width="17.140625" style="156" customWidth="1"/>
    <col min="4" max="5" width="16.5703125" style="156" customWidth="1"/>
    <col min="6" max="6" width="15.28515625" style="156" customWidth="1"/>
    <col min="7" max="7" width="13.5703125" style="156" customWidth="1"/>
    <col min="8" max="8" width="13.85546875" style="156" customWidth="1"/>
    <col min="9" max="10" width="14" style="156" customWidth="1"/>
    <col min="11" max="11" width="2.28515625" style="157" customWidth="1"/>
    <col min="12" max="12" width="11.5703125" style="156" customWidth="1"/>
    <col min="13" max="13" width="11.85546875" style="156" customWidth="1"/>
    <col min="14" max="15" width="11.5703125" style="156" customWidth="1"/>
    <col min="16" max="16" width="1.7109375" style="156" customWidth="1"/>
    <col min="17" max="17" width="11.7109375" style="156" customWidth="1"/>
    <col min="18" max="18" width="11.5703125" style="156" customWidth="1"/>
    <col min="19" max="16384" width="9" style="156"/>
  </cols>
  <sheetData>
    <row r="1" spans="1:16">
      <c r="A1" s="154" t="s">
        <v>202</v>
      </c>
      <c r="B1" s="155">
        <v>2014</v>
      </c>
      <c r="C1" s="155"/>
      <c r="L1" s="75" t="s">
        <v>557</v>
      </c>
      <c r="M1" s="67"/>
    </row>
    <row r="2" spans="1:16">
      <c r="A2" s="154" t="s">
        <v>191</v>
      </c>
      <c r="B2" s="154" t="s">
        <v>10</v>
      </c>
      <c r="C2" s="154"/>
      <c r="L2" s="67"/>
      <c r="M2" s="75" t="s">
        <v>540</v>
      </c>
    </row>
    <row r="3" spans="1:16">
      <c r="L3" s="67"/>
      <c r="M3" s="75" t="s">
        <v>539</v>
      </c>
      <c r="O3" s="158"/>
    </row>
    <row r="4" spans="1:16" ht="15.75">
      <c r="A4" s="73" t="s">
        <v>4</v>
      </c>
      <c r="B4" s="78">
        <f>SUM(G5:G8)</f>
        <v>10875.730000000001</v>
      </c>
      <c r="C4" s="78"/>
      <c r="D4" s="67"/>
      <c r="E4" s="67"/>
      <c r="F4" s="100"/>
      <c r="G4" s="67" t="s">
        <v>34</v>
      </c>
      <c r="H4" s="67"/>
      <c r="I4" s="67"/>
      <c r="L4" s="79"/>
      <c r="M4" s="67" t="s">
        <v>729</v>
      </c>
      <c r="O4" s="158"/>
    </row>
    <row r="5" spans="1:16">
      <c r="A5" s="67" t="s">
        <v>25</v>
      </c>
      <c r="B5" s="128">
        <v>3499.56</v>
      </c>
      <c r="C5" s="128">
        <v>3504.55</v>
      </c>
      <c r="D5" s="128">
        <v>3559.95</v>
      </c>
      <c r="E5" s="67"/>
      <c r="F5" s="100"/>
      <c r="G5" s="128">
        <f>SUM(B5:E5)</f>
        <v>10564.060000000001</v>
      </c>
      <c r="H5" s="79"/>
      <c r="I5" s="79"/>
      <c r="J5" s="159"/>
      <c r="K5" s="160"/>
      <c r="L5" s="79"/>
      <c r="M5" s="67" t="s">
        <v>815</v>
      </c>
      <c r="O5" s="158"/>
    </row>
    <row r="6" spans="1:16">
      <c r="A6" s="67" t="s">
        <v>251</v>
      </c>
      <c r="B6" s="67"/>
      <c r="C6" s="77"/>
      <c r="D6" s="67"/>
      <c r="E6" s="67"/>
      <c r="F6" s="100"/>
      <c r="G6" s="128">
        <f>SUM(B6:F6)</f>
        <v>0</v>
      </c>
      <c r="H6" s="79"/>
      <c r="I6" s="79"/>
      <c r="J6" s="159"/>
      <c r="K6" s="160"/>
      <c r="L6" s="79"/>
      <c r="M6" s="67" t="s">
        <v>816</v>
      </c>
      <c r="O6" s="158"/>
    </row>
    <row r="7" spans="1:16">
      <c r="A7" s="67" t="s">
        <v>27</v>
      </c>
      <c r="B7" s="67">
        <v>311.67</v>
      </c>
      <c r="C7" s="67"/>
      <c r="D7" s="67"/>
      <c r="E7" s="67"/>
      <c r="F7" s="100"/>
      <c r="G7" s="128">
        <f>SUM(B7:E7)</f>
        <v>311.67</v>
      </c>
      <c r="H7" s="79"/>
      <c r="I7" s="79"/>
      <c r="J7" s="159"/>
      <c r="K7" s="160"/>
      <c r="L7" s="79"/>
      <c r="M7" s="67" t="s">
        <v>817</v>
      </c>
      <c r="O7" s="158"/>
    </row>
    <row r="8" spans="1:16" ht="15.75">
      <c r="A8" s="76"/>
      <c r="B8" s="67"/>
      <c r="C8" s="67"/>
      <c r="D8" s="67"/>
      <c r="E8" s="67"/>
      <c r="F8" s="100"/>
      <c r="G8" s="128"/>
      <c r="H8" s="79"/>
      <c r="I8" s="79"/>
      <c r="J8" s="159"/>
      <c r="K8" s="160"/>
      <c r="L8" s="67"/>
      <c r="P8" s="158"/>
    </row>
    <row r="9" spans="1:16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161" t="s">
        <v>302</v>
      </c>
      <c r="L9" s="67"/>
      <c r="M9" s="54"/>
    </row>
    <row r="10" spans="1:16">
      <c r="A10" s="60"/>
      <c r="B10" s="64"/>
      <c r="C10" s="54"/>
      <c r="D10" s="54"/>
      <c r="E10" s="54"/>
      <c r="F10" s="275"/>
      <c r="G10" s="57" t="s">
        <v>255</v>
      </c>
      <c r="H10" s="54" t="s">
        <v>41</v>
      </c>
      <c r="I10" s="65" t="s">
        <v>40</v>
      </c>
      <c r="J10" s="163" t="s">
        <v>40</v>
      </c>
      <c r="K10" s="162"/>
      <c r="L10" s="54"/>
      <c r="M10" s="54"/>
    </row>
    <row r="11" spans="1:16">
      <c r="A11" s="60" t="s">
        <v>297</v>
      </c>
      <c r="B11" s="277">
        <f>G11</f>
        <v>1450</v>
      </c>
      <c r="C11" s="54"/>
      <c r="D11" s="54" t="s">
        <v>299</v>
      </c>
      <c r="E11" s="54">
        <f>G11/B4</f>
        <v>0.13332438374251657</v>
      </c>
      <c r="F11" s="275"/>
      <c r="G11" s="55">
        <f>Tithe!D10</f>
        <v>1450</v>
      </c>
      <c r="H11" s="54">
        <v>1200</v>
      </c>
      <c r="I11" s="66">
        <f>H11-G11</f>
        <v>-250</v>
      </c>
      <c r="J11" s="165">
        <f>Jan!I11+Feb!I11+Mar!I11+Apr!I11+May!I11</f>
        <v>-360</v>
      </c>
      <c r="K11" s="164"/>
      <c r="L11" s="54"/>
      <c r="M11" s="54"/>
    </row>
    <row r="12" spans="1:16">
      <c r="A12" s="54"/>
      <c r="B12" s="54"/>
      <c r="C12" s="54"/>
      <c r="D12" s="54"/>
      <c r="E12" s="54"/>
      <c r="F12" s="54"/>
      <c r="G12" s="54"/>
      <c r="H12" s="54"/>
      <c r="I12" s="66"/>
      <c r="J12" s="165"/>
      <c r="K12" s="166"/>
      <c r="L12" s="286" t="s">
        <v>558</v>
      </c>
      <c r="M12" s="54"/>
    </row>
    <row r="13" spans="1:16">
      <c r="A13" s="60" t="s">
        <v>523</v>
      </c>
      <c r="B13" s="277">
        <f>SUM(G14:G20)</f>
        <v>2050</v>
      </c>
      <c r="C13" s="54"/>
      <c r="D13" s="54"/>
      <c r="E13" s="54"/>
      <c r="F13" s="275"/>
      <c r="G13" s="57"/>
      <c r="H13" s="54"/>
      <c r="I13" s="66"/>
      <c r="J13" s="165"/>
      <c r="K13" s="166"/>
      <c r="L13" s="54" t="s">
        <v>808</v>
      </c>
      <c r="M13" s="54"/>
    </row>
    <row r="14" spans="1:16">
      <c r="A14" s="54"/>
      <c r="B14" s="60" t="s">
        <v>426</v>
      </c>
      <c r="C14" s="54"/>
      <c r="D14" s="54"/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165">
        <f>Jan!I14+Feb!I14+Mar!I14+Apr!I14+May!I14</f>
        <v>0</v>
      </c>
      <c r="K14" s="166"/>
      <c r="L14" s="54" t="s">
        <v>809</v>
      </c>
      <c r="M14" s="54"/>
    </row>
    <row r="15" spans="1:16">
      <c r="A15" s="54"/>
      <c r="B15" s="60" t="s">
        <v>282</v>
      </c>
      <c r="C15" s="54"/>
      <c r="D15" s="54"/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165">
        <f>Jan!I15+Feb!I15+Mar!I15+Apr!I15+May!I15</f>
        <v>0</v>
      </c>
      <c r="K15" s="166"/>
      <c r="L15" s="54"/>
      <c r="M15" s="54"/>
    </row>
    <row r="16" spans="1:16">
      <c r="A16" s="54"/>
      <c r="B16" s="60" t="s">
        <v>314</v>
      </c>
      <c r="C16" s="54"/>
      <c r="D16" s="54"/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165">
        <f>Jan!I16+Feb!I16+Mar!I16+Apr!I16+May!I16</f>
        <v>0</v>
      </c>
      <c r="K16" s="166"/>
      <c r="L16" s="54"/>
      <c r="M16" s="54"/>
    </row>
    <row r="17" spans="1:13">
      <c r="A17" s="54"/>
      <c r="B17" s="60" t="s">
        <v>522</v>
      </c>
      <c r="C17" s="54"/>
      <c r="D17" s="54"/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165">
        <f>Jan!I17+Feb!I17+Mar!I17+Apr!I17+May!I17</f>
        <v>0</v>
      </c>
      <c r="K17" s="166"/>
      <c r="L17" s="54"/>
      <c r="M17" s="54"/>
    </row>
    <row r="18" spans="1:13" ht="15.95" customHeight="1">
      <c r="A18" s="54"/>
      <c r="B18" s="60" t="s">
        <v>284</v>
      </c>
      <c r="C18" s="54"/>
      <c r="D18" s="54"/>
      <c r="E18" s="54" t="s">
        <v>525</v>
      </c>
      <c r="F18" s="275"/>
      <c r="G18" s="55">
        <v>50</v>
      </c>
      <c r="H18" s="54">
        <v>50</v>
      </c>
      <c r="I18" s="66">
        <f t="shared" si="0"/>
        <v>0</v>
      </c>
      <c r="J18" s="165">
        <f>Jan!I18+Feb!I18+Mar!I18+Apr!I18+May!I18</f>
        <v>0</v>
      </c>
      <c r="K18" s="166"/>
      <c r="L18" s="54"/>
      <c r="M18" s="54"/>
    </row>
    <row r="19" spans="1:13" ht="15.95" customHeight="1">
      <c r="A19" s="54"/>
      <c r="B19" s="60" t="s">
        <v>283</v>
      </c>
      <c r="C19" s="54"/>
      <c r="D19" s="54"/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165">
        <f>Jan!I19+Feb!I19+Mar!I19+Apr!I19+May!I19</f>
        <v>0</v>
      </c>
      <c r="K19" s="166"/>
      <c r="L19" s="54"/>
      <c r="M19" s="54"/>
    </row>
    <row r="20" spans="1:13" ht="15.95" customHeight="1">
      <c r="A20" s="54"/>
      <c r="B20" s="60" t="s">
        <v>315</v>
      </c>
      <c r="C20" s="54"/>
      <c r="D20" s="54"/>
      <c r="E20" s="54" t="s">
        <v>525</v>
      </c>
      <c r="F20" s="54"/>
      <c r="G20" s="55">
        <v>300</v>
      </c>
      <c r="H20" s="54">
        <v>300</v>
      </c>
      <c r="I20" s="66">
        <f t="shared" si="0"/>
        <v>0</v>
      </c>
      <c r="J20" s="165">
        <f>Jan!I20+Feb!I20+Mar!I20+Apr!I20+May!I20</f>
        <v>0</v>
      </c>
      <c r="K20" s="166"/>
      <c r="L20" s="54"/>
      <c r="M20" s="54"/>
    </row>
    <row r="21" spans="1:13" ht="15.95" customHeight="1">
      <c r="A21" s="60"/>
      <c r="B21" s="54"/>
      <c r="C21" s="54"/>
      <c r="D21" s="54"/>
      <c r="E21" s="54"/>
      <c r="F21" s="275"/>
      <c r="G21" s="55"/>
      <c r="H21" s="54"/>
      <c r="I21" s="66"/>
      <c r="J21" s="165"/>
      <c r="K21" s="166"/>
      <c r="L21" s="60" t="s">
        <v>559</v>
      </c>
      <c r="M21" s="54"/>
    </row>
    <row r="22" spans="1:13" ht="15.95" customHeight="1">
      <c r="A22" s="60" t="s">
        <v>300</v>
      </c>
      <c r="B22" s="278">
        <f>G22</f>
        <v>700</v>
      </c>
      <c r="C22" s="54"/>
      <c r="D22" s="54"/>
      <c r="E22" s="54"/>
      <c r="F22" s="275"/>
      <c r="G22" s="55">
        <v>700</v>
      </c>
      <c r="H22" s="54">
        <v>700</v>
      </c>
      <c r="I22" s="66">
        <f>H22-G22</f>
        <v>0</v>
      </c>
      <c r="J22" s="165">
        <f>Jan!I22+Feb!I22+Mar!I22+Apr!I22+May!I22</f>
        <v>0</v>
      </c>
      <c r="K22" s="166"/>
      <c r="L22" s="54"/>
      <c r="M22" s="54"/>
    </row>
    <row r="23" spans="1:13" ht="15.95" customHeight="1">
      <c r="A23" s="60" t="s">
        <v>468</v>
      </c>
      <c r="B23" s="64" t="s">
        <v>467</v>
      </c>
      <c r="C23" s="54"/>
      <c r="D23" s="54"/>
      <c r="E23" s="54" t="s">
        <v>525</v>
      </c>
      <c r="F23" s="275"/>
      <c r="G23" s="55"/>
      <c r="H23" s="54"/>
      <c r="I23" s="66"/>
      <c r="J23" s="165"/>
      <c r="K23" s="166"/>
      <c r="L23" s="54"/>
      <c r="M23" s="54"/>
    </row>
    <row r="24" spans="1:13" ht="15.95" customHeight="1">
      <c r="A24" s="60" t="s">
        <v>301</v>
      </c>
      <c r="B24" s="277">
        <f>SUM(G25:G26)</f>
        <v>0</v>
      </c>
      <c r="C24" s="54"/>
      <c r="D24" s="54"/>
      <c r="E24" s="54"/>
      <c r="F24" s="275"/>
      <c r="G24" s="55"/>
      <c r="H24" s="54"/>
      <c r="I24" s="66"/>
      <c r="J24" s="165"/>
      <c r="K24" s="166"/>
      <c r="L24" s="54"/>
      <c r="M24" s="54"/>
    </row>
    <row r="25" spans="1:13" ht="15.95" customHeight="1">
      <c r="A25" s="54"/>
      <c r="B25" s="60" t="s">
        <v>806</v>
      </c>
      <c r="C25" s="54"/>
      <c r="D25" s="54"/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165">
        <f>Jan!I25+Feb!I25+Mar!I25+Apr!I25+May!I25</f>
        <v>2500</v>
      </c>
      <c r="K25" s="166"/>
      <c r="L25" s="54"/>
      <c r="M25" s="54"/>
    </row>
    <row r="26" spans="1:13" ht="12.75" customHeight="1">
      <c r="A26" s="54"/>
      <c r="B26" s="60" t="s">
        <v>286</v>
      </c>
      <c r="C26" s="54"/>
      <c r="D26" s="54"/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67">
        <f>Jan!I26+Feb!I26+Mar!I26+Apr!I26+May!I26</f>
        <v>1500</v>
      </c>
      <c r="K26" s="166"/>
      <c r="L26" s="54"/>
      <c r="M26" s="54"/>
    </row>
    <row r="27" spans="1:13" ht="12.75" customHeight="1">
      <c r="A27" s="60"/>
      <c r="B27" s="54"/>
      <c r="C27" s="54"/>
      <c r="D27" s="54"/>
      <c r="E27" s="54"/>
      <c r="F27" s="275"/>
      <c r="G27" s="68"/>
      <c r="H27" s="68"/>
      <c r="I27" s="70"/>
      <c r="J27" s="168"/>
      <c r="K27" s="168"/>
      <c r="L27" s="54"/>
      <c r="M27" s="54"/>
    </row>
    <row r="28" spans="1:13" ht="12.75" customHeight="1" thickBot="1">
      <c r="A28" s="60"/>
      <c r="B28" s="60"/>
      <c r="C28" s="54"/>
      <c r="D28" s="54"/>
      <c r="E28" s="54"/>
      <c r="F28" s="275"/>
      <c r="G28" s="69">
        <f>SUM(G11:G26)</f>
        <v>4200</v>
      </c>
      <c r="H28" s="69">
        <f>SUM(H11:H26)</f>
        <v>4750</v>
      </c>
      <c r="I28" s="69">
        <f>SUM(I11:I26)</f>
        <v>550</v>
      </c>
      <c r="J28" s="169">
        <f>SUM(J11:J26)</f>
        <v>3640</v>
      </c>
      <c r="K28" s="170"/>
      <c r="L28" s="54"/>
      <c r="M28" s="54"/>
    </row>
    <row r="29" spans="1:13" ht="12.75" customHeight="1" thickTop="1" thickBot="1">
      <c r="A29" s="54"/>
      <c r="B29" s="54"/>
      <c r="C29" s="54"/>
      <c r="D29" s="54"/>
      <c r="E29" s="54"/>
      <c r="F29" s="54"/>
      <c r="G29" s="54"/>
      <c r="H29" s="58"/>
      <c r="I29" s="58"/>
      <c r="J29" s="171"/>
      <c r="K29" s="170"/>
      <c r="L29" s="60" t="s">
        <v>560</v>
      </c>
      <c r="M29" s="54"/>
    </row>
    <row r="30" spans="1:13" ht="12.75" customHeight="1" thickBot="1">
      <c r="A30" s="60" t="s">
        <v>305</v>
      </c>
      <c r="B30" s="60"/>
      <c r="C30" s="54"/>
      <c r="D30" s="54"/>
      <c r="E30" s="54"/>
      <c r="F30" s="275"/>
      <c r="G30" s="95"/>
      <c r="H30" s="58"/>
      <c r="I30" s="58"/>
      <c r="J30" s="171"/>
      <c r="K30" s="170"/>
      <c r="L30" s="156" t="s">
        <v>810</v>
      </c>
    </row>
    <row r="31" spans="1:13" ht="12.75" customHeight="1">
      <c r="A31" s="106" t="s">
        <v>298</v>
      </c>
      <c r="B31" s="60"/>
      <c r="C31" s="54"/>
      <c r="D31" s="54"/>
      <c r="E31" s="54"/>
      <c r="F31" s="275"/>
      <c r="G31" s="281">
        <f>B4-G28+G30</f>
        <v>6675.7300000000014</v>
      </c>
      <c r="H31" s="58"/>
      <c r="I31" s="58"/>
      <c r="J31" s="171"/>
      <c r="K31" s="170"/>
      <c r="L31" s="171"/>
    </row>
    <row r="32" spans="1:13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8485.68</v>
      </c>
      <c r="H32" s="58" t="s">
        <v>828</v>
      </c>
      <c r="I32" s="58"/>
      <c r="J32" s="171"/>
      <c r="K32" s="170"/>
      <c r="L32" s="171"/>
    </row>
    <row r="33" spans="1:15" ht="12.75" customHeight="1">
      <c r="A33" s="60" t="s">
        <v>655</v>
      </c>
      <c r="B33" s="60"/>
      <c r="C33" s="54"/>
      <c r="D33" s="54"/>
      <c r="E33" s="54"/>
      <c r="F33" s="275"/>
      <c r="G33" s="80">
        <f>G31-G32-M42</f>
        <v>-1609.9499999999989</v>
      </c>
      <c r="H33" s="58"/>
      <c r="I33" s="58"/>
      <c r="J33" s="171"/>
      <c r="K33" s="170"/>
      <c r="L33" s="171"/>
    </row>
    <row r="34" spans="1:15" ht="12.75" customHeight="1">
      <c r="A34" s="54"/>
      <c r="B34" s="54"/>
      <c r="C34" s="54"/>
      <c r="D34" s="54"/>
      <c r="E34" s="54"/>
      <c r="F34" s="54"/>
      <c r="G34" s="54"/>
      <c r="H34" s="58"/>
      <c r="I34" s="58"/>
      <c r="J34" s="171"/>
      <c r="K34" s="170"/>
      <c r="L34" s="171"/>
    </row>
    <row r="35" spans="1:15" ht="12.75" customHeight="1">
      <c r="A35" s="60" t="s">
        <v>527</v>
      </c>
      <c r="B35" s="60"/>
      <c r="C35" s="54"/>
      <c r="D35" s="54"/>
      <c r="E35" s="54">
        <f>B47</f>
        <v>936.11</v>
      </c>
      <c r="F35" s="275"/>
      <c r="G35" s="135"/>
      <c r="H35" s="58"/>
      <c r="I35" s="58"/>
      <c r="J35" s="171"/>
      <c r="K35" s="170"/>
      <c r="L35" s="171"/>
    </row>
    <row r="36" spans="1:15" ht="12.75" customHeight="1">
      <c r="A36" s="60" t="s">
        <v>491</v>
      </c>
      <c r="B36" s="60"/>
      <c r="C36" s="54"/>
      <c r="D36" s="54"/>
      <c r="E36" s="54">
        <f>B76</f>
        <v>1876.85</v>
      </c>
      <c r="F36" s="275"/>
      <c r="G36" s="80"/>
      <c r="H36" s="58"/>
      <c r="I36" s="58"/>
      <c r="J36" s="171"/>
      <c r="K36" s="170"/>
      <c r="L36" s="171"/>
    </row>
    <row r="37" spans="1:15">
      <c r="A37" s="60"/>
      <c r="B37" s="60" t="s">
        <v>528</v>
      </c>
      <c r="C37" s="54"/>
      <c r="D37" s="54">
        <f>B93+B102</f>
        <v>100.93</v>
      </c>
      <c r="E37" s="54"/>
      <c r="F37" s="275"/>
      <c r="G37" s="80"/>
      <c r="H37" s="58"/>
      <c r="I37" s="58"/>
      <c r="J37" s="171"/>
      <c r="K37" s="170"/>
      <c r="L37" s="171"/>
    </row>
    <row r="38" spans="1:15" ht="15" thickBot="1">
      <c r="A38" s="60"/>
      <c r="B38" s="60" t="s">
        <v>529</v>
      </c>
      <c r="C38" s="54"/>
      <c r="D38" s="54">
        <f>B82</f>
        <v>173.5</v>
      </c>
      <c r="E38" s="54"/>
      <c r="F38" s="275"/>
      <c r="G38" s="80"/>
      <c r="H38" s="58"/>
      <c r="I38" s="58"/>
      <c r="J38" s="171"/>
      <c r="K38" s="170"/>
      <c r="L38" s="171"/>
    </row>
    <row r="39" spans="1:15" ht="15" thickBot="1">
      <c r="A39" s="60"/>
      <c r="B39" s="60" t="s">
        <v>530</v>
      </c>
      <c r="C39" s="54"/>
      <c r="D39" s="54">
        <f>B88</f>
        <v>0</v>
      </c>
      <c r="E39" s="54"/>
      <c r="F39" s="275"/>
      <c r="G39" s="96"/>
      <c r="H39" s="58"/>
      <c r="I39" s="58"/>
      <c r="J39" s="171"/>
      <c r="K39" s="170"/>
      <c r="L39" s="171"/>
    </row>
    <row r="40" spans="1:15" ht="15" thickBot="1">
      <c r="A40" s="60"/>
      <c r="B40" s="60" t="s">
        <v>531</v>
      </c>
      <c r="C40" s="54"/>
      <c r="D40" s="54">
        <f>B107</f>
        <v>131.1</v>
      </c>
      <c r="E40" s="54"/>
      <c r="F40" s="275"/>
      <c r="G40" s="105"/>
      <c r="H40" s="58"/>
      <c r="I40" s="58"/>
      <c r="J40" s="171"/>
      <c r="K40" s="170"/>
      <c r="L40" s="171"/>
    </row>
    <row r="41" spans="1:15" ht="15" thickBot="1">
      <c r="A41" s="106"/>
      <c r="B41" s="60" t="s">
        <v>532</v>
      </c>
      <c r="C41" s="54"/>
      <c r="D41" s="54">
        <f>B112</f>
        <v>330</v>
      </c>
      <c r="E41" s="54"/>
      <c r="F41" s="275"/>
      <c r="G41" s="105"/>
      <c r="H41" s="58"/>
      <c r="I41" s="58"/>
      <c r="J41" s="171"/>
      <c r="K41" s="170"/>
      <c r="L41" s="95"/>
      <c r="M41" s="54">
        <f>M46+M44+M43+M42</f>
        <v>6150</v>
      </c>
      <c r="N41" s="54">
        <f>N46-N42</f>
        <v>458.21999999999997</v>
      </c>
    </row>
    <row r="42" spans="1:15">
      <c r="A42" s="54"/>
      <c r="B42" s="60" t="s">
        <v>533</v>
      </c>
      <c r="C42" s="61"/>
      <c r="D42" s="61">
        <f>B130</f>
        <v>24</v>
      </c>
      <c r="E42" s="54"/>
      <c r="F42" s="275"/>
      <c r="G42" s="105"/>
      <c r="H42" s="58"/>
      <c r="I42" s="58"/>
      <c r="J42" s="171"/>
      <c r="K42" s="170"/>
      <c r="L42" s="54" t="s">
        <v>348</v>
      </c>
      <c r="M42" s="54">
        <v>-200</v>
      </c>
      <c r="N42" s="54"/>
    </row>
    <row r="43" spans="1:15">
      <c r="A43" s="54"/>
      <c r="B43" s="60" t="s">
        <v>534</v>
      </c>
      <c r="C43" s="54"/>
      <c r="D43" s="54">
        <f>B117+B133+B138+B141</f>
        <v>1117.32</v>
      </c>
      <c r="E43" s="54"/>
      <c r="F43" s="275"/>
      <c r="G43" s="54"/>
      <c r="H43" s="54"/>
      <c r="I43" s="63"/>
      <c r="J43" s="161" t="s">
        <v>302</v>
      </c>
      <c r="K43" s="162"/>
      <c r="L43" s="54" t="s">
        <v>564</v>
      </c>
      <c r="M43" s="54">
        <v>50</v>
      </c>
      <c r="N43" s="54"/>
    </row>
    <row r="44" spans="1:15">
      <c r="A44" s="60" t="s">
        <v>535</v>
      </c>
      <c r="B44" s="54"/>
      <c r="C44" s="54"/>
      <c r="D44" s="54"/>
      <c r="E44" s="54">
        <f>B147</f>
        <v>5672.72</v>
      </c>
      <c r="F44" s="275"/>
      <c r="G44" s="57"/>
      <c r="H44" s="54"/>
      <c r="I44" s="63" t="s">
        <v>37</v>
      </c>
      <c r="J44" s="161" t="s">
        <v>303</v>
      </c>
      <c r="K44" s="162"/>
      <c r="L44" s="54" t="s">
        <v>344</v>
      </c>
      <c r="M44" s="54">
        <v>100</v>
      </c>
      <c r="N44" s="54"/>
    </row>
    <row r="45" spans="1:15">
      <c r="A45" s="60"/>
      <c r="B45" s="54"/>
      <c r="C45" s="54"/>
      <c r="D45" s="54"/>
      <c r="E45" s="54"/>
      <c r="F45" s="275"/>
      <c r="G45" s="57" t="s">
        <v>255</v>
      </c>
      <c r="H45" s="54" t="s">
        <v>41</v>
      </c>
      <c r="I45" s="65" t="s">
        <v>40</v>
      </c>
      <c r="J45" s="163" t="s">
        <v>304</v>
      </c>
      <c r="K45" s="164"/>
      <c r="L45" s="90" t="s">
        <v>256</v>
      </c>
      <c r="M45" s="91" t="s">
        <v>355</v>
      </c>
      <c r="N45" s="91" t="s">
        <v>565</v>
      </c>
    </row>
    <row r="46" spans="1:15" ht="15" thickBot="1">
      <c r="A46" s="54"/>
      <c r="B46" s="54"/>
      <c r="C46" s="54"/>
      <c r="D46"/>
      <c r="E46" s="279"/>
      <c r="F46" s="275"/>
      <c r="G46" s="101">
        <f>SUM(G48:G162)</f>
        <v>8485.68</v>
      </c>
      <c r="H46" s="101">
        <f>SUM(H48:H162)</f>
        <v>4673</v>
      </c>
      <c r="I46" s="101">
        <f>H46-G46</f>
        <v>-3812.6800000000003</v>
      </c>
      <c r="J46" s="172">
        <f>SUM(J48:J162)</f>
        <v>436.51000000000022</v>
      </c>
      <c r="K46" s="173"/>
      <c r="L46" s="92">
        <f>SUM(L48:L162)</f>
        <v>1827.46</v>
      </c>
      <c r="M46" s="92">
        <f>SUM(M48:M162)</f>
        <v>6200</v>
      </c>
      <c r="N46" s="92">
        <f>SUM(N48:N162)</f>
        <v>458.21999999999997</v>
      </c>
      <c r="O46" s="156" t="s">
        <v>805</v>
      </c>
    </row>
    <row r="47" spans="1:15" ht="15" thickBot="1">
      <c r="A47" s="106" t="s">
        <v>492</v>
      </c>
      <c r="B47" s="273">
        <f>B48+B61+B65</f>
        <v>936.11</v>
      </c>
      <c r="C47" s="273">
        <f>C48+C61+C65</f>
        <v>1378</v>
      </c>
      <c r="D47" s="95">
        <f>D48+D61+D65</f>
        <v>441.88999999999987</v>
      </c>
      <c r="E47" s="54"/>
      <c r="F47" s="54"/>
      <c r="G47" s="54"/>
      <c r="H47" s="54"/>
      <c r="I47" s="63"/>
      <c r="J47" s="161"/>
      <c r="K47" s="162"/>
      <c r="L47" s="41"/>
      <c r="M47" s="42"/>
      <c r="N47" s="42"/>
    </row>
    <row r="48" spans="1:15">
      <c r="A48" s="60" t="s">
        <v>477</v>
      </c>
      <c r="B48" s="60">
        <f>SUM(G49:G57)</f>
        <v>553.96</v>
      </c>
      <c r="C48" s="60">
        <f>SUM(H49:H57)</f>
        <v>911</v>
      </c>
      <c r="D48" s="60">
        <f>SUM(I49:I57)</f>
        <v>357.03999999999985</v>
      </c>
      <c r="E48" s="54"/>
      <c r="F48" s="54"/>
      <c r="G48" s="54"/>
      <c r="H48" s="54"/>
      <c r="I48" s="63"/>
      <c r="J48" s="161"/>
      <c r="K48" s="162"/>
      <c r="L48" s="41"/>
      <c r="M48" s="42"/>
      <c r="N48" s="42"/>
    </row>
    <row r="49" spans="1:14">
      <c r="A49" s="54"/>
      <c r="B49" s="54" t="s">
        <v>351</v>
      </c>
      <c r="C49" s="54"/>
      <c r="D49" s="54"/>
      <c r="E49" s="54"/>
      <c r="F49" s="54"/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161">
        <f>Jan!I49+Feb!I49+Mar!I49+Apr!I49+May!I49</f>
        <v>0</v>
      </c>
      <c r="K49" s="162"/>
      <c r="L49" s="41"/>
      <c r="M49" s="42"/>
      <c r="N49" s="42"/>
    </row>
    <row r="50" spans="1:14">
      <c r="A50" s="60"/>
      <c r="B50" s="54" t="s">
        <v>479</v>
      </c>
      <c r="C50" s="54"/>
      <c r="D50" s="54"/>
      <c r="E50" s="54"/>
      <c r="F50" s="54"/>
      <c r="G50" s="54">
        <f t="shared" si="1"/>
        <v>0</v>
      </c>
      <c r="H50" s="54">
        <v>100</v>
      </c>
      <c r="I50" s="63">
        <f t="shared" si="2"/>
        <v>100</v>
      </c>
      <c r="J50" s="161">
        <f>Jan!I50+Feb!I50+Mar!I50+Apr!I50+May!I50</f>
        <v>500</v>
      </c>
      <c r="K50" s="162"/>
      <c r="L50" s="41"/>
      <c r="M50" s="42"/>
      <c r="N50" s="42"/>
    </row>
    <row r="51" spans="1:14">
      <c r="A51" s="60"/>
      <c r="B51" s="54" t="s">
        <v>480</v>
      </c>
      <c r="C51" s="54"/>
      <c r="D51" s="54"/>
      <c r="E51" s="54"/>
      <c r="F51" s="54"/>
      <c r="G51" s="54">
        <f t="shared" si="1"/>
        <v>0</v>
      </c>
      <c r="H51" s="54">
        <v>100</v>
      </c>
      <c r="I51" s="63">
        <f t="shared" si="2"/>
        <v>100</v>
      </c>
      <c r="J51" s="161">
        <f>Jan!I51+Feb!I51+Mar!I51+Apr!I51+May!I51</f>
        <v>490.36</v>
      </c>
      <c r="K51" s="162"/>
      <c r="L51" s="41"/>
      <c r="M51" s="42"/>
      <c r="N51" s="42"/>
    </row>
    <row r="52" spans="1:14">
      <c r="A52" s="60"/>
      <c r="B52" s="54" t="s">
        <v>478</v>
      </c>
      <c r="C52" s="54"/>
      <c r="D52" s="54"/>
      <c r="E52" s="54"/>
      <c r="F52" s="54"/>
      <c r="G52" s="54">
        <f t="shared" si="1"/>
        <v>0</v>
      </c>
      <c r="H52" s="54">
        <v>100</v>
      </c>
      <c r="I52" s="63">
        <f t="shared" si="2"/>
        <v>100</v>
      </c>
      <c r="J52" s="161">
        <f>Jan!I52+Feb!I52+Mar!I52+Apr!I52+May!I52</f>
        <v>500</v>
      </c>
      <c r="K52" s="162"/>
      <c r="L52" s="41"/>
      <c r="M52" s="42"/>
      <c r="N52" s="42"/>
    </row>
    <row r="53" spans="1:14">
      <c r="A53" s="60"/>
      <c r="B53" s="54" t="s">
        <v>521</v>
      </c>
      <c r="C53" s="54"/>
      <c r="D53" s="54"/>
      <c r="E53" s="54"/>
      <c r="F53" s="54"/>
      <c r="G53" s="54">
        <f t="shared" si="1"/>
        <v>553.96</v>
      </c>
      <c r="H53" s="54">
        <v>554</v>
      </c>
      <c r="I53" s="63">
        <f t="shared" si="2"/>
        <v>3.999999999996362E-2</v>
      </c>
      <c r="J53" s="161">
        <f>Jan!I53+Feb!I53+Mar!I53+Apr!I53+May!I53</f>
        <v>0.1999999999998181</v>
      </c>
      <c r="K53" s="162"/>
      <c r="L53" s="41">
        <v>553.96</v>
      </c>
      <c r="M53" s="42"/>
      <c r="N53" s="42"/>
    </row>
    <row r="54" spans="1:14">
      <c r="A54" s="60"/>
      <c r="B54" s="54" t="s">
        <v>487</v>
      </c>
      <c r="C54" s="54"/>
      <c r="D54" s="54"/>
      <c r="E54" s="54"/>
      <c r="F54" s="54"/>
      <c r="G54" s="54">
        <f t="shared" si="1"/>
        <v>0</v>
      </c>
      <c r="H54" s="54">
        <v>57</v>
      </c>
      <c r="I54" s="63">
        <f t="shared" si="2"/>
        <v>57</v>
      </c>
      <c r="J54" s="161">
        <f>Jan!I54+Feb!I54+Mar!I54+Apr!I54+May!I54</f>
        <v>-395</v>
      </c>
      <c r="K54" s="162"/>
      <c r="L54" s="41"/>
      <c r="M54" s="42"/>
      <c r="N54" s="42"/>
    </row>
    <row r="55" spans="1:14">
      <c r="A55" s="60"/>
      <c r="B55" s="54" t="s">
        <v>352</v>
      </c>
      <c r="C55" s="54"/>
      <c r="D55" s="54"/>
      <c r="E55" s="54"/>
      <c r="F55" s="54"/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161">
        <f>Jan!I55+Feb!I55+Mar!I55+Apr!I55+May!I55</f>
        <v>-6.6600000000000819</v>
      </c>
      <c r="K55" s="162"/>
      <c r="L55" s="41">
        <v>1694.15</v>
      </c>
      <c r="M55" s="42"/>
      <c r="N55" s="42"/>
    </row>
    <row r="56" spans="1:14">
      <c r="A56" s="60"/>
      <c r="B56" s="54" t="s">
        <v>425</v>
      </c>
      <c r="C56" s="54"/>
      <c r="D56" s="54"/>
      <c r="E56" s="54"/>
      <c r="F56" s="54"/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161">
        <f>Jan!I56+Feb!I56+Mar!I56+Apr!I56+May!I56</f>
        <v>6.6599999999999682</v>
      </c>
      <c r="K56" s="162"/>
      <c r="L56" s="41">
        <v>305.85000000000002</v>
      </c>
      <c r="M56" s="42"/>
      <c r="N56" s="42"/>
    </row>
    <row r="57" spans="1:14">
      <c r="A57" s="60"/>
      <c r="B57" s="54" t="s">
        <v>379</v>
      </c>
      <c r="C57" s="54"/>
      <c r="D57" s="54"/>
      <c r="E57" s="54"/>
      <c r="F57" s="54"/>
      <c r="G57" s="54">
        <f t="shared" si="1"/>
        <v>-2000</v>
      </c>
      <c r="H57" s="54">
        <v>-2000</v>
      </c>
      <c r="I57" s="63">
        <f t="shared" si="2"/>
        <v>0</v>
      </c>
      <c r="J57" s="161">
        <f>Jan!I57+Feb!I57+Mar!I57+Apr!I57+May!I57</f>
        <v>0</v>
      </c>
      <c r="K57" s="162"/>
      <c r="L57" s="41">
        <v>-2000</v>
      </c>
      <c r="M57" s="42"/>
      <c r="N57" s="42"/>
    </row>
    <row r="58" spans="1:14">
      <c r="A58" s="60"/>
      <c r="B58" s="54"/>
      <c r="C58" s="54"/>
      <c r="D58" s="54"/>
      <c r="E58" s="54"/>
      <c r="F58" s="54"/>
      <c r="G58" s="54"/>
      <c r="H58" s="54"/>
      <c r="I58" s="63"/>
      <c r="J58" s="161"/>
      <c r="K58" s="162"/>
      <c r="L58" s="41"/>
      <c r="M58" s="42"/>
      <c r="N58" s="42"/>
    </row>
    <row r="59" spans="1:14">
      <c r="A59" s="60"/>
      <c r="B59" s="54"/>
      <c r="C59" s="54"/>
      <c r="D59" s="54"/>
      <c r="E59" s="54"/>
      <c r="F59" s="54"/>
      <c r="G59" s="54"/>
      <c r="H59" s="54"/>
      <c r="I59" s="63"/>
      <c r="J59" s="161"/>
      <c r="K59" s="162"/>
      <c r="L59" s="41"/>
      <c r="M59" s="42"/>
      <c r="N59" s="42"/>
    </row>
    <row r="60" spans="1:14">
      <c r="A60" s="60" t="s">
        <v>485</v>
      </c>
      <c r="B60" s="54"/>
      <c r="C60" s="54"/>
      <c r="D60" s="54"/>
      <c r="E60" s="54"/>
      <c r="F60" s="54"/>
      <c r="G60" s="54"/>
      <c r="H60" s="54"/>
      <c r="I60" s="63"/>
      <c r="J60" s="161"/>
      <c r="K60" s="162"/>
      <c r="L60" s="41"/>
      <c r="M60" s="42"/>
      <c r="N60" s="42"/>
    </row>
    <row r="61" spans="1:14">
      <c r="A61" s="60"/>
      <c r="B61" s="60">
        <f>SUM(G62:G63)</f>
        <v>163.01999999999998</v>
      </c>
      <c r="C61" s="60">
        <f>SUM(H62:H63)</f>
        <v>167</v>
      </c>
      <c r="D61" s="60">
        <f>C61-B61</f>
        <v>3.9800000000000182</v>
      </c>
      <c r="E61" s="54"/>
      <c r="F61" s="54"/>
      <c r="G61" s="54"/>
      <c r="H61" s="54"/>
      <c r="I61" s="63"/>
      <c r="J61" s="161"/>
      <c r="K61" s="162"/>
      <c r="L61" s="41"/>
      <c r="M61" s="42"/>
      <c r="N61" s="42"/>
    </row>
    <row r="62" spans="1:14">
      <c r="A62" s="60"/>
      <c r="B62" s="54" t="s">
        <v>489</v>
      </c>
      <c r="C62" s="54"/>
      <c r="D62" s="54"/>
      <c r="E62" s="54"/>
      <c r="F62" s="54"/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161">
        <f>Jan!I62+Feb!I62+Mar!I62+Apr!I62+May!I62</f>
        <v>-6.7600000000000193</v>
      </c>
      <c r="K62" s="162"/>
      <c r="L62" s="41"/>
      <c r="M62" s="42">
        <v>69.16</v>
      </c>
      <c r="N62" s="42"/>
    </row>
    <row r="63" spans="1:14">
      <c r="A63" s="60"/>
      <c r="B63" s="54" t="s">
        <v>490</v>
      </c>
      <c r="C63" s="54"/>
      <c r="D63" s="67"/>
      <c r="E63" s="54"/>
      <c r="F63" s="54"/>
      <c r="G63" s="54">
        <f t="shared" si="3"/>
        <v>93.86</v>
      </c>
      <c r="H63" s="54">
        <v>100</v>
      </c>
      <c r="I63" s="63">
        <f t="shared" si="4"/>
        <v>6.1400000000000006</v>
      </c>
      <c r="J63" s="161">
        <f>Jan!I63+Feb!I63+Mar!I63+Apr!I63+May!I63</f>
        <v>-4.5800000000000125</v>
      </c>
      <c r="K63" s="162"/>
      <c r="L63" s="41"/>
      <c r="M63" s="42">
        <v>93.86</v>
      </c>
      <c r="N63" s="42"/>
    </row>
    <row r="64" spans="1:14">
      <c r="A64" s="60"/>
      <c r="B64" s="54"/>
      <c r="C64" s="54"/>
      <c r="D64" s="54"/>
      <c r="E64" s="54"/>
      <c r="F64" s="54"/>
      <c r="G64" s="54"/>
      <c r="H64" s="54"/>
      <c r="I64" s="63"/>
      <c r="J64" s="161"/>
      <c r="K64" s="162"/>
      <c r="L64" s="41"/>
      <c r="M64" s="42"/>
      <c r="N64" s="42"/>
    </row>
    <row r="65" spans="1:15">
      <c r="A65" s="60" t="s">
        <v>486</v>
      </c>
      <c r="B65" s="60">
        <f>SUM(G66:G74)</f>
        <v>219.13</v>
      </c>
      <c r="C65" s="60">
        <f>SUM(H66:H74)</f>
        <v>300</v>
      </c>
      <c r="D65" s="60">
        <f>C65-B65</f>
        <v>80.87</v>
      </c>
      <c r="E65" s="54"/>
      <c r="F65" s="54"/>
      <c r="G65" s="54"/>
      <c r="H65" s="54"/>
      <c r="I65" s="63"/>
      <c r="J65" s="161"/>
      <c r="K65" s="162"/>
      <c r="L65" s="41"/>
      <c r="M65" s="42"/>
      <c r="N65" s="42"/>
    </row>
    <row r="66" spans="1:15">
      <c r="A66" s="54"/>
      <c r="B66" s="54" t="s">
        <v>58</v>
      </c>
      <c r="C66" s="54"/>
      <c r="D66" s="54"/>
      <c r="E66" s="54"/>
      <c r="F66" s="54"/>
      <c r="G66" s="54">
        <f t="shared" si="3"/>
        <v>38.96</v>
      </c>
      <c r="H66" s="54">
        <v>60</v>
      </c>
      <c r="I66" s="63">
        <f t="shared" si="4"/>
        <v>21.04</v>
      </c>
      <c r="J66" s="161">
        <f>Jan!I66+Feb!I66+Mar!I66+Apr!I66+May!I66</f>
        <v>43.64</v>
      </c>
      <c r="K66" s="162"/>
      <c r="L66" s="41"/>
      <c r="M66" s="42">
        <v>38.96</v>
      </c>
      <c r="N66" s="42"/>
    </row>
    <row r="67" spans="1:15">
      <c r="A67" s="54"/>
      <c r="B67" s="54" t="s">
        <v>59</v>
      </c>
      <c r="C67" s="54"/>
      <c r="D67" s="54" t="s">
        <v>60</v>
      </c>
      <c r="E67" s="54"/>
      <c r="F67" s="54"/>
      <c r="G67" s="54">
        <f t="shared" si="3"/>
        <v>85</v>
      </c>
      <c r="H67" s="54">
        <v>130</v>
      </c>
      <c r="I67" s="63">
        <f t="shared" si="4"/>
        <v>45</v>
      </c>
      <c r="J67" s="161">
        <f>Jan!I67+Feb!I67+Mar!I67+Apr!I67+May!I67</f>
        <v>100.64</v>
      </c>
      <c r="K67" s="162"/>
      <c r="L67" s="41"/>
      <c r="M67" s="42">
        <f>85</f>
        <v>85</v>
      </c>
      <c r="N67" s="42"/>
    </row>
    <row r="68" spans="1:15">
      <c r="A68" s="54"/>
      <c r="B68" s="54"/>
      <c r="C68" s="54"/>
      <c r="D68" s="54"/>
      <c r="E68" s="54"/>
      <c r="F68" s="54"/>
      <c r="G68" s="54"/>
      <c r="H68" s="54"/>
      <c r="I68" s="63"/>
      <c r="J68" s="161"/>
      <c r="K68" s="162"/>
      <c r="L68" s="41"/>
      <c r="M68" s="42"/>
      <c r="N68" s="42"/>
    </row>
    <row r="69" spans="1:15">
      <c r="A69" s="60" t="s">
        <v>481</v>
      </c>
      <c r="B69" s="54"/>
      <c r="C69" s="54"/>
      <c r="D69" s="54"/>
      <c r="E69" s="54"/>
      <c r="F69" s="54"/>
      <c r="G69" s="54"/>
      <c r="H69" s="54"/>
      <c r="I69" s="63"/>
      <c r="J69" s="161"/>
      <c r="K69" s="162"/>
      <c r="L69" s="41"/>
      <c r="M69" s="42"/>
      <c r="N69" s="42"/>
    </row>
    <row r="70" spans="1:15">
      <c r="A70" s="54"/>
      <c r="B70" s="54" t="s">
        <v>482</v>
      </c>
      <c r="C70" s="54"/>
      <c r="D70" s="54"/>
      <c r="E70" s="54"/>
      <c r="F70" s="54"/>
      <c r="G70" s="54">
        <f t="shared" si="3"/>
        <v>0</v>
      </c>
      <c r="H70" s="54">
        <v>25</v>
      </c>
      <c r="I70" s="63">
        <f t="shared" si="4"/>
        <v>25</v>
      </c>
      <c r="J70" s="161">
        <f>Jan!I70+Feb!I70+Mar!I70+Apr!I70+May!I70</f>
        <v>20.529999999999994</v>
      </c>
      <c r="K70" s="162"/>
      <c r="L70" s="41"/>
      <c r="M70" s="42"/>
      <c r="N70" s="42"/>
    </row>
    <row r="71" spans="1:15">
      <c r="A71" s="60"/>
      <c r="B71" s="54" t="s">
        <v>483</v>
      </c>
      <c r="C71" s="54"/>
      <c r="D71" s="54"/>
      <c r="E71" s="54"/>
      <c r="F71" s="54"/>
      <c r="G71" s="54">
        <f t="shared" si="3"/>
        <v>0</v>
      </c>
      <c r="H71" s="54">
        <v>30</v>
      </c>
      <c r="I71" s="63">
        <f t="shared" si="4"/>
        <v>30</v>
      </c>
      <c r="J71" s="161">
        <f>Jan!I71+Feb!I71+Mar!I71+Apr!I71+May!I71</f>
        <v>-637.49</v>
      </c>
      <c r="K71" s="162"/>
      <c r="L71" s="41"/>
      <c r="M71" s="42"/>
      <c r="N71" s="42"/>
    </row>
    <row r="72" spans="1:15">
      <c r="A72" s="60"/>
      <c r="B72" s="54" t="s">
        <v>488</v>
      </c>
      <c r="C72" s="54"/>
      <c r="D72" s="54"/>
      <c r="E72" s="54"/>
      <c r="F72" s="54"/>
      <c r="G72" s="54">
        <f t="shared" si="3"/>
        <v>59.98</v>
      </c>
      <c r="H72" s="54">
        <v>20</v>
      </c>
      <c r="I72" s="63">
        <f t="shared" si="4"/>
        <v>-39.979999999999997</v>
      </c>
      <c r="J72" s="161">
        <f>Jan!I72+Feb!I72+Mar!I72+Apr!I72+May!I72</f>
        <v>-46.389999999999993</v>
      </c>
      <c r="K72" s="162"/>
      <c r="L72" s="41"/>
      <c r="M72" s="42">
        <f>59.98</f>
        <v>59.98</v>
      </c>
      <c r="N72" s="42"/>
      <c r="O72" s="156" t="s">
        <v>818</v>
      </c>
    </row>
    <row r="73" spans="1:15">
      <c r="A73" s="60"/>
      <c r="B73" s="54"/>
      <c r="C73" s="54"/>
      <c r="D73" s="54"/>
      <c r="E73" s="54"/>
      <c r="F73" s="54"/>
      <c r="G73" s="54"/>
      <c r="H73" s="54"/>
      <c r="I73" s="63"/>
      <c r="J73" s="161"/>
      <c r="K73" s="162"/>
      <c r="L73" s="41"/>
      <c r="M73" s="42"/>
      <c r="N73" s="42"/>
    </row>
    <row r="74" spans="1:15">
      <c r="A74" s="60" t="s">
        <v>484</v>
      </c>
      <c r="B74" s="54" t="s">
        <v>61</v>
      </c>
      <c r="C74" s="54"/>
      <c r="D74" s="54"/>
      <c r="E74" s="54"/>
      <c r="F74" s="54"/>
      <c r="G74" s="54">
        <f t="shared" si="3"/>
        <v>35.19</v>
      </c>
      <c r="H74" s="54">
        <v>35</v>
      </c>
      <c r="I74" s="63">
        <f t="shared" si="4"/>
        <v>-0.18999999999999773</v>
      </c>
      <c r="J74" s="161">
        <f>Jan!I74+Feb!I74+Mar!I74+Apr!I74+May!I74</f>
        <v>62.750000000000007</v>
      </c>
      <c r="K74" s="162"/>
      <c r="L74" s="41"/>
      <c r="M74" s="42">
        <f>14.84+6.99+2.56+10.8</f>
        <v>35.19</v>
      </c>
      <c r="N74" s="42"/>
    </row>
    <row r="75" spans="1:15" ht="15" thickBot="1">
      <c r="A75" s="60"/>
      <c r="B75" s="54"/>
      <c r="C75" s="54"/>
      <c r="D75" s="54"/>
      <c r="E75" s="54"/>
      <c r="F75" s="54"/>
      <c r="G75" s="54"/>
      <c r="H75" s="54"/>
      <c r="I75" s="63"/>
      <c r="J75" s="161"/>
      <c r="K75" s="162"/>
      <c r="L75" s="41"/>
      <c r="M75" s="42"/>
      <c r="N75" s="42"/>
    </row>
    <row r="76" spans="1:15" ht="15" thickBot="1">
      <c r="A76" s="106" t="s">
        <v>491</v>
      </c>
      <c r="B76" s="151">
        <f>B78+B82+B88+B93+B102+B107+B112+B117+B130+B133+B138+B141</f>
        <v>1876.85</v>
      </c>
      <c r="C76" s="151">
        <f>C78+C82+C88+C93+C102+C107+C112+C117+C130+C133+C138+C141</f>
        <v>2885</v>
      </c>
      <c r="D76" s="151">
        <f>D78+D82+D88+D93+D102+D107+D112+D117+D130+D133+D138+D141</f>
        <v>1008.1500000000001</v>
      </c>
      <c r="E76" s="54"/>
      <c r="F76" s="54"/>
      <c r="G76" s="54"/>
      <c r="H76" s="54"/>
      <c r="I76" s="63"/>
      <c r="J76" s="161"/>
      <c r="K76" s="162"/>
      <c r="L76" s="41"/>
      <c r="M76" s="42"/>
      <c r="N76" s="42"/>
    </row>
    <row r="77" spans="1:15">
      <c r="A77" s="106"/>
      <c r="B77" s="403"/>
      <c r="C77" s="403"/>
      <c r="D77" s="403"/>
      <c r="E77" s="54"/>
      <c r="F77" s="54"/>
      <c r="G77" s="54"/>
      <c r="H77" s="54"/>
      <c r="I77" s="63"/>
      <c r="J77" s="161"/>
      <c r="K77" s="162"/>
      <c r="L77" s="41"/>
      <c r="M77" s="42"/>
      <c r="N77" s="42"/>
    </row>
    <row r="78" spans="1:15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E78" s="54"/>
      <c r="F78" s="54"/>
      <c r="G78" s="54"/>
      <c r="H78" s="54"/>
      <c r="I78" s="63"/>
      <c r="J78" s="161"/>
      <c r="K78" s="162"/>
      <c r="L78" s="41"/>
      <c r="M78" s="42"/>
      <c r="N78" s="42"/>
    </row>
    <row r="79" spans="1:15">
      <c r="A79" s="54"/>
      <c r="B79" s="54" t="s">
        <v>1035</v>
      </c>
      <c r="C79" s="54"/>
      <c r="D79" s="54"/>
      <c r="E79" s="54"/>
      <c r="F79" s="54"/>
      <c r="G79" s="54">
        <f>SUM(L79:N79)</f>
        <v>0</v>
      </c>
      <c r="H79" s="54"/>
      <c r="I79" s="63"/>
      <c r="J79" s="161"/>
      <c r="K79" s="162"/>
      <c r="L79" s="41"/>
      <c r="M79" s="42"/>
      <c r="N79" s="42"/>
    </row>
    <row r="80" spans="1:15">
      <c r="A80" s="60"/>
      <c r="B80" s="54" t="s">
        <v>479</v>
      </c>
      <c r="C80" s="54"/>
      <c r="D80" s="54"/>
      <c r="E80" s="54"/>
      <c r="F80" s="54"/>
      <c r="G80" s="54">
        <f>SUM(L80:N80)</f>
        <v>0</v>
      </c>
      <c r="H80" s="54"/>
      <c r="I80" s="63"/>
      <c r="J80" s="161"/>
      <c r="K80" s="162"/>
      <c r="L80" s="41"/>
      <c r="M80" s="42"/>
      <c r="N80" s="42"/>
    </row>
    <row r="81" spans="1:15">
      <c r="E81" s="54"/>
      <c r="F81" s="54"/>
      <c r="G81" s="54"/>
      <c r="H81" s="54"/>
      <c r="I81" s="63"/>
      <c r="J81" s="161"/>
      <c r="K81" s="162"/>
      <c r="L81" s="41"/>
      <c r="M81" s="42"/>
      <c r="N81" s="42"/>
    </row>
    <row r="82" spans="1:15">
      <c r="A82" s="60" t="s">
        <v>42</v>
      </c>
      <c r="B82" s="60">
        <f>SUM(G83:G86)</f>
        <v>173.5</v>
      </c>
      <c r="C82" s="60">
        <f>SUM(H83:H86)</f>
        <v>395</v>
      </c>
      <c r="D82" s="60">
        <f>C82-B82</f>
        <v>221.5</v>
      </c>
      <c r="E82" s="54"/>
      <c r="F82" s="54"/>
      <c r="G82" s="54"/>
      <c r="H82" s="54"/>
      <c r="I82" s="63"/>
      <c r="J82" s="161"/>
      <c r="K82" s="162"/>
      <c r="L82" s="41"/>
      <c r="M82" s="42"/>
      <c r="N82" s="42"/>
    </row>
    <row r="83" spans="1:15">
      <c r="A83" s="54"/>
      <c r="B83" s="54" t="s">
        <v>29</v>
      </c>
      <c r="C83" s="54" t="s">
        <v>30</v>
      </c>
      <c r="D83" s="54"/>
      <c r="E83" s="54"/>
      <c r="F83" s="54"/>
      <c r="G83" s="54">
        <f t="shared" si="3"/>
        <v>114.5</v>
      </c>
      <c r="H83" s="54">
        <v>125</v>
      </c>
      <c r="I83" s="63">
        <f t="shared" si="4"/>
        <v>10.5</v>
      </c>
      <c r="J83" s="161">
        <f>Jan!I83+Feb!I83+Mar!I83+Apr!I83+May!I83</f>
        <v>-71.98</v>
      </c>
      <c r="K83" s="162"/>
      <c r="L83" s="41">
        <v>114.5</v>
      </c>
      <c r="M83" s="42"/>
      <c r="N83" s="42"/>
    </row>
    <row r="84" spans="1:15">
      <c r="A84" s="54"/>
      <c r="B84" s="54" t="s">
        <v>31</v>
      </c>
      <c r="C84" s="54" t="s">
        <v>32</v>
      </c>
      <c r="D84" s="54"/>
      <c r="E84" s="54"/>
      <c r="F84" s="54"/>
      <c r="G84" s="54">
        <f t="shared" si="3"/>
        <v>59</v>
      </c>
      <c r="H84" s="54">
        <v>50</v>
      </c>
      <c r="I84" s="63">
        <f t="shared" si="4"/>
        <v>-9</v>
      </c>
      <c r="J84" s="161">
        <f>Jan!I84+Feb!I84+Mar!I84+Apr!I84+May!I84</f>
        <v>133.94999999999999</v>
      </c>
      <c r="K84" s="162"/>
      <c r="L84" s="41">
        <v>59</v>
      </c>
      <c r="M84" s="42"/>
      <c r="N84" s="42"/>
    </row>
    <row r="85" spans="1:15">
      <c r="A85" s="54"/>
      <c r="B85" s="54" t="s">
        <v>43</v>
      </c>
      <c r="C85" s="54" t="s">
        <v>44</v>
      </c>
      <c r="D85" s="54" t="s">
        <v>343</v>
      </c>
      <c r="E85" s="54"/>
      <c r="F85" s="54"/>
      <c r="G85" s="54">
        <f t="shared" si="3"/>
        <v>0</v>
      </c>
      <c r="H85" s="54">
        <v>100</v>
      </c>
      <c r="I85" s="63">
        <f t="shared" si="4"/>
        <v>100</v>
      </c>
      <c r="J85" s="161">
        <f>Jan!I85+Feb!I85+Mar!I85+Apr!I85+May!I85</f>
        <v>-685</v>
      </c>
      <c r="K85" s="162"/>
      <c r="L85" s="41"/>
      <c r="M85" s="42"/>
      <c r="N85" s="42"/>
    </row>
    <row r="86" spans="1:15">
      <c r="A86" s="54"/>
      <c r="B86" s="54" t="s">
        <v>45</v>
      </c>
      <c r="C86" s="54" t="s">
        <v>46</v>
      </c>
      <c r="D86" s="54" t="s">
        <v>493</v>
      </c>
      <c r="E86" s="54"/>
      <c r="F86" s="54"/>
      <c r="G86" s="54">
        <f t="shared" si="3"/>
        <v>0</v>
      </c>
      <c r="H86" s="54">
        <v>120</v>
      </c>
      <c r="I86" s="63">
        <f t="shared" si="4"/>
        <v>120</v>
      </c>
      <c r="J86" s="161">
        <f>Jan!I86+Feb!I86+Mar!I86+Apr!I86+May!I86</f>
        <v>487.1</v>
      </c>
      <c r="K86" s="162"/>
      <c r="L86" s="41"/>
      <c r="M86" s="42"/>
      <c r="N86" s="42"/>
    </row>
    <row r="87" spans="1:15">
      <c r="A87" s="54"/>
      <c r="B87" s="54"/>
      <c r="C87" s="54"/>
      <c r="D87" s="54"/>
      <c r="E87" s="54"/>
      <c r="F87" s="54"/>
      <c r="G87" s="54"/>
      <c r="H87" s="54"/>
      <c r="I87" s="63"/>
      <c r="J87" s="161"/>
      <c r="K87" s="162"/>
      <c r="L87" s="41"/>
      <c r="M87" s="42"/>
      <c r="N87" s="42"/>
    </row>
    <row r="88" spans="1:1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E88" s="54"/>
      <c r="F88" s="54"/>
      <c r="G88" s="54"/>
      <c r="H88" s="54"/>
      <c r="I88" s="63"/>
      <c r="J88" s="161"/>
      <c r="K88" s="162"/>
      <c r="L88" s="41"/>
      <c r="M88" s="42"/>
      <c r="N88" s="42"/>
    </row>
    <row r="89" spans="1:15">
      <c r="A89" s="54"/>
      <c r="B89" s="54" t="s">
        <v>49</v>
      </c>
      <c r="C89" s="54"/>
      <c r="D89" s="54" t="s">
        <v>495</v>
      </c>
      <c r="E89" s="54"/>
      <c r="F89" s="54"/>
      <c r="G89" s="54">
        <f t="shared" si="3"/>
        <v>0</v>
      </c>
      <c r="H89" s="54">
        <v>57.5</v>
      </c>
      <c r="I89" s="63">
        <f t="shared" si="4"/>
        <v>57.5</v>
      </c>
      <c r="J89" s="161">
        <f>Jan!I89+Feb!I89+Mar!I89+Apr!I89+May!I89</f>
        <v>-614.5</v>
      </c>
      <c r="K89" s="162"/>
      <c r="L89" s="41"/>
      <c r="M89" s="42"/>
      <c r="N89" s="42"/>
    </row>
    <row r="90" spans="1:15">
      <c r="A90" s="54"/>
      <c r="B90" s="54" t="s">
        <v>50</v>
      </c>
      <c r="C90" s="54"/>
      <c r="D90" s="54" t="s">
        <v>494</v>
      </c>
      <c r="E90" s="54"/>
      <c r="F90" s="54"/>
      <c r="G90" s="54">
        <f t="shared" si="3"/>
        <v>0</v>
      </c>
      <c r="H90" s="54">
        <v>68.5</v>
      </c>
      <c r="I90" s="63">
        <f t="shared" si="4"/>
        <v>68.5</v>
      </c>
      <c r="J90" s="161">
        <f>Jan!I90+Feb!I90+Mar!I90+Apr!I90+May!I90</f>
        <v>342.5</v>
      </c>
      <c r="K90" s="162"/>
      <c r="L90" s="41"/>
      <c r="M90" s="42"/>
      <c r="N90" s="42"/>
    </row>
    <row r="91" spans="1:15">
      <c r="A91" s="54"/>
      <c r="B91" s="54" t="s">
        <v>51</v>
      </c>
      <c r="C91" s="54"/>
      <c r="D91" s="54" t="s">
        <v>503</v>
      </c>
      <c r="E91" s="54"/>
      <c r="F91" s="54"/>
      <c r="G91" s="54">
        <f t="shared" si="3"/>
        <v>0</v>
      </c>
      <c r="H91" s="54">
        <v>36</v>
      </c>
      <c r="I91" s="63">
        <f t="shared" si="4"/>
        <v>36</v>
      </c>
      <c r="J91" s="161">
        <f>Jan!I91+Feb!I91+Mar!I91+Apr!I91+May!I91</f>
        <v>180</v>
      </c>
      <c r="K91" s="162"/>
      <c r="L91" s="41"/>
      <c r="M91" s="42"/>
      <c r="N91" s="42"/>
    </row>
    <row r="92" spans="1:15">
      <c r="A92" s="54"/>
      <c r="B92" s="54"/>
      <c r="C92" s="54"/>
      <c r="D92" s="54"/>
      <c r="E92" s="54"/>
      <c r="F92" s="54"/>
      <c r="G92" s="54"/>
      <c r="H92" s="54"/>
      <c r="I92" s="63"/>
      <c r="J92" s="161"/>
      <c r="K92" s="162"/>
      <c r="L92" s="41"/>
      <c r="M92" s="42"/>
      <c r="N92" s="42"/>
    </row>
    <row r="93" spans="1:15">
      <c r="A93" s="60" t="s">
        <v>52</v>
      </c>
      <c r="B93" s="60">
        <f>SUM(G94:G100)</f>
        <v>100.93</v>
      </c>
      <c r="C93" s="60">
        <f>SUM(H94:H100)</f>
        <v>178</v>
      </c>
      <c r="D93" s="60">
        <f>C93-B93</f>
        <v>77.069999999999993</v>
      </c>
      <c r="E93" s="54"/>
      <c r="F93" s="54"/>
      <c r="G93" s="54"/>
      <c r="H93" s="54"/>
      <c r="I93" s="63"/>
      <c r="J93" s="161"/>
      <c r="K93" s="162"/>
      <c r="L93" s="41"/>
      <c r="M93" s="42"/>
      <c r="N93" s="42"/>
    </row>
    <row r="94" spans="1:15">
      <c r="A94" s="54"/>
      <c r="B94" s="54" t="s">
        <v>496</v>
      </c>
      <c r="C94" s="54"/>
      <c r="D94" s="54"/>
      <c r="E94" s="54"/>
      <c r="F94" s="54"/>
      <c r="G94" s="54">
        <f t="shared" si="3"/>
        <v>0</v>
      </c>
      <c r="H94" s="54">
        <v>20</v>
      </c>
      <c r="I94" s="63">
        <f t="shared" si="4"/>
        <v>20</v>
      </c>
      <c r="J94" s="161">
        <f>Jan!I94+Feb!I94+Mar!I94+Apr!I94+May!I94</f>
        <v>36.44</v>
      </c>
      <c r="K94" s="162"/>
      <c r="L94" s="41"/>
      <c r="M94" s="42"/>
      <c r="N94" s="42"/>
    </row>
    <row r="95" spans="1:15">
      <c r="A95" s="54"/>
      <c r="B95" s="54" t="s">
        <v>497</v>
      </c>
      <c r="C95" s="54"/>
      <c r="D95" s="54"/>
      <c r="E95" s="54"/>
      <c r="F95" s="54"/>
      <c r="G95" s="54">
        <f t="shared" si="3"/>
        <v>6.97</v>
      </c>
      <c r="H95" s="54">
        <v>5</v>
      </c>
      <c r="I95" s="63">
        <f t="shared" si="4"/>
        <v>-1.9699999999999998</v>
      </c>
      <c r="J95" s="161">
        <f>Jan!I95+Feb!I95+Mar!I95+Apr!I95+May!I95</f>
        <v>-3.3999999999999995</v>
      </c>
      <c r="K95" s="162"/>
      <c r="L95" s="41"/>
      <c r="M95" s="42">
        <v>6.97</v>
      </c>
      <c r="N95" s="42"/>
    </row>
    <row r="96" spans="1:15">
      <c r="A96" s="54"/>
      <c r="B96" s="54" t="s">
        <v>325</v>
      </c>
      <c r="C96" s="54"/>
      <c r="D96" s="54"/>
      <c r="E96" s="54"/>
      <c r="F96" s="54"/>
      <c r="G96" s="54">
        <f t="shared" si="3"/>
        <v>93.960000000000008</v>
      </c>
      <c r="H96" s="54">
        <v>65</v>
      </c>
      <c r="I96" s="63">
        <f t="shared" si="4"/>
        <v>-28.960000000000008</v>
      </c>
      <c r="J96" s="161">
        <f>Jan!I96+Feb!I96+Mar!I96+Apr!I96+May!I96</f>
        <v>197.73</v>
      </c>
      <c r="K96" s="162"/>
      <c r="L96" s="41">
        <v>40</v>
      </c>
      <c r="M96" s="42">
        <f>53.96</f>
        <v>53.96</v>
      </c>
      <c r="N96" s="42"/>
      <c r="O96" s="156" t="s">
        <v>827</v>
      </c>
    </row>
    <row r="97" spans="1:15">
      <c r="A97" s="54"/>
      <c r="B97" s="54" t="s">
        <v>801</v>
      </c>
      <c r="C97" s="54"/>
      <c r="D97" s="54"/>
      <c r="E97" s="54"/>
      <c r="F97" s="54"/>
      <c r="G97" s="54">
        <f t="shared" si="3"/>
        <v>0</v>
      </c>
      <c r="H97" s="54">
        <v>15</v>
      </c>
      <c r="I97" s="63">
        <f t="shared" si="4"/>
        <v>15</v>
      </c>
      <c r="J97" s="161">
        <f>Jan!I97+Feb!I97+Mar!I97+Apr!I97+May!I97</f>
        <v>75</v>
      </c>
      <c r="K97" s="162"/>
      <c r="L97" s="41"/>
      <c r="M97" s="42"/>
      <c r="N97" s="42"/>
    </row>
    <row r="98" spans="1:15">
      <c r="A98" s="54"/>
      <c r="B98" s="54" t="s">
        <v>321</v>
      </c>
      <c r="C98" s="54"/>
      <c r="D98" s="54"/>
      <c r="E98" s="54"/>
      <c r="F98" s="54"/>
      <c r="G98" s="54">
        <f>SUM(L98:N98)</f>
        <v>0</v>
      </c>
      <c r="H98" s="54">
        <v>35</v>
      </c>
      <c r="I98" s="63">
        <f t="shared" si="4"/>
        <v>35</v>
      </c>
      <c r="J98" s="161">
        <f>Jan!I98+Feb!I98+Mar!I98+Apr!I98+May!I98</f>
        <v>175</v>
      </c>
      <c r="K98" s="162"/>
      <c r="L98" s="41"/>
      <c r="M98" s="42"/>
      <c r="N98" s="42"/>
    </row>
    <row r="99" spans="1:15">
      <c r="A99" s="54"/>
      <c r="B99" s="54" t="s">
        <v>498</v>
      </c>
      <c r="C99" s="54"/>
      <c r="D99" s="54"/>
      <c r="E99" s="54"/>
      <c r="F99" s="54"/>
      <c r="G99" s="54">
        <f t="shared" si="3"/>
        <v>0</v>
      </c>
      <c r="H99" s="54">
        <v>26</v>
      </c>
      <c r="I99" s="63">
        <f t="shared" si="4"/>
        <v>26</v>
      </c>
      <c r="J99" s="161">
        <f>Jan!I99+Feb!I99+Mar!I99+Apr!I99+May!I99</f>
        <v>130</v>
      </c>
      <c r="K99" s="162"/>
      <c r="L99" s="41"/>
      <c r="M99" s="42"/>
      <c r="N99" s="42"/>
    </row>
    <row r="100" spans="1:15">
      <c r="A100" s="54"/>
      <c r="B100" s="54" t="s">
        <v>499</v>
      </c>
      <c r="C100" s="54"/>
      <c r="D100" s="54"/>
      <c r="E100" s="54"/>
      <c r="F100" s="54"/>
      <c r="G100" s="54">
        <f t="shared" si="3"/>
        <v>0</v>
      </c>
      <c r="H100" s="54">
        <v>12</v>
      </c>
      <c r="I100" s="63">
        <f t="shared" si="4"/>
        <v>12</v>
      </c>
      <c r="J100" s="161">
        <f>Jan!I100+Feb!I100+Mar!I100+Apr!I100+May!I100</f>
        <v>23.020000000000003</v>
      </c>
      <c r="K100" s="162"/>
      <c r="L100" s="41"/>
      <c r="M100" s="42"/>
      <c r="N100" s="42"/>
    </row>
    <row r="101" spans="1:15">
      <c r="A101" s="54"/>
      <c r="B101" s="54"/>
      <c r="C101" s="54"/>
      <c r="D101" s="54"/>
      <c r="E101" s="54"/>
      <c r="F101" s="54"/>
      <c r="G101" s="54"/>
      <c r="H101" s="54"/>
      <c r="I101" s="63"/>
      <c r="J101" s="161"/>
      <c r="K101" s="162"/>
      <c r="L101" s="41"/>
      <c r="M101" s="42"/>
      <c r="N101" s="42"/>
    </row>
    <row r="102" spans="1:1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E102" s="54"/>
      <c r="F102" s="54"/>
      <c r="G102" s="54"/>
      <c r="H102" s="54"/>
      <c r="I102" s="63"/>
      <c r="J102" s="161"/>
      <c r="K102" s="162"/>
      <c r="L102" s="41"/>
      <c r="M102" s="42"/>
      <c r="N102" s="42"/>
    </row>
    <row r="103" spans="1:15">
      <c r="A103" s="54"/>
      <c r="B103" s="54" t="s">
        <v>541</v>
      </c>
      <c r="C103" s="54"/>
      <c r="D103" s="54"/>
      <c r="E103" s="54"/>
      <c r="F103" s="54"/>
      <c r="G103" s="54">
        <f t="shared" si="3"/>
        <v>0</v>
      </c>
      <c r="H103" s="54">
        <v>60</v>
      </c>
      <c r="I103" s="63">
        <f t="shared" si="4"/>
        <v>60</v>
      </c>
      <c r="J103" s="161">
        <f>Jan!I103+Feb!I103+Mar!I103+Apr!I103+May!I103</f>
        <v>-91.360000000000014</v>
      </c>
      <c r="K103" s="162"/>
      <c r="L103" s="41"/>
      <c r="M103" s="42"/>
      <c r="N103" s="42"/>
    </row>
    <row r="104" spans="1:15">
      <c r="A104" s="54"/>
      <c r="B104" s="54" t="s">
        <v>500</v>
      </c>
      <c r="C104" s="54"/>
      <c r="D104" s="54"/>
      <c r="E104" s="54"/>
      <c r="F104" s="54"/>
      <c r="G104" s="54">
        <f t="shared" si="3"/>
        <v>0</v>
      </c>
      <c r="H104" s="54">
        <v>60</v>
      </c>
      <c r="I104" s="63">
        <f t="shared" si="4"/>
        <v>60</v>
      </c>
      <c r="J104" s="161">
        <f>Jan!I104+Feb!I104+Mar!I104+Apr!I104+May!I104</f>
        <v>260.2</v>
      </c>
      <c r="K104" s="162"/>
      <c r="L104" s="41"/>
      <c r="M104" s="42"/>
      <c r="N104" s="42"/>
    </row>
    <row r="105" spans="1:15">
      <c r="A105" s="54"/>
      <c r="B105" s="54" t="s">
        <v>279</v>
      </c>
      <c r="C105" s="54"/>
      <c r="D105" s="54"/>
      <c r="E105" s="54"/>
      <c r="F105" s="54"/>
      <c r="G105" s="54">
        <f t="shared" si="3"/>
        <v>0</v>
      </c>
      <c r="H105" s="54">
        <v>10</v>
      </c>
      <c r="I105" s="63">
        <f t="shared" si="4"/>
        <v>10</v>
      </c>
      <c r="J105" s="161">
        <f>Jan!I105+Feb!I105+Mar!I105+Apr!I105+May!I105</f>
        <v>50</v>
      </c>
      <c r="K105" s="162"/>
      <c r="L105" s="41"/>
      <c r="M105" s="42"/>
      <c r="N105" s="42"/>
    </row>
    <row r="106" spans="1:15">
      <c r="A106" s="54"/>
      <c r="B106" s="54"/>
      <c r="C106" s="54"/>
      <c r="D106" s="54"/>
      <c r="E106" s="54"/>
      <c r="F106" s="54"/>
      <c r="G106" s="54"/>
      <c r="H106" s="54"/>
      <c r="I106" s="63"/>
      <c r="J106" s="161"/>
      <c r="K106" s="162"/>
      <c r="L106" s="41"/>
      <c r="M106" s="42"/>
      <c r="N106" s="42"/>
    </row>
    <row r="107" spans="1:15">
      <c r="A107" s="60" t="s">
        <v>56</v>
      </c>
      <c r="B107" s="60">
        <f>SUM(G108:G110)</f>
        <v>131.1</v>
      </c>
      <c r="C107" s="60">
        <f>SUM(H108:H110)</f>
        <v>225</v>
      </c>
      <c r="D107" s="60">
        <f>C107-B107</f>
        <v>93.9</v>
      </c>
      <c r="E107" s="54"/>
      <c r="F107" s="54"/>
      <c r="G107" s="54"/>
      <c r="H107" s="54"/>
      <c r="I107" s="63"/>
      <c r="J107" s="161"/>
      <c r="K107" s="162"/>
      <c r="L107" s="41"/>
      <c r="M107" s="42"/>
      <c r="N107" s="42"/>
    </row>
    <row r="108" spans="1:15">
      <c r="A108" s="54"/>
      <c r="B108" s="54" t="s">
        <v>501</v>
      </c>
      <c r="C108" s="54"/>
      <c r="D108" s="54"/>
      <c r="E108" s="54"/>
      <c r="F108" s="54"/>
      <c r="G108" s="54">
        <f t="shared" si="3"/>
        <v>0</v>
      </c>
      <c r="H108" s="54">
        <v>90</v>
      </c>
      <c r="I108" s="63">
        <f t="shared" si="4"/>
        <v>90</v>
      </c>
      <c r="J108" s="161">
        <f>Jan!I108+Feb!I108+Mar!I108+Apr!I108+May!I108</f>
        <v>-44.230000000000018</v>
      </c>
      <c r="K108" s="162"/>
      <c r="L108" s="41"/>
      <c r="M108" s="42"/>
      <c r="N108" s="42"/>
      <c r="O108" s="174"/>
    </row>
    <row r="109" spans="1:15">
      <c r="A109" s="54"/>
      <c r="B109" s="54" t="s">
        <v>57</v>
      </c>
      <c r="C109" s="54"/>
      <c r="D109" s="54"/>
      <c r="E109" s="54"/>
      <c r="F109" s="54"/>
      <c r="G109" s="54">
        <f t="shared" si="3"/>
        <v>0</v>
      </c>
      <c r="H109" s="54">
        <v>25</v>
      </c>
      <c r="I109" s="63">
        <f t="shared" si="4"/>
        <v>25</v>
      </c>
      <c r="J109" s="161">
        <f>Jan!I109+Feb!I109+Mar!I109+Apr!I109+May!I109</f>
        <v>-108.39999999999998</v>
      </c>
      <c r="K109" s="162"/>
      <c r="L109" s="41"/>
      <c r="M109" s="42"/>
      <c r="N109" s="42"/>
    </row>
    <row r="110" spans="1:15">
      <c r="A110" s="54"/>
      <c r="B110" s="56" t="s">
        <v>502</v>
      </c>
      <c r="C110" s="54"/>
      <c r="D110" s="54"/>
      <c r="E110" s="54"/>
      <c r="F110" s="54"/>
      <c r="G110" s="54">
        <f t="shared" si="3"/>
        <v>131.1</v>
      </c>
      <c r="H110" s="54">
        <v>110</v>
      </c>
      <c r="I110" s="63">
        <f t="shared" si="4"/>
        <v>-21.099999999999994</v>
      </c>
      <c r="J110" s="161">
        <f>Jan!I110+Feb!I110+Mar!I110+Apr!I110+May!I110</f>
        <v>49.33</v>
      </c>
      <c r="K110" s="162"/>
      <c r="L110" s="41"/>
      <c r="M110" s="42">
        <f>63.91+67.19</f>
        <v>131.1</v>
      </c>
      <c r="N110" s="42"/>
    </row>
    <row r="111" spans="1:15">
      <c r="A111" s="54"/>
      <c r="B111" s="54"/>
      <c r="C111" s="54"/>
      <c r="D111" s="54"/>
      <c r="E111" s="54"/>
      <c r="F111" s="54"/>
      <c r="G111" s="54"/>
      <c r="H111" s="54"/>
      <c r="I111" s="63"/>
      <c r="J111" s="161"/>
      <c r="K111" s="162"/>
      <c r="L111" s="41"/>
      <c r="M111" s="42"/>
      <c r="N111" s="42"/>
    </row>
    <row r="112" spans="1:15">
      <c r="A112" s="60" t="s">
        <v>62</v>
      </c>
      <c r="B112" s="60">
        <f>SUM(G113:G115)</f>
        <v>330</v>
      </c>
      <c r="C112" s="60">
        <f>SUM(H113:H115)</f>
        <v>415</v>
      </c>
      <c r="D112" s="60">
        <f>C112-B112</f>
        <v>85</v>
      </c>
      <c r="E112" s="54"/>
      <c r="F112" s="54"/>
      <c r="G112" s="54"/>
      <c r="H112" s="54"/>
      <c r="I112" s="63"/>
      <c r="J112" s="161"/>
      <c r="K112" s="162"/>
      <c r="L112" s="41"/>
      <c r="M112" s="42"/>
      <c r="N112" s="42"/>
    </row>
    <row r="113" spans="1:15">
      <c r="A113" s="54"/>
      <c r="B113" s="54" t="s">
        <v>543</v>
      </c>
      <c r="C113" s="54"/>
      <c r="D113" s="54" t="s">
        <v>63</v>
      </c>
      <c r="E113" s="54"/>
      <c r="F113" s="54"/>
      <c r="G113" s="54">
        <f t="shared" si="3"/>
        <v>0</v>
      </c>
      <c r="H113" s="54">
        <v>150</v>
      </c>
      <c r="I113" s="63">
        <f t="shared" si="4"/>
        <v>150</v>
      </c>
      <c r="J113" s="161">
        <f>Jan!I113+Feb!I113+Mar!I113+Apr!I113+May!I113</f>
        <v>750</v>
      </c>
      <c r="K113" s="162"/>
      <c r="L113" s="41"/>
      <c r="M113" s="42"/>
      <c r="N113" s="42"/>
    </row>
    <row r="114" spans="1:15">
      <c r="A114" s="60"/>
      <c r="B114" s="54" t="s">
        <v>542</v>
      </c>
      <c r="C114" s="54"/>
      <c r="D114" s="54"/>
      <c r="E114" s="54"/>
      <c r="F114" s="54"/>
      <c r="G114" s="54">
        <f t="shared" si="3"/>
        <v>330</v>
      </c>
      <c r="H114" s="54">
        <v>215</v>
      </c>
      <c r="I114" s="63">
        <f t="shared" si="4"/>
        <v>-115</v>
      </c>
      <c r="J114" s="161">
        <f>Jan!I114+Feb!I114+Mar!I114+Apr!I114+May!I114</f>
        <v>105</v>
      </c>
      <c r="K114" s="162"/>
      <c r="L114" s="41">
        <f>160+170</f>
        <v>330</v>
      </c>
      <c r="M114" s="42"/>
      <c r="N114" s="42"/>
      <c r="O114" s="156" t="s">
        <v>803</v>
      </c>
    </row>
    <row r="115" spans="1:15">
      <c r="A115" s="60"/>
      <c r="B115" s="54" t="s">
        <v>526</v>
      </c>
      <c r="C115" s="54"/>
      <c r="D115" s="54"/>
      <c r="E115" s="54"/>
      <c r="F115" s="54"/>
      <c r="G115" s="54">
        <f t="shared" si="3"/>
        <v>0</v>
      </c>
      <c r="H115" s="54">
        <v>50</v>
      </c>
      <c r="I115" s="63">
        <f t="shared" si="4"/>
        <v>50</v>
      </c>
      <c r="J115" s="161">
        <f>Jan!I115+Feb!I115+Mar!I115+Apr!I115+May!I115</f>
        <v>216.04</v>
      </c>
      <c r="K115" s="162"/>
      <c r="L115" s="41"/>
      <c r="M115" s="42"/>
      <c r="N115" s="42"/>
    </row>
    <row r="116" spans="1:15">
      <c r="A116" s="60"/>
      <c r="B116" s="54"/>
      <c r="C116" s="54"/>
      <c r="D116" s="54"/>
      <c r="E116" s="54"/>
      <c r="F116" s="54"/>
      <c r="G116" s="54"/>
      <c r="H116" s="54"/>
      <c r="I116" s="63"/>
      <c r="J116" s="161"/>
      <c r="K116" s="162"/>
      <c r="L116" s="41"/>
      <c r="M116" s="42"/>
      <c r="N116" s="42"/>
    </row>
    <row r="117" spans="1:15">
      <c r="A117" s="60" t="s">
        <v>53</v>
      </c>
      <c r="B117" s="60">
        <f>SUM(G118:G128)</f>
        <v>850.34999999999991</v>
      </c>
      <c r="C117" s="60">
        <f>SUM(H118:H128)</f>
        <v>750</v>
      </c>
      <c r="D117" s="60">
        <f>C117-B117</f>
        <v>-100.34999999999991</v>
      </c>
      <c r="E117" s="54"/>
      <c r="F117" s="54"/>
      <c r="G117" s="54"/>
      <c r="H117" s="54"/>
      <c r="I117" s="63"/>
      <c r="J117" s="161"/>
      <c r="K117" s="162"/>
      <c r="L117" s="41"/>
      <c r="M117" s="42"/>
      <c r="N117" s="42"/>
    </row>
    <row r="118" spans="1:15">
      <c r="A118" s="54"/>
      <c r="B118" s="54" t="s">
        <v>54</v>
      </c>
      <c r="C118" s="54"/>
      <c r="D118" s="54"/>
      <c r="E118" s="54"/>
      <c r="F118" s="54"/>
      <c r="G118" s="54">
        <f t="shared" si="3"/>
        <v>250</v>
      </c>
      <c r="H118" s="54">
        <v>100</v>
      </c>
      <c r="I118" s="63">
        <f t="shared" si="4"/>
        <v>-150</v>
      </c>
      <c r="J118" s="161">
        <f>Jan!I118+Feb!I118+Mar!I118+Apr!I118+May!I118</f>
        <v>68</v>
      </c>
      <c r="K118" s="162"/>
      <c r="L118" s="41">
        <f>100+200-50</f>
        <v>250</v>
      </c>
      <c r="M118" s="42"/>
      <c r="N118" s="42"/>
      <c r="O118" s="156" t="s">
        <v>793</v>
      </c>
    </row>
    <row r="119" spans="1:15" ht="15" thickBot="1">
      <c r="A119" s="54"/>
      <c r="B119" s="54" t="s">
        <v>511</v>
      </c>
      <c r="C119" s="54"/>
      <c r="D119" s="54"/>
      <c r="E119" s="54"/>
      <c r="F119" s="54"/>
      <c r="G119" s="54">
        <f t="shared" si="3"/>
        <v>416.42999999999995</v>
      </c>
      <c r="H119" s="54">
        <v>500</v>
      </c>
      <c r="I119" s="63">
        <f t="shared" si="4"/>
        <v>83.57000000000005</v>
      </c>
      <c r="J119" s="161">
        <f>Jan!I119+Feb!I119+Mar!I119+Apr!I119+May!I119</f>
        <v>269.88000000000005</v>
      </c>
      <c r="K119" s="162"/>
      <c r="L119" s="41">
        <v>48.5</v>
      </c>
      <c r="M119" s="42">
        <f>15.49+17.74</f>
        <v>33.229999999999997</v>
      </c>
      <c r="N119" s="42">
        <f>65.19+115.35+72.4+24.95+56.81</f>
        <v>334.7</v>
      </c>
    </row>
    <row r="120" spans="1:15" ht="15" thickBot="1">
      <c r="A120" s="54"/>
      <c r="B120" s="54"/>
      <c r="C120" s="54" t="s">
        <v>504</v>
      </c>
      <c r="D120" s="54"/>
      <c r="E120" s="95"/>
      <c r="F120" s="54"/>
      <c r="G120" s="54"/>
      <c r="H120" s="54"/>
      <c r="I120" s="63"/>
      <c r="J120" s="161"/>
      <c r="K120" s="162"/>
      <c r="L120" s="41"/>
      <c r="M120" s="42"/>
      <c r="N120" s="42"/>
    </row>
    <row r="121" spans="1:15" ht="15" thickBot="1">
      <c r="A121" s="54"/>
      <c r="B121" s="54"/>
      <c r="C121" s="54" t="s">
        <v>505</v>
      </c>
      <c r="D121" s="54"/>
      <c r="E121" s="95"/>
      <c r="F121" s="54"/>
      <c r="G121" s="54"/>
      <c r="H121" s="54"/>
      <c r="I121" s="63"/>
      <c r="J121" s="161"/>
      <c r="K121" s="162"/>
      <c r="L121" s="41"/>
      <c r="M121" s="42"/>
      <c r="N121" s="42"/>
    </row>
    <row r="122" spans="1:15">
      <c r="A122" s="54"/>
      <c r="B122" s="54" t="s">
        <v>322</v>
      </c>
      <c r="C122" s="54"/>
      <c r="D122" s="54"/>
      <c r="E122" s="54"/>
      <c r="F122" s="54"/>
      <c r="G122" s="54">
        <f>SUM(L122:N122)</f>
        <v>38.21</v>
      </c>
      <c r="H122" s="54">
        <v>40</v>
      </c>
      <c r="I122" s="63">
        <f t="shared" si="4"/>
        <v>1.7899999999999991</v>
      </c>
      <c r="J122" s="161">
        <f>Jan!I122+Feb!I122+Mar!I122+Apr!I122+May!I122</f>
        <v>24.600000000000019</v>
      </c>
      <c r="K122" s="162"/>
      <c r="L122" s="41"/>
      <c r="M122" s="42">
        <f>(73.11-27.93-6.97)</f>
        <v>38.21</v>
      </c>
      <c r="N122" s="42"/>
    </row>
    <row r="123" spans="1:15" ht="15" thickBot="1">
      <c r="A123" s="54"/>
      <c r="B123" s="54" t="s">
        <v>55</v>
      </c>
      <c r="C123" s="54"/>
      <c r="D123" s="54"/>
      <c r="E123" s="54"/>
      <c r="F123" s="54"/>
      <c r="G123" s="54">
        <f>SUM(L123:N123)</f>
        <v>145.70999999999998</v>
      </c>
      <c r="H123" s="54">
        <v>100</v>
      </c>
      <c r="I123" s="63">
        <f t="shared" si="4"/>
        <v>-45.70999999999998</v>
      </c>
      <c r="J123" s="161">
        <f>Jan!I123+Feb!I123+Mar!I123+Apr!I123+May!I123</f>
        <v>225</v>
      </c>
      <c r="K123" s="162"/>
      <c r="L123" s="41"/>
      <c r="M123" s="42">
        <f>27.93+11.88</f>
        <v>39.81</v>
      </c>
      <c r="N123" s="42">
        <f>121.49-15.59</f>
        <v>105.89999999999999</v>
      </c>
      <c r="O123" s="156" t="s">
        <v>804</v>
      </c>
    </row>
    <row r="124" spans="1:15" ht="15" thickBot="1">
      <c r="A124" s="54"/>
      <c r="B124" s="54"/>
      <c r="C124" s="273" t="s">
        <v>506</v>
      </c>
      <c r="D124" s="274"/>
      <c r="E124" s="387">
        <f>8.96+(9.6+21.99+17.6+9+9)*0.8+0.02</f>
        <v>62.732000000000006</v>
      </c>
      <c r="F124" s="54"/>
      <c r="G124" s="54"/>
      <c r="H124" s="54"/>
      <c r="I124" s="63"/>
      <c r="J124" s="161"/>
      <c r="K124" s="162"/>
      <c r="L124" s="41"/>
      <c r="M124" s="41"/>
      <c r="N124" s="42"/>
    </row>
    <row r="125" spans="1:15" ht="15" thickBot="1">
      <c r="A125" s="54"/>
      <c r="B125" s="54"/>
      <c r="C125" s="273" t="s">
        <v>507</v>
      </c>
      <c r="D125" s="274"/>
      <c r="E125" s="95"/>
      <c r="F125" s="54"/>
      <c r="G125" s="54"/>
      <c r="H125" s="54"/>
      <c r="I125" s="63"/>
      <c r="J125" s="161"/>
      <c r="K125" s="162"/>
      <c r="L125" s="41"/>
      <c r="M125" s="41"/>
      <c r="N125" s="42"/>
    </row>
    <row r="126" spans="1:15" ht="15" thickBot="1">
      <c r="A126" s="54"/>
      <c r="B126" s="54"/>
      <c r="C126" s="273" t="s">
        <v>508</v>
      </c>
      <c r="D126" s="274"/>
      <c r="E126" s="387">
        <f>2.97+(24.99+16.8+16.8+6.6)*0.8</f>
        <v>55.122</v>
      </c>
      <c r="F126" s="54"/>
      <c r="G126" s="54"/>
      <c r="H126" s="54"/>
      <c r="I126" s="63"/>
      <c r="J126" s="161"/>
      <c r="K126" s="162"/>
      <c r="L126" s="41"/>
      <c r="M126" s="41"/>
      <c r="N126" s="42"/>
    </row>
    <row r="127" spans="1:15" ht="15" thickBot="1">
      <c r="A127" s="54"/>
      <c r="B127" s="54"/>
      <c r="C127" s="273" t="s">
        <v>509</v>
      </c>
      <c r="D127" s="274"/>
      <c r="E127" s="95">
        <f>9.97+9+8.91</f>
        <v>27.88</v>
      </c>
      <c r="F127" s="54"/>
      <c r="G127" s="54"/>
      <c r="H127" s="54"/>
      <c r="I127" s="63"/>
      <c r="J127" s="161"/>
      <c r="K127" s="162"/>
      <c r="L127" s="41"/>
      <c r="M127" s="41"/>
      <c r="N127" s="42"/>
    </row>
    <row r="128" spans="1:15">
      <c r="A128" s="54"/>
      <c r="B128" s="54" t="s">
        <v>510</v>
      </c>
      <c r="C128" s="54"/>
      <c r="D128" s="54"/>
      <c r="E128" s="54"/>
      <c r="F128" s="54"/>
      <c r="G128" s="54">
        <f t="shared" ref="G128:G143" si="5">SUM(L128:N128)</f>
        <v>0</v>
      </c>
      <c r="H128" s="54">
        <v>10</v>
      </c>
      <c r="I128" s="63">
        <f t="shared" ref="I128:I143" si="6">H128-G128</f>
        <v>10</v>
      </c>
      <c r="J128" s="161">
        <f>Jan!I128+Feb!I128+Mar!I128+Apr!I128+May!I128</f>
        <v>-97.56</v>
      </c>
      <c r="K128" s="162"/>
      <c r="L128" s="41"/>
      <c r="M128" s="41"/>
      <c r="N128" s="42"/>
    </row>
    <row r="129" spans="1:15">
      <c r="A129" s="54"/>
      <c r="B129" s="54"/>
      <c r="C129" s="54"/>
      <c r="D129" s="54"/>
      <c r="E129" s="54"/>
      <c r="F129" s="54"/>
      <c r="G129" s="54"/>
      <c r="H129" s="54"/>
      <c r="I129" s="63"/>
      <c r="J129" s="161"/>
      <c r="K129" s="162"/>
      <c r="L129" s="41"/>
      <c r="M129" s="41"/>
      <c r="N129" s="42"/>
    </row>
    <row r="130" spans="1:15">
      <c r="A130" s="60" t="s">
        <v>68</v>
      </c>
      <c r="B130" s="60">
        <f>G131</f>
        <v>24</v>
      </c>
      <c r="C130" s="60">
        <f>H131</f>
        <v>140</v>
      </c>
      <c r="D130" s="60">
        <f>I131</f>
        <v>116</v>
      </c>
      <c r="E130" s="54"/>
      <c r="F130" s="54"/>
      <c r="G130" s="54"/>
      <c r="H130" s="54"/>
      <c r="I130" s="63"/>
      <c r="J130" s="161"/>
      <c r="K130" s="162"/>
      <c r="L130" s="41"/>
      <c r="M130" s="41"/>
      <c r="N130" s="42"/>
    </row>
    <row r="131" spans="1:15">
      <c r="A131" s="54"/>
      <c r="B131" s="54" t="s">
        <v>69</v>
      </c>
      <c r="C131" s="54"/>
      <c r="D131" s="54"/>
      <c r="E131" s="54"/>
      <c r="F131" s="54"/>
      <c r="G131" s="54">
        <f t="shared" si="5"/>
        <v>24</v>
      </c>
      <c r="H131" s="54">
        <v>140</v>
      </c>
      <c r="I131" s="63">
        <f t="shared" si="6"/>
        <v>116</v>
      </c>
      <c r="J131" s="161">
        <f>Jan!I131+Feb!I131+Mar!I131+Apr!I131+May!I131</f>
        <v>172.73</v>
      </c>
      <c r="K131" s="162"/>
      <c r="L131" s="41"/>
      <c r="M131" s="41">
        <v>24</v>
      </c>
      <c r="N131" s="42"/>
    </row>
    <row r="132" spans="1:15">
      <c r="A132" s="54"/>
      <c r="B132" s="54"/>
      <c r="C132" s="54"/>
      <c r="D132" s="54"/>
      <c r="E132" s="54"/>
      <c r="F132" s="54"/>
      <c r="G132" s="54"/>
      <c r="H132" s="54"/>
      <c r="I132" s="63"/>
      <c r="J132" s="161"/>
      <c r="K132" s="162"/>
      <c r="L132" s="41"/>
      <c r="M132" s="41"/>
      <c r="N132" s="42"/>
    </row>
    <row r="133" spans="1:15">
      <c r="A133" s="60" t="s">
        <v>292</v>
      </c>
      <c r="B133" s="60">
        <f>SUM(G134:G136)</f>
        <v>89.18</v>
      </c>
      <c r="C133" s="60">
        <f>SUM(H134:H136)</f>
        <v>230</v>
      </c>
      <c r="D133" s="60">
        <f>C133-B133</f>
        <v>140.82</v>
      </c>
      <c r="E133" s="54"/>
      <c r="F133" s="54"/>
      <c r="G133" s="54"/>
      <c r="H133" s="54"/>
      <c r="I133" s="63"/>
      <c r="J133" s="161"/>
      <c r="K133" s="162"/>
      <c r="L133" s="41"/>
      <c r="M133" s="41"/>
      <c r="N133" s="42"/>
    </row>
    <row r="134" spans="1:15">
      <c r="A134" s="54"/>
      <c r="B134" s="54" t="s">
        <v>287</v>
      </c>
      <c r="C134" s="54"/>
      <c r="D134" s="54"/>
      <c r="E134" s="54"/>
      <c r="F134" s="54"/>
      <c r="G134" s="54">
        <f t="shared" si="5"/>
        <v>89.18</v>
      </c>
      <c r="H134" s="54">
        <v>100</v>
      </c>
      <c r="I134" s="63">
        <f t="shared" si="6"/>
        <v>10.819999999999993</v>
      </c>
      <c r="J134" s="161">
        <f>Jan!I134+Feb!I134+Mar!I134+Apr!I134+May!I134</f>
        <v>93.289999999999978</v>
      </c>
      <c r="K134" s="162"/>
      <c r="L134" s="41"/>
      <c r="M134" s="41">
        <f>37.18+52</f>
        <v>89.18</v>
      </c>
      <c r="N134" s="42"/>
    </row>
    <row r="135" spans="1:15">
      <c r="A135" s="54"/>
      <c r="B135" s="54" t="s">
        <v>512</v>
      </c>
      <c r="C135" s="54"/>
      <c r="D135" s="54"/>
      <c r="E135" s="54"/>
      <c r="F135" s="54"/>
      <c r="G135" s="54">
        <f t="shared" si="5"/>
        <v>0</v>
      </c>
      <c r="H135" s="54">
        <v>100</v>
      </c>
      <c r="I135" s="63">
        <f t="shared" si="6"/>
        <v>100</v>
      </c>
      <c r="J135" s="161">
        <f>Jan!I135+Feb!I135+Mar!I135+Apr!I135+May!I135</f>
        <v>500</v>
      </c>
      <c r="K135" s="162"/>
      <c r="L135" s="41"/>
      <c r="M135" s="41"/>
      <c r="N135" s="42"/>
    </row>
    <row r="136" spans="1:15">
      <c r="A136" s="54"/>
      <c r="B136" s="54" t="s">
        <v>513</v>
      </c>
      <c r="C136" s="54"/>
      <c r="D136" s="54"/>
      <c r="E136" s="54"/>
      <c r="F136" s="54"/>
      <c r="G136" s="54">
        <f t="shared" si="5"/>
        <v>0</v>
      </c>
      <c r="H136" s="54">
        <v>30</v>
      </c>
      <c r="I136" s="63">
        <f t="shared" si="6"/>
        <v>30</v>
      </c>
      <c r="J136" s="161">
        <f>Jan!I136+Feb!I136+Mar!I136+Apr!I136+May!I136</f>
        <v>141.03</v>
      </c>
      <c r="K136" s="162"/>
      <c r="L136" s="41"/>
      <c r="M136" s="41"/>
      <c r="N136" s="42"/>
    </row>
    <row r="137" spans="1:15">
      <c r="A137" s="54"/>
      <c r="B137" s="54"/>
      <c r="C137" s="54"/>
      <c r="D137" s="54"/>
      <c r="E137" s="54"/>
      <c r="F137" s="54"/>
      <c r="G137" s="54"/>
      <c r="H137" s="54"/>
      <c r="I137" s="63"/>
      <c r="J137" s="161"/>
      <c r="K137" s="162"/>
      <c r="L137" s="41"/>
      <c r="M137" s="41"/>
      <c r="N137" s="42"/>
    </row>
    <row r="138" spans="1:1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E138" s="54"/>
      <c r="F138" s="54"/>
      <c r="G138" s="54"/>
      <c r="H138" s="54"/>
      <c r="I138" s="63"/>
      <c r="J138" s="161"/>
      <c r="K138" s="162"/>
      <c r="L138" s="41"/>
      <c r="M138" s="41"/>
      <c r="N138" s="42"/>
    </row>
    <row r="139" spans="1:15">
      <c r="A139" s="54"/>
      <c r="B139" s="54" t="s">
        <v>71</v>
      </c>
      <c r="C139" s="54"/>
      <c r="D139" s="54"/>
      <c r="E139" s="54"/>
      <c r="F139" s="54"/>
      <c r="G139" s="54">
        <f t="shared" si="5"/>
        <v>0</v>
      </c>
      <c r="H139" s="54">
        <v>10</v>
      </c>
      <c r="I139" s="63">
        <f t="shared" si="6"/>
        <v>10</v>
      </c>
      <c r="J139" s="161">
        <f>Jan!I139+Feb!I139+Mar!I139+Apr!I139+May!I139</f>
        <v>50</v>
      </c>
      <c r="K139" s="162"/>
      <c r="L139" s="41"/>
      <c r="M139" s="41"/>
      <c r="N139" s="42"/>
    </row>
    <row r="140" spans="1:15">
      <c r="A140" s="54"/>
      <c r="B140" s="54"/>
      <c r="C140" s="54"/>
      <c r="D140" s="54"/>
      <c r="E140" s="54"/>
      <c r="F140" s="54"/>
      <c r="G140" s="54"/>
      <c r="H140" s="54"/>
      <c r="I140" s="63"/>
      <c r="J140" s="161"/>
      <c r="K140" s="162"/>
      <c r="L140" s="41"/>
      <c r="M140" s="41"/>
      <c r="N140" s="42"/>
    </row>
    <row r="141" spans="1:15">
      <c r="A141" s="60" t="s">
        <v>290</v>
      </c>
      <c r="B141" s="60">
        <f>SUM(G142:G143)</f>
        <v>177.79000000000002</v>
      </c>
      <c r="C141" s="60">
        <f>SUM(H142:H143)</f>
        <v>250</v>
      </c>
      <c r="D141" s="60">
        <f>C141-B141</f>
        <v>72.20999999999998</v>
      </c>
      <c r="E141" s="54"/>
      <c r="F141" s="54"/>
      <c r="G141" s="54"/>
      <c r="H141" s="54"/>
      <c r="I141" s="63"/>
      <c r="J141" s="161"/>
      <c r="K141" s="162"/>
      <c r="L141" s="41"/>
      <c r="M141" s="41"/>
      <c r="N141" s="42"/>
    </row>
    <row r="142" spans="1:15">
      <c r="A142" s="54"/>
      <c r="B142" s="54" t="s">
        <v>66</v>
      </c>
      <c r="C142" s="54"/>
      <c r="D142" s="54"/>
      <c r="E142" s="54"/>
      <c r="F142" s="54"/>
      <c r="G142" s="54">
        <f t="shared" si="5"/>
        <v>0</v>
      </c>
      <c r="H142" s="54">
        <v>150</v>
      </c>
      <c r="I142" s="63">
        <f t="shared" si="6"/>
        <v>150</v>
      </c>
      <c r="J142" s="161">
        <f>Jan!I142+Feb!I142+Mar!I142+Apr!I142+May!I142</f>
        <v>688.63</v>
      </c>
      <c r="K142" s="162"/>
      <c r="L142" s="41"/>
      <c r="M142" s="41"/>
      <c r="N142" s="42"/>
    </row>
    <row r="143" spans="1:15">
      <c r="A143" s="54"/>
      <c r="B143" s="54" t="s">
        <v>67</v>
      </c>
      <c r="C143" s="54"/>
      <c r="D143" s="54" t="s">
        <v>291</v>
      </c>
      <c r="E143" s="54"/>
      <c r="F143" s="54"/>
      <c r="G143" s="54">
        <f t="shared" si="5"/>
        <v>177.79000000000002</v>
      </c>
      <c r="H143" s="54">
        <v>100</v>
      </c>
      <c r="I143" s="63">
        <f t="shared" si="6"/>
        <v>-77.79000000000002</v>
      </c>
      <c r="J143" s="161">
        <f>Jan!I143+Feb!I143+Mar!I143+Apr!I143+May!I143</f>
        <v>246.86999999999995</v>
      </c>
      <c r="L143" s="41"/>
      <c r="M143" s="41">
        <f>86.5+91.29</f>
        <v>177.79000000000002</v>
      </c>
      <c r="N143" s="42"/>
      <c r="O143" s="156" t="s">
        <v>807</v>
      </c>
    </row>
    <row r="144" spans="1:15">
      <c r="A144" s="54"/>
      <c r="B144" s="54"/>
      <c r="C144" s="54"/>
      <c r="D144" s="54"/>
      <c r="E144" s="54"/>
      <c r="F144" s="54"/>
      <c r="G144" s="54"/>
      <c r="H144" s="54"/>
      <c r="I144" s="63"/>
      <c r="J144" s="161"/>
      <c r="L144" s="41"/>
      <c r="M144" s="41"/>
      <c r="N144" s="42"/>
    </row>
    <row r="145" spans="1:15">
      <c r="A145" s="54"/>
      <c r="B145" s="54"/>
      <c r="C145" s="54"/>
      <c r="D145" s="54"/>
      <c r="E145" s="54"/>
      <c r="F145" s="54"/>
      <c r="G145" s="54"/>
      <c r="H145" s="54"/>
      <c r="I145" s="63"/>
      <c r="J145" s="161"/>
      <c r="L145" s="41"/>
      <c r="M145" s="41"/>
      <c r="N145" s="42"/>
    </row>
    <row r="146" spans="1:1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161"/>
      <c r="L146" s="41"/>
      <c r="M146" s="41"/>
      <c r="N146" s="42"/>
    </row>
    <row r="147" spans="1:15">
      <c r="A147" s="54"/>
      <c r="B147" s="54">
        <f>SUM(G148:G162)</f>
        <v>5672.72</v>
      </c>
      <c r="C147" s="54">
        <f>SUM(H148:H162)</f>
        <v>410</v>
      </c>
      <c r="D147" s="60">
        <f>C147-B147</f>
        <v>-5262.72</v>
      </c>
      <c r="E147" s="54"/>
      <c r="F147" s="54"/>
      <c r="G147" s="54"/>
      <c r="H147" s="54"/>
      <c r="I147" s="63"/>
      <c r="J147" s="161"/>
      <c r="L147" s="41"/>
      <c r="M147" s="41"/>
      <c r="N147" s="42"/>
    </row>
    <row r="148" spans="1:1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161"/>
      <c r="K148" s="82"/>
      <c r="L148" s="41"/>
      <c r="M148" s="41"/>
      <c r="N148" s="42"/>
    </row>
    <row r="149" spans="1:15" ht="1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262.62</v>
      </c>
      <c r="H149" s="54">
        <v>100</v>
      </c>
      <c r="I149" s="63">
        <f t="shared" ref="I149:I162" si="8">H149-G149</f>
        <v>-162.62</v>
      </c>
      <c r="J149" s="161">
        <f>Jan!I149+Feb!I149+Mar!I149+Apr!I149+May!I149</f>
        <v>77.569999999999993</v>
      </c>
      <c r="K149" s="82"/>
      <c r="L149" s="41">
        <f>245</f>
        <v>245</v>
      </c>
      <c r="M149" s="41"/>
      <c r="N149" s="42">
        <v>17.62</v>
      </c>
      <c r="O149" s="156" t="s">
        <v>784</v>
      </c>
    </row>
    <row r="150" spans="1:15" ht="15" thickBot="1">
      <c r="A150" s="95">
        <f>SUM(G149:G153)</f>
        <v>449.12</v>
      </c>
      <c r="B150" s="54" t="s">
        <v>289</v>
      </c>
      <c r="C150" s="54"/>
      <c r="D150" s="54"/>
      <c r="E150" s="54"/>
      <c r="F150" s="54"/>
      <c r="G150" s="54">
        <f t="shared" si="7"/>
        <v>0</v>
      </c>
      <c r="H150" s="54">
        <v>100</v>
      </c>
      <c r="I150" s="63">
        <f t="shared" si="8"/>
        <v>100</v>
      </c>
      <c r="J150" s="161">
        <f>Jan!I150+Feb!I150+Mar!I150+Apr!I150+May!I150</f>
        <v>326.23</v>
      </c>
      <c r="K150" s="82"/>
      <c r="L150" s="41"/>
      <c r="M150" s="41"/>
      <c r="N150" s="42"/>
      <c r="O150" s="156" t="s">
        <v>785</v>
      </c>
    </row>
    <row r="151" spans="1:15">
      <c r="A151" s="54"/>
      <c r="B151" s="54" t="s">
        <v>64</v>
      </c>
      <c r="C151" s="54"/>
      <c r="D151" s="54"/>
      <c r="E151" s="54"/>
      <c r="F151" s="54"/>
      <c r="G151" s="54">
        <f t="shared" si="7"/>
        <v>136.5</v>
      </c>
      <c r="H151" s="54">
        <v>30</v>
      </c>
      <c r="I151" s="63">
        <f t="shared" si="8"/>
        <v>-106.5</v>
      </c>
      <c r="J151" s="161">
        <f>Jan!I151+Feb!I151+Mar!I151+Apr!I151+May!I151</f>
        <v>13.5</v>
      </c>
      <c r="K151" s="82"/>
      <c r="L151" s="41">
        <f>136.5</f>
        <v>136.5</v>
      </c>
      <c r="M151" s="41"/>
      <c r="N151" s="42"/>
      <c r="O151" s="156" t="s">
        <v>811</v>
      </c>
    </row>
    <row r="152" spans="1:15">
      <c r="A152" s="54"/>
      <c r="B152" s="54" t="s">
        <v>65</v>
      </c>
      <c r="C152" s="54"/>
      <c r="D152" s="54"/>
      <c r="E152" s="54"/>
      <c r="F152" s="54"/>
      <c r="G152" s="54">
        <f t="shared" si="7"/>
        <v>50</v>
      </c>
      <c r="H152" s="54">
        <v>50</v>
      </c>
      <c r="I152" s="63">
        <f t="shared" si="8"/>
        <v>0</v>
      </c>
      <c r="J152" s="161">
        <f>Jan!I152+Feb!I152+Mar!I152+Apr!I152+May!I152</f>
        <v>200</v>
      </c>
      <c r="K152" s="82"/>
      <c r="L152" s="41">
        <v>50</v>
      </c>
      <c r="M152" s="41"/>
      <c r="N152" s="42"/>
    </row>
    <row r="153" spans="1:1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 t="shared" si="8"/>
        <v>10</v>
      </c>
      <c r="J153" s="161">
        <f>Jan!I153+Feb!I153+Mar!I153+Apr!I153+May!I153</f>
        <v>50</v>
      </c>
      <c r="K153" s="82"/>
      <c r="L153" s="41"/>
      <c r="M153" s="41"/>
      <c r="N153" s="42"/>
    </row>
    <row r="154" spans="1:15">
      <c r="A154" s="54"/>
      <c r="B154" s="54"/>
      <c r="C154" s="54"/>
      <c r="D154" s="54"/>
      <c r="E154" s="54"/>
      <c r="F154" s="54"/>
      <c r="G154" s="54"/>
      <c r="H154" s="54"/>
      <c r="I154" s="63"/>
      <c r="J154" s="161"/>
      <c r="K154" s="82"/>
      <c r="L154" s="41"/>
      <c r="M154" s="41"/>
      <c r="N154" s="42"/>
    </row>
    <row r="155" spans="1:1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161"/>
      <c r="K155" s="82"/>
      <c r="L155" s="41"/>
      <c r="M155" s="41"/>
      <c r="N155" s="42"/>
    </row>
    <row r="156" spans="1:15" ht="1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8"/>
        <v>0</v>
      </c>
      <c r="J156" s="161">
        <f>Jan!I156+Feb!I156+Mar!I156+Apr!I156+May!I156</f>
        <v>0</v>
      </c>
      <c r="K156" s="82"/>
      <c r="L156" s="41"/>
      <c r="M156" s="41"/>
      <c r="N156" s="42"/>
    </row>
    <row r="157" spans="1:15" ht="15" thickBot="1">
      <c r="A157" s="95">
        <f>SUM(G156:G160)</f>
        <v>5223.6000000000004</v>
      </c>
      <c r="B157" s="54" t="s">
        <v>515</v>
      </c>
      <c r="C157" s="54"/>
      <c r="D157" s="54"/>
      <c r="E157" s="54"/>
      <c r="F157" s="54"/>
      <c r="G157" s="54">
        <f t="shared" si="7"/>
        <v>5223.6000000000004</v>
      </c>
      <c r="H157" s="54"/>
      <c r="I157" s="63">
        <f t="shared" si="8"/>
        <v>-5223.6000000000004</v>
      </c>
      <c r="J157" s="161">
        <f>Jan!I157+Feb!I157+Mar!I157+Apr!I157+May!I157</f>
        <v>-5223.6000000000004</v>
      </c>
      <c r="K157" s="82"/>
      <c r="L157" s="41"/>
      <c r="M157" s="41">
        <v>5223.6000000000004</v>
      </c>
      <c r="N157" s="42"/>
      <c r="O157" s="156" t="s">
        <v>795</v>
      </c>
    </row>
    <row r="158" spans="1:1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8"/>
        <v>0</v>
      </c>
      <c r="J158" s="161">
        <f>Jan!I158+Feb!I158+Mar!I158+Apr!I158+May!I158</f>
        <v>0</v>
      </c>
      <c r="K158" s="82"/>
      <c r="L158" s="41"/>
      <c r="M158" s="41"/>
      <c r="N158" s="42"/>
    </row>
    <row r="159" spans="1:1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8"/>
        <v>0</v>
      </c>
      <c r="J159" s="161">
        <f>Jan!I159+Feb!I159+Mar!I159+Apr!I159+May!I159</f>
        <v>0</v>
      </c>
      <c r="K159" s="82"/>
      <c r="L159" s="41"/>
      <c r="M159" s="41"/>
      <c r="N159" s="42"/>
    </row>
    <row r="160" spans="1:1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/>
      <c r="I160" s="63">
        <f t="shared" si="8"/>
        <v>0</v>
      </c>
      <c r="J160" s="161">
        <f>Jan!I160+Feb!I160+Mar!I160+Apr!I160+May!I160</f>
        <v>-210</v>
      </c>
      <c r="K160" s="82"/>
      <c r="L160" s="41"/>
      <c r="M160" s="41"/>
      <c r="N160" s="42"/>
    </row>
    <row r="161" spans="1:14">
      <c r="A161" s="54"/>
      <c r="B161" s="54"/>
      <c r="C161" s="54"/>
      <c r="D161" s="54"/>
      <c r="E161" s="54"/>
      <c r="F161" s="54"/>
      <c r="G161" s="54"/>
      <c r="H161" s="54"/>
      <c r="I161" s="63"/>
      <c r="J161" s="161"/>
      <c r="K161" s="82"/>
      <c r="L161" s="41"/>
      <c r="M161" s="41"/>
      <c r="N161" s="42"/>
    </row>
    <row r="162" spans="1:14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8"/>
        <v>120</v>
      </c>
      <c r="J162" s="161">
        <f>Jan!I162+Feb!I162+Mar!I162+Apr!I162+May!I162</f>
        <v>600</v>
      </c>
      <c r="K162" s="82"/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opLeftCell="A86" zoomScale="84" zoomScaleNormal="84" workbookViewId="0">
      <selection activeCell="L114" sqref="L114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140625" style="67" customWidth="1"/>
    <col min="18" max="18" width="11.5703125" style="67" customWidth="1"/>
    <col min="19" max="16384" width="9" style="67"/>
  </cols>
  <sheetData>
    <row r="1" spans="1:17">
      <c r="A1" s="73" t="s">
        <v>202</v>
      </c>
      <c r="B1" s="74">
        <v>2014</v>
      </c>
      <c r="C1" s="74"/>
      <c r="L1" s="75" t="s">
        <v>557</v>
      </c>
    </row>
    <row r="2" spans="1:17">
      <c r="A2" s="73" t="s">
        <v>191</v>
      </c>
      <c r="B2" s="75" t="s">
        <v>11</v>
      </c>
      <c r="C2" s="75"/>
      <c r="M2" s="75" t="s">
        <v>540</v>
      </c>
      <c r="Q2" s="67" t="str">
        <f>B123</f>
        <v>Clothes &amp; Shoes</v>
      </c>
    </row>
    <row r="3" spans="1:17">
      <c r="M3" s="75" t="s">
        <v>539</v>
      </c>
      <c r="O3" s="77"/>
    </row>
    <row r="4" spans="1:17">
      <c r="A4" s="73" t="s">
        <v>4</v>
      </c>
      <c r="B4" s="78">
        <f>SUM(G5:G8)</f>
        <v>16710.68</v>
      </c>
      <c r="C4" s="78"/>
      <c r="F4" s="100"/>
      <c r="G4" s="67" t="s">
        <v>34</v>
      </c>
      <c r="L4" s="79"/>
      <c r="M4" s="67" t="s">
        <v>923</v>
      </c>
      <c r="O4" s="77"/>
    </row>
    <row r="5" spans="1:17" ht="12.75">
      <c r="A5" s="67" t="s">
        <v>25</v>
      </c>
      <c r="B5" s="128">
        <v>3810.32</v>
      </c>
      <c r="C5" s="128">
        <v>3501.56</v>
      </c>
      <c r="F5" s="100"/>
      <c r="G5" s="128">
        <f>SUM(B5:E5)</f>
        <v>7311.88</v>
      </c>
      <c r="H5" s="79"/>
      <c r="I5" s="79"/>
      <c r="J5" s="79"/>
      <c r="K5" s="83"/>
      <c r="L5" s="79"/>
      <c r="M5" s="67" t="s">
        <v>927</v>
      </c>
      <c r="O5" s="77"/>
    </row>
    <row r="6" spans="1:17" ht="12.75">
      <c r="A6" s="67" t="s">
        <v>251</v>
      </c>
      <c r="B6" s="67">
        <v>1879.76</v>
      </c>
      <c r="C6" s="77">
        <v>1879.76</v>
      </c>
      <c r="D6" s="67">
        <v>1879.76</v>
      </c>
      <c r="E6" s="67">
        <v>1879.76</v>
      </c>
      <c r="F6" s="100">
        <v>1879.76</v>
      </c>
      <c r="G6" s="128">
        <f>SUM(B6:F6)</f>
        <v>9398.7999999999993</v>
      </c>
      <c r="H6" s="79"/>
      <c r="I6" s="79"/>
      <c r="J6" s="79"/>
      <c r="K6" s="83"/>
      <c r="L6" s="79"/>
      <c r="M6" s="67" t="s">
        <v>930</v>
      </c>
      <c r="O6" s="77"/>
    </row>
    <row r="7" spans="1:17" ht="12.75">
      <c r="A7" s="67" t="s">
        <v>27</v>
      </c>
      <c r="F7" s="100"/>
      <c r="G7" s="128">
        <f>SUM(B7:E7)</f>
        <v>0</v>
      </c>
      <c r="H7" s="79"/>
      <c r="I7" s="79"/>
      <c r="J7" s="79"/>
      <c r="K7" s="83"/>
      <c r="L7" s="79"/>
      <c r="O7" s="77"/>
    </row>
    <row r="8" spans="1:17">
      <c r="F8" s="100"/>
      <c r="G8" s="128"/>
      <c r="H8" s="79"/>
      <c r="I8" s="79"/>
      <c r="J8" s="79"/>
      <c r="K8" s="83"/>
      <c r="P8" s="77"/>
    </row>
    <row r="9" spans="1:17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7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7" s="54" customFormat="1" ht="13.5">
      <c r="A11" s="60" t="s">
        <v>297</v>
      </c>
      <c r="B11" s="277">
        <f>G11</f>
        <v>1300</v>
      </c>
      <c r="D11" s="54" t="s">
        <v>299</v>
      </c>
      <c r="E11" s="54">
        <f>G11/B4</f>
        <v>7.7794560125620263E-2</v>
      </c>
      <c r="F11" s="275"/>
      <c r="G11" s="55">
        <f>Tithe!D11</f>
        <v>1300</v>
      </c>
      <c r="H11" s="54">
        <v>1200</v>
      </c>
      <c r="I11" s="66">
        <f>H11-G11</f>
        <v>-100</v>
      </c>
      <c r="J11" s="99">
        <f>Jan!I11+Feb!I11+Mar!I11+Apr!I11+May!I11+Jun!I11</f>
        <v>-460</v>
      </c>
      <c r="K11" s="85"/>
    </row>
    <row r="12" spans="1:17" s="54" customFormat="1" ht="13.5">
      <c r="I12" s="66"/>
      <c r="J12" s="99"/>
      <c r="K12" s="86"/>
      <c r="L12" s="286" t="s">
        <v>558</v>
      </c>
    </row>
    <row r="13" spans="1:17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M13" s="54" t="s">
        <v>994</v>
      </c>
    </row>
    <row r="14" spans="1:17" s="54" customFormat="1" ht="13.5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>Jan!I14+Feb!I14+Mar!I14+Apr!I14+May!I14+Jun!I14</f>
        <v>0</v>
      </c>
      <c r="K14" s="86"/>
    </row>
    <row r="15" spans="1:17" s="54" customFormat="1" ht="13.5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>Jan!I15+Feb!I15+Mar!I15+Apr!I15+May!I15+Jun!I15</f>
        <v>0</v>
      </c>
      <c r="K15" s="86"/>
    </row>
    <row r="16" spans="1:17" s="54" customFormat="1" ht="13.5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>Jan!I16+Feb!I16+Mar!I16+Apr!I16+May!I16+Jun!I16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>Jan!I17+Feb!I17+Mar!I17+Apr!I17+May!I17+Jun!I17</f>
        <v>0</v>
      </c>
      <c r="K17" s="86"/>
    </row>
    <row r="18" spans="1:13" s="54" customFormat="1" ht="15.95" customHeight="1">
      <c r="B18" s="60" t="s">
        <v>284</v>
      </c>
      <c r="E18" s="54" t="s">
        <v>525</v>
      </c>
      <c r="F18" s="275"/>
      <c r="G18" s="55">
        <v>50</v>
      </c>
      <c r="H18" s="54">
        <v>50</v>
      </c>
      <c r="I18" s="66">
        <f t="shared" si="0"/>
        <v>0</v>
      </c>
      <c r="J18" s="99">
        <f>Jan!I18+Feb!I18+Mar!I18+Apr!I18+May!I18+Jun!I18</f>
        <v>0</v>
      </c>
      <c r="K18" s="86"/>
    </row>
    <row r="19" spans="1:13" s="54" customFormat="1" ht="15.95" customHeight="1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>Jan!I19+Feb!I19+Mar!I19+Apr!I19+May!I19+Jun!I19</f>
        <v>0</v>
      </c>
      <c r="K19" s="86"/>
    </row>
    <row r="20" spans="1:13" s="54" customFormat="1" ht="15.95" customHeight="1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>Jan!I20+Feb!I20+Mar!I20+Apr!I20+May!I20+Jun!I20</f>
        <v>0</v>
      </c>
      <c r="K20" s="86"/>
    </row>
    <row r="21" spans="1:13" s="54" customFormat="1" ht="15.95" customHeight="1">
      <c r="A21" s="60"/>
      <c r="F21" s="275"/>
      <c r="G21" s="55"/>
      <c r="I21" s="66"/>
      <c r="J21" s="99"/>
      <c r="K21" s="86"/>
      <c r="L21" s="60" t="s">
        <v>559</v>
      </c>
    </row>
    <row r="22" spans="1:13" s="54" customFormat="1" ht="15.95" customHeight="1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>Jan!I22+Feb!I22+Mar!I22+Apr!I22+May!I22+Jun!I22</f>
        <v>0</v>
      </c>
      <c r="K22" s="86"/>
    </row>
    <row r="23" spans="1:13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5.95" customHeight="1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</f>
        <v>3000</v>
      </c>
      <c r="K25" s="86"/>
    </row>
    <row r="26" spans="1:13" s="54" customFormat="1" ht="12.75" customHeight="1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</f>
        <v>1800</v>
      </c>
      <c r="K26" s="86"/>
    </row>
    <row r="27" spans="1:13" s="54" customFormat="1" ht="12.75" customHeight="1">
      <c r="A27" s="60"/>
      <c r="F27" s="275"/>
      <c r="G27" s="68"/>
      <c r="H27" s="68"/>
      <c r="I27" s="70"/>
      <c r="J27" s="81"/>
      <c r="K27" s="81"/>
    </row>
    <row r="28" spans="1:13" s="54" customFormat="1" ht="12.75" customHeight="1" thickBot="1">
      <c r="A28" s="60"/>
      <c r="B28" s="60"/>
      <c r="F28" s="275"/>
      <c r="G28" s="69">
        <f>SUM(G11:G26)</f>
        <v>4050</v>
      </c>
      <c r="H28" s="69">
        <f>SUM(H11:H26)</f>
        <v>4750</v>
      </c>
      <c r="I28" s="69">
        <f>SUM(I11:I26)</f>
        <v>700</v>
      </c>
      <c r="J28" s="69">
        <f>SUM(J11:J26)</f>
        <v>4340</v>
      </c>
      <c r="K28" s="87"/>
    </row>
    <row r="29" spans="1:13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3" s="54" customFormat="1" ht="12.75" customHeight="1" thickBot="1">
      <c r="A30" s="60" t="s">
        <v>305</v>
      </c>
      <c r="B30" s="60"/>
      <c r="F30" s="275"/>
      <c r="G30" s="95">
        <v>3429.62</v>
      </c>
      <c r="H30" s="58" t="s">
        <v>891</v>
      </c>
      <c r="I30" s="58"/>
      <c r="J30" s="58"/>
      <c r="K30" s="87"/>
      <c r="M30" s="54" t="s">
        <v>937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16090.3</v>
      </c>
      <c r="H31" s="58"/>
      <c r="I31" s="58"/>
      <c r="J31" s="58"/>
      <c r="K31" s="87"/>
      <c r="L31" s="58"/>
    </row>
    <row r="32" spans="1:13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4654.84</v>
      </c>
      <c r="H32" s="58"/>
      <c r="I32" s="58"/>
      <c r="J32" s="58"/>
      <c r="K32" s="87"/>
      <c r="L32" s="58"/>
    </row>
    <row r="33" spans="1:14" s="54" customFormat="1" ht="12.75" customHeight="1">
      <c r="A33" s="60" t="s">
        <v>655</v>
      </c>
      <c r="B33" s="60"/>
      <c r="F33" s="275"/>
      <c r="G33" s="80">
        <f>G31-G32-M42</f>
        <v>11435.46</v>
      </c>
      <c r="H33" s="58"/>
      <c r="I33" s="58"/>
      <c r="J33" s="58"/>
      <c r="K33" s="87"/>
      <c r="L33" s="58"/>
    </row>
    <row r="34" spans="1:14" s="54" customFormat="1" ht="12.75" customHeight="1">
      <c r="H34" s="58"/>
      <c r="I34" s="58"/>
      <c r="J34" s="58"/>
      <c r="K34" s="87"/>
      <c r="L34" s="58"/>
    </row>
    <row r="35" spans="1:14" s="54" customFormat="1" ht="12.75" customHeight="1">
      <c r="A35" s="60" t="s">
        <v>527</v>
      </c>
      <c r="B35" s="60"/>
      <c r="E35" s="54">
        <f>B47</f>
        <v>993.54</v>
      </c>
      <c r="F35" s="275"/>
      <c r="G35" s="135"/>
      <c r="H35" s="58"/>
      <c r="I35" s="58"/>
      <c r="J35" s="58"/>
      <c r="K35" s="87"/>
      <c r="L35" s="58"/>
    </row>
    <row r="36" spans="1:14" s="54" customFormat="1" ht="12.75" customHeight="1">
      <c r="A36" s="60" t="s">
        <v>491</v>
      </c>
      <c r="B36" s="60"/>
      <c r="E36" s="54">
        <f>B76</f>
        <v>3085.2900000000004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13.34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1403.49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161.41</v>
      </c>
      <c r="F40" s="275"/>
      <c r="G40" s="105"/>
      <c r="H40" s="58"/>
      <c r="I40" s="58"/>
      <c r="J40" s="58"/>
      <c r="K40" s="87"/>
      <c r="L40" s="58"/>
      <c r="M40" s="54">
        <v>1260.54</v>
      </c>
    </row>
    <row r="41" spans="1:14" s="54" customFormat="1" ht="14.25" thickBot="1">
      <c r="A41" s="106"/>
      <c r="B41" s="60" t="s">
        <v>532</v>
      </c>
      <c r="D41" s="54">
        <f>B112</f>
        <v>627.45000000000005</v>
      </c>
      <c r="F41" s="275"/>
      <c r="G41" s="105"/>
      <c r="H41" s="58"/>
      <c r="I41" s="58"/>
      <c r="J41" s="58"/>
      <c r="K41" s="87"/>
      <c r="L41" s="95"/>
      <c r="M41" s="54">
        <f>M46+M44+M43+M42</f>
        <v>1260.54</v>
      </c>
      <c r="N41" s="54">
        <f>N46-N42</f>
        <v>378.90999999999997</v>
      </c>
    </row>
    <row r="42" spans="1:14" s="54" customFormat="1" ht="13.5">
      <c r="B42" s="60" t="s">
        <v>533</v>
      </c>
      <c r="C42" s="61"/>
      <c r="D42" s="61">
        <f>B130</f>
        <v>0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879.60000000000014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576.01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4654.84</v>
      </c>
      <c r="H46" s="101">
        <f>SUM(H48:H162)</f>
        <v>4673</v>
      </c>
      <c r="I46" s="101">
        <f>H46-G46</f>
        <v>18.159999999999854</v>
      </c>
      <c r="J46" s="101">
        <f>SUM(J48:J162)</f>
        <v>454.66999999999916</v>
      </c>
      <c r="K46" s="88"/>
      <c r="L46" s="92">
        <f>SUM(L48:L162)</f>
        <v>3165.39</v>
      </c>
      <c r="M46" s="92">
        <f>SUM(M48:M162)</f>
        <v>1110.54</v>
      </c>
      <c r="N46" s="92">
        <f>SUM(N48:N162)</f>
        <v>378.90999999999997</v>
      </c>
    </row>
    <row r="47" spans="1:14" s="54" customFormat="1" ht="14.25" thickBot="1">
      <c r="A47" s="106" t="s">
        <v>492</v>
      </c>
      <c r="B47" s="273">
        <f>B48+B61+B65</f>
        <v>993.54</v>
      </c>
      <c r="C47" s="273">
        <f>C48+C61+C65</f>
        <v>1378</v>
      </c>
      <c r="D47" s="95">
        <f>D48+D61+D65</f>
        <v>384.45999999999987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553.96</v>
      </c>
      <c r="C48" s="60">
        <f>SUM(H49:H57)</f>
        <v>911</v>
      </c>
      <c r="D48" s="60">
        <f>SUM(I49:I57)</f>
        <v>357.03999999999985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</f>
        <v>600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</f>
        <v>590.36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</f>
        <v>600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</f>
        <v>0.23999999999978172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</f>
        <v>-338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</f>
        <v>-13.320000000000164</v>
      </c>
      <c r="K55" s="84"/>
      <c r="L55" s="41">
        <v>1694.15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</f>
        <v>13.319999999999936</v>
      </c>
      <c r="K56" s="84"/>
      <c r="L56" s="41">
        <v>305.85000000000002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-2000</v>
      </c>
      <c r="H57" s="54">
        <v>-2000</v>
      </c>
      <c r="I57" s="63">
        <f t="shared" si="2"/>
        <v>0</v>
      </c>
      <c r="J57" s="97">
        <f>Jan!I57+Feb!I57+Mar!I57+Apr!I57+May!I57+Jun!I57</f>
        <v>0</v>
      </c>
      <c r="K57" s="84"/>
      <c r="L57" s="41">
        <v>-2000</v>
      </c>
      <c r="M57" s="42"/>
      <c r="N57" s="42"/>
    </row>
    <row r="58" spans="1:14" s="54" customFormat="1" ht="13.5">
      <c r="A58" s="60"/>
      <c r="I58" s="63"/>
      <c r="J58" s="97"/>
      <c r="K58" s="84"/>
      <c r="L58" s="41"/>
      <c r="M58" s="42"/>
      <c r="N58" s="42"/>
    </row>
    <row r="59" spans="1:14" s="54" customFormat="1" ht="13.5">
      <c r="A59" s="60"/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165.01999999999998</v>
      </c>
      <c r="C61" s="60">
        <f>SUM(H62:H63)</f>
        <v>167</v>
      </c>
      <c r="D61" s="60">
        <f>C61-B61</f>
        <v>1.9800000000000182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97">
        <f>Jan!I62+Feb!I62+Mar!I62+Apr!I62+May!I62+Jun!I62</f>
        <v>-8.9200000000000159</v>
      </c>
      <c r="K62" s="84"/>
      <c r="L62" s="41"/>
      <c r="M62" s="42">
        <v>69.16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95.86</v>
      </c>
      <c r="H63" s="54">
        <v>100</v>
      </c>
      <c r="I63" s="63">
        <f t="shared" si="4"/>
        <v>4.1400000000000006</v>
      </c>
      <c r="J63" s="97">
        <f>Jan!I63+Feb!I63+Mar!I63+Apr!I63+May!I63+Jun!I63</f>
        <v>-0.44000000000001194</v>
      </c>
      <c r="K63" s="84"/>
      <c r="L63" s="41"/>
      <c r="M63" s="42">
        <v>95.86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4" s="54" customFormat="1" ht="13.5">
      <c r="A65" s="60" t="s">
        <v>486</v>
      </c>
      <c r="B65" s="60">
        <f>SUM(G66:G74)</f>
        <v>274.56</v>
      </c>
      <c r="C65" s="60">
        <f>SUM(H66:H74)</f>
        <v>300</v>
      </c>
      <c r="D65" s="60">
        <f>C65-B65</f>
        <v>25.439999999999998</v>
      </c>
      <c r="I65" s="63"/>
      <c r="J65" s="97"/>
      <c r="K65" s="84"/>
      <c r="L65" s="41"/>
      <c r="M65" s="42"/>
      <c r="N65" s="42"/>
    </row>
    <row r="66" spans="1:14" s="54" customFormat="1" ht="13.5">
      <c r="B66" s="54" t="s">
        <v>58</v>
      </c>
      <c r="G66" s="54">
        <f t="shared" si="3"/>
        <v>72.319999999999993</v>
      </c>
      <c r="H66" s="54">
        <v>60</v>
      </c>
      <c r="I66" s="63">
        <f t="shared" si="4"/>
        <v>-12.319999999999993</v>
      </c>
      <c r="J66" s="97">
        <f>Jan!I66+Feb!I66+Mar!I66+Apr!I66+May!I66+Jun!I66</f>
        <v>31.320000000000007</v>
      </c>
      <c r="K66" s="84"/>
      <c r="L66" s="41"/>
      <c r="M66" s="42">
        <f>35.59+36.73</f>
        <v>72.319999999999993</v>
      </c>
      <c r="N66" s="42"/>
    </row>
    <row r="67" spans="1:14" s="54" customFormat="1" ht="13.5">
      <c r="B67" s="54" t="s">
        <v>59</v>
      </c>
      <c r="D67" s="54" t="s">
        <v>60</v>
      </c>
      <c r="G67" s="54">
        <f t="shared" si="3"/>
        <v>140.13</v>
      </c>
      <c r="H67" s="54">
        <v>130</v>
      </c>
      <c r="I67" s="63">
        <f t="shared" si="4"/>
        <v>-10.129999999999995</v>
      </c>
      <c r="J67" s="97">
        <f>Jan!I67+Feb!I67+Mar!I67+Apr!I67+May!I67+Jun!I67</f>
        <v>90.51</v>
      </c>
      <c r="K67" s="84"/>
      <c r="L67" s="41"/>
      <c r="M67" s="42">
        <f>16.41+15.66+2.25+85+20.81</f>
        <v>140.13</v>
      </c>
      <c r="N67" s="42"/>
    </row>
    <row r="68" spans="1:14" s="54" customFormat="1" ht="13.5">
      <c r="I68" s="63"/>
      <c r="J68" s="97"/>
      <c r="K68" s="84"/>
      <c r="L68" s="41"/>
      <c r="M68" s="42"/>
      <c r="N68" s="42"/>
    </row>
    <row r="69" spans="1:14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4" s="54" customFormat="1" ht="13.5">
      <c r="B70" s="54" t="s">
        <v>482</v>
      </c>
      <c r="G70" s="54">
        <f t="shared" si="3"/>
        <v>44.73</v>
      </c>
      <c r="H70" s="54">
        <v>25</v>
      </c>
      <c r="I70" s="63">
        <f t="shared" si="4"/>
        <v>-19.729999999999997</v>
      </c>
      <c r="J70" s="97">
        <f>Jan!I70+Feb!I70+Mar!I70+Apr!I70+May!I70+Jun!I70</f>
        <v>0.79999999999999716</v>
      </c>
      <c r="K70" s="84"/>
      <c r="L70" s="41">
        <v>8.99</v>
      </c>
      <c r="M70" s="42">
        <f>2.99+9.49+9.49+1.29+12.48</f>
        <v>35.739999999999995</v>
      </c>
      <c r="N70" s="42"/>
    </row>
    <row r="71" spans="1:14" s="54" customFormat="1" ht="13.5">
      <c r="A71" s="60"/>
      <c r="B71" s="54" t="s">
        <v>483</v>
      </c>
      <c r="G71" s="54">
        <f t="shared" si="3"/>
        <v>10</v>
      </c>
      <c r="H71" s="54">
        <v>30</v>
      </c>
      <c r="I71" s="63">
        <f t="shared" si="4"/>
        <v>20</v>
      </c>
      <c r="J71" s="97">
        <f>Jan!I71+Feb!I71+Mar!I71+Apr!I71+May!I71+Jun!I71</f>
        <v>-617.49</v>
      </c>
      <c r="K71" s="84"/>
      <c r="L71" s="41"/>
      <c r="M71" s="42">
        <f>10</f>
        <v>10</v>
      </c>
      <c r="N71" s="42"/>
    </row>
    <row r="72" spans="1:14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</f>
        <v>-26.389999999999993</v>
      </c>
      <c r="K72" s="84"/>
      <c r="L72" s="41"/>
      <c r="M72" s="42"/>
      <c r="N72" s="42"/>
    </row>
    <row r="73" spans="1:14" s="54" customFormat="1" ht="13.5">
      <c r="A73" s="60"/>
      <c r="I73" s="63"/>
      <c r="J73" s="97"/>
      <c r="K73" s="84"/>
      <c r="L73" s="41"/>
      <c r="M73" s="42"/>
      <c r="N73" s="42"/>
    </row>
    <row r="74" spans="1:14" s="54" customFormat="1" ht="13.5">
      <c r="A74" s="60" t="s">
        <v>484</v>
      </c>
      <c r="B74" s="54" t="s">
        <v>61</v>
      </c>
      <c r="G74" s="54">
        <f t="shared" si="3"/>
        <v>7.38</v>
      </c>
      <c r="H74" s="54">
        <v>35</v>
      </c>
      <c r="I74" s="63">
        <f t="shared" si="4"/>
        <v>27.62</v>
      </c>
      <c r="J74" s="97">
        <f>Jan!I74+Feb!I74+Mar!I74+Apr!I74+May!I74+Jun!I74</f>
        <v>90.37</v>
      </c>
      <c r="K74" s="84"/>
      <c r="L74" s="41"/>
      <c r="M74" s="42">
        <f>2.05+5.33</f>
        <v>7.38</v>
      </c>
      <c r="N74" s="42"/>
    </row>
    <row r="75" spans="1:14" s="54" customFormat="1" ht="14.25" thickBot="1">
      <c r="A75" s="60"/>
      <c r="I75" s="63"/>
      <c r="J75" s="97"/>
      <c r="K75" s="84"/>
      <c r="L75" s="41"/>
      <c r="M75" s="42"/>
      <c r="N75" s="42"/>
    </row>
    <row r="76" spans="1:14" s="54" customFormat="1" ht="14.25" thickBot="1">
      <c r="A76" s="106" t="s">
        <v>491</v>
      </c>
      <c r="B76" s="151">
        <f>B78+B82+B88+B93+B102+B107+B112+B117+B130+B133+B138+B141</f>
        <v>3085.2900000000004</v>
      </c>
      <c r="C76" s="151">
        <f>C78+C82+C88+C93+C102+C107+C112+C117+C130+C133+C138+C141</f>
        <v>2885</v>
      </c>
      <c r="D76" s="151">
        <f>D78+D82+D88+D93+D102+D107+D112+D117+D130+D133+D138+D141</f>
        <v>-200.29000000000013</v>
      </c>
      <c r="I76" s="63"/>
      <c r="J76" s="97"/>
      <c r="K76" s="84"/>
      <c r="L76" s="41"/>
      <c r="M76" s="42"/>
      <c r="N76" s="42"/>
    </row>
    <row r="77" spans="1:14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4" s="54" customFormat="1" ht="13.5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4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4" s="54" customFormat="1" ht="13.5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4" s="54" customFormat="1" ht="13.5">
      <c r="I81" s="63"/>
      <c r="J81" s="97"/>
      <c r="K81" s="84"/>
      <c r="L81" s="41"/>
      <c r="M81" s="42"/>
      <c r="N81" s="42"/>
    </row>
    <row r="82" spans="1:14" s="54" customFormat="1" ht="13.5">
      <c r="A82" s="60" t="s">
        <v>42</v>
      </c>
      <c r="B82" s="60">
        <f>SUM(G83:G86)</f>
        <v>1403.49</v>
      </c>
      <c r="C82" s="60">
        <f>SUM(H83:H86)</f>
        <v>395</v>
      </c>
      <c r="D82" s="60">
        <f>C82-B82</f>
        <v>-1008.49</v>
      </c>
      <c r="I82" s="63"/>
      <c r="J82" s="97"/>
      <c r="K82" s="84"/>
      <c r="L82" s="41"/>
      <c r="M82" s="42"/>
      <c r="N82" s="42"/>
    </row>
    <row r="83" spans="1:14" s="54" customFormat="1" ht="13.5">
      <c r="B83" s="54" t="s">
        <v>29</v>
      </c>
      <c r="C83" s="54" t="s">
        <v>30</v>
      </c>
      <c r="G83" s="54">
        <f t="shared" si="3"/>
        <v>102.74</v>
      </c>
      <c r="H83" s="54">
        <v>125</v>
      </c>
      <c r="I83" s="63">
        <f t="shared" si="4"/>
        <v>22.260000000000005</v>
      </c>
      <c r="J83" s="97">
        <f>Jan!I83+Feb!I83+Mar!I83+Apr!I83+May!I83+Jun!I83</f>
        <v>-49.72</v>
      </c>
      <c r="K83" s="84"/>
      <c r="L83" s="41">
        <v>102.74</v>
      </c>
      <c r="M83" s="42"/>
      <c r="N83" s="42"/>
    </row>
    <row r="84" spans="1:14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Jan!I84+Feb!I84+Mar!I84+Apr!I84+May!I84+Jun!I84</f>
        <v>183.95</v>
      </c>
      <c r="K84" s="84"/>
      <c r="L84" s="41"/>
      <c r="M84" s="42"/>
      <c r="N84" s="42"/>
    </row>
    <row r="85" spans="1:14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</f>
        <v>-585</v>
      </c>
      <c r="K85" s="84"/>
      <c r="L85" s="41"/>
      <c r="M85" s="42"/>
      <c r="N85" s="42"/>
    </row>
    <row r="86" spans="1:14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1300.75</v>
      </c>
      <c r="H86" s="54">
        <v>120</v>
      </c>
      <c r="I86" s="63">
        <f t="shared" si="4"/>
        <v>-1180.75</v>
      </c>
      <c r="J86" s="97">
        <f>Jan!I86+Feb!I86+Mar!I86+Apr!I86+May!I86+Jun!I86</f>
        <v>-693.65</v>
      </c>
      <c r="K86" s="84"/>
      <c r="L86" s="41">
        <v>1300.75</v>
      </c>
      <c r="M86" s="42"/>
      <c r="N86" s="42"/>
    </row>
    <row r="87" spans="1:14" s="54" customFormat="1" ht="13.5">
      <c r="I87" s="63"/>
      <c r="J87" s="97"/>
      <c r="K87" s="84"/>
      <c r="L87" s="41"/>
      <c r="M87" s="42"/>
      <c r="N87" s="42"/>
    </row>
    <row r="88" spans="1:14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4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</f>
        <v>-557</v>
      </c>
      <c r="K89" s="84"/>
      <c r="L89" s="41"/>
      <c r="M89" s="42"/>
      <c r="N89" s="42"/>
    </row>
    <row r="90" spans="1:14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</f>
        <v>411</v>
      </c>
      <c r="K90" s="84"/>
      <c r="L90" s="41"/>
      <c r="M90" s="42"/>
      <c r="N90" s="42"/>
    </row>
    <row r="91" spans="1:14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</f>
        <v>216</v>
      </c>
      <c r="K91" s="84"/>
      <c r="L91" s="41"/>
      <c r="M91" s="42"/>
      <c r="N91" s="42"/>
    </row>
    <row r="92" spans="1:14" s="54" customFormat="1" ht="13.5">
      <c r="I92" s="63"/>
      <c r="J92" s="97"/>
      <c r="K92" s="84"/>
      <c r="L92" s="41"/>
      <c r="M92" s="42"/>
      <c r="N92" s="42"/>
    </row>
    <row r="93" spans="1:14" s="54" customFormat="1" ht="13.5">
      <c r="A93" s="60" t="s">
        <v>52</v>
      </c>
      <c r="B93" s="60">
        <f>SUM(G94:G100)</f>
        <v>0</v>
      </c>
      <c r="C93" s="60">
        <f>SUM(H94:H100)</f>
        <v>178</v>
      </c>
      <c r="D93" s="60">
        <f>C93-B93</f>
        <v>178</v>
      </c>
      <c r="I93" s="63"/>
      <c r="J93" s="97"/>
      <c r="K93" s="84"/>
      <c r="L93" s="41"/>
      <c r="M93" s="42"/>
      <c r="N93" s="42"/>
    </row>
    <row r="94" spans="1:14" s="54" customFormat="1" ht="13.5">
      <c r="B94" s="54" t="s">
        <v>496</v>
      </c>
      <c r="G94" s="54">
        <f t="shared" si="3"/>
        <v>0</v>
      </c>
      <c r="H94" s="54">
        <v>20</v>
      </c>
      <c r="I94" s="63">
        <f t="shared" si="4"/>
        <v>20</v>
      </c>
      <c r="J94" s="97">
        <f>Jan!I94+Feb!I94+Mar!I94+Apr!I94+May!I94+Jun!I94</f>
        <v>56.44</v>
      </c>
      <c r="K94" s="84"/>
      <c r="L94" s="41"/>
      <c r="M94" s="42"/>
      <c r="N94" s="42"/>
    </row>
    <row r="95" spans="1:14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</f>
        <v>1.6000000000000005</v>
      </c>
      <c r="K95" s="84"/>
      <c r="L95" s="41"/>
      <c r="M95" s="42"/>
      <c r="N95" s="42"/>
    </row>
    <row r="96" spans="1:14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Jan!I96+Feb!I96+Mar!I96+Apr!I96+May!I96+Jun!I96</f>
        <v>262.73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</f>
        <v>90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Jan!I98+Feb!I98+Mar!I98+Apr!I98+May!I98+Jun!I98</f>
        <v>210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</f>
        <v>156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</f>
        <v>35.020000000000003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13.34</v>
      </c>
      <c r="C102" s="60">
        <f>SUM(H103:H105)</f>
        <v>130</v>
      </c>
      <c r="D102" s="60">
        <f>C102-B102</f>
        <v>116.66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</f>
        <v>-31.360000000000014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13.34</v>
      </c>
      <c r="H104" s="54">
        <v>60</v>
      </c>
      <c r="I104" s="63">
        <f t="shared" si="4"/>
        <v>46.66</v>
      </c>
      <c r="J104" s="97">
        <f>Jan!I104+Feb!I104+Mar!I104+Apr!I104+May!I104+Jun!I104</f>
        <v>306.86</v>
      </c>
      <c r="K104" s="84"/>
      <c r="L104" s="41"/>
      <c r="M104" s="42">
        <v>13.34</v>
      </c>
      <c r="N104" s="42"/>
      <c r="O104" s="54" t="s">
        <v>834</v>
      </c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</f>
        <v>60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161.41</v>
      </c>
      <c r="C107" s="60">
        <f>SUM(H108:H110)</f>
        <v>225</v>
      </c>
      <c r="D107" s="60">
        <f>C107-B107</f>
        <v>63.59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</f>
        <v>45.769999999999982</v>
      </c>
      <c r="K108" s="84"/>
      <c r="L108" s="41"/>
      <c r="M108" s="42"/>
      <c r="N108" s="42"/>
      <c r="O108" s="127"/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</f>
        <v>-83.399999999999977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161.41</v>
      </c>
      <c r="H110" s="54">
        <v>110</v>
      </c>
      <c r="I110" s="63">
        <f t="shared" si="4"/>
        <v>-51.41</v>
      </c>
      <c r="J110" s="97">
        <f>Jan!I110+Feb!I110+Mar!I110+Apr!I110+May!I110+Jun!I110</f>
        <v>-2.0799999999999983</v>
      </c>
      <c r="K110" s="84"/>
      <c r="L110" s="41"/>
      <c r="M110" s="42">
        <f>56.11+39.2+66.1</f>
        <v>161.41</v>
      </c>
      <c r="N110" s="42"/>
      <c r="O110" s="54" t="s">
        <v>940</v>
      </c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627.45000000000005</v>
      </c>
      <c r="C112" s="60">
        <f>SUM(H113:H115)</f>
        <v>415</v>
      </c>
      <c r="D112" s="60">
        <f>C112-B112</f>
        <v>-212.45000000000005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130.44999999999999</v>
      </c>
      <c r="H113" s="54">
        <v>150</v>
      </c>
      <c r="I113" s="63">
        <f t="shared" si="4"/>
        <v>19.550000000000011</v>
      </c>
      <c r="J113" s="97">
        <f>Jan!I113+Feb!I113+Mar!I113+Apr!I113+May!I113+Jun!I113</f>
        <v>769.55</v>
      </c>
      <c r="K113" s="84"/>
      <c r="L113" s="41">
        <v>130.44999999999999</v>
      </c>
      <c r="M113" s="42"/>
      <c r="N113" s="42"/>
      <c r="O113" s="54" t="s">
        <v>925</v>
      </c>
    </row>
    <row r="114" spans="1:15" s="54" customFormat="1" ht="13.5">
      <c r="A114" s="60"/>
      <c r="B114" s="54" t="s">
        <v>542</v>
      </c>
      <c r="G114" s="54">
        <f t="shared" si="3"/>
        <v>120</v>
      </c>
      <c r="H114" s="54">
        <v>215</v>
      </c>
      <c r="I114" s="63">
        <f t="shared" si="4"/>
        <v>95</v>
      </c>
      <c r="J114" s="97">
        <f>Jan!I114+Feb!I114+Mar!I114+Apr!I114+May!I114+Jun!I114</f>
        <v>200</v>
      </c>
      <c r="K114" s="84"/>
      <c r="L114" s="41">
        <f>40+80</f>
        <v>120</v>
      </c>
      <c r="M114" s="42"/>
      <c r="N114" s="42"/>
      <c r="O114" s="54" t="s">
        <v>993</v>
      </c>
    </row>
    <row r="115" spans="1:15" s="54" customFormat="1" ht="13.5">
      <c r="A115" s="60"/>
      <c r="B115" s="54" t="s">
        <v>526</v>
      </c>
      <c r="G115" s="54">
        <f t="shared" si="3"/>
        <v>377</v>
      </c>
      <c r="H115" s="54">
        <v>50</v>
      </c>
      <c r="I115" s="63">
        <f t="shared" si="4"/>
        <v>-327</v>
      </c>
      <c r="J115" s="97">
        <f>Jan!I115+Feb!I115+Mar!I115+Apr!I115+May!I115+Jun!I115</f>
        <v>-110.96000000000001</v>
      </c>
      <c r="K115" s="84"/>
      <c r="L115" s="41">
        <f>135+135+19+28</f>
        <v>317</v>
      </c>
      <c r="M115" s="42">
        <v>60</v>
      </c>
      <c r="N115" s="42"/>
      <c r="O115" s="54" t="s">
        <v>826</v>
      </c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788.53000000000009</v>
      </c>
      <c r="C117" s="60">
        <f>SUM(H118:H128)</f>
        <v>750</v>
      </c>
      <c r="D117" s="60">
        <f>C117-B117</f>
        <v>-38.530000000000086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300</v>
      </c>
      <c r="H118" s="54">
        <v>100</v>
      </c>
      <c r="I118" s="63">
        <f t="shared" si="4"/>
        <v>-200</v>
      </c>
      <c r="J118" s="97">
        <f>Jan!I118+Feb!I118+Mar!I118+Apr!I118+May!I118+Jun!I118</f>
        <v>-132</v>
      </c>
      <c r="K118" s="84"/>
      <c r="L118" s="41">
        <f>200+100</f>
        <v>300</v>
      </c>
      <c r="M118" s="42"/>
      <c r="N118" s="42"/>
      <c r="O118" s="127" t="s">
        <v>926</v>
      </c>
    </row>
    <row r="119" spans="1:15" s="54" customFormat="1" ht="14.25" thickBot="1">
      <c r="B119" s="54" t="s">
        <v>511</v>
      </c>
      <c r="G119" s="54">
        <f t="shared" si="3"/>
        <v>449.59000000000003</v>
      </c>
      <c r="H119" s="54">
        <v>500</v>
      </c>
      <c r="I119" s="63">
        <f t="shared" si="4"/>
        <v>50.409999999999968</v>
      </c>
      <c r="J119" s="97">
        <f>Jan!I119+Feb!I119+Mar!I119+Apr!I119+May!I119+Jun!I119</f>
        <v>320.29000000000002</v>
      </c>
      <c r="K119" s="84"/>
      <c r="L119" s="41">
        <f>11.5+20</f>
        <v>31.5</v>
      </c>
      <c r="M119" s="42">
        <f>(90.72-24)+36.18</f>
        <v>102.9</v>
      </c>
      <c r="N119" s="42">
        <f>44.23+20.21+47.6+169.5+2.48+31.17</f>
        <v>315.19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v>36.18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14.94</v>
      </c>
      <c r="H122" s="54">
        <v>40</v>
      </c>
      <c r="I122" s="63">
        <f t="shared" si="4"/>
        <v>25.060000000000002</v>
      </c>
      <c r="J122" s="97">
        <f>Jan!I122+Feb!I122+Mar!I122+Apr!I122+May!I122+Jun!I122</f>
        <v>49.660000000000025</v>
      </c>
      <c r="K122" s="84"/>
      <c r="L122" s="41"/>
      <c r="M122" s="42"/>
      <c r="N122" s="42">
        <v>14.94</v>
      </c>
      <c r="O122" s="54" t="s">
        <v>1008</v>
      </c>
    </row>
    <row r="123" spans="1:15" s="54" customFormat="1" ht="14.25" thickBot="1">
      <c r="B123" s="54" t="s">
        <v>55</v>
      </c>
      <c r="G123" s="54">
        <f>SUM(L123:N123)</f>
        <v>24</v>
      </c>
      <c r="H123" s="54">
        <v>100</v>
      </c>
      <c r="I123" s="63">
        <f t="shared" si="4"/>
        <v>76</v>
      </c>
      <c r="J123" s="97">
        <f>Jan!I123+Feb!I123+Mar!I123+Apr!I123+May!I123+Jun!I123</f>
        <v>301</v>
      </c>
      <c r="K123" s="84"/>
      <c r="L123" s="41"/>
      <c r="M123" s="42">
        <v>24</v>
      </c>
      <c r="N123" s="42"/>
    </row>
    <row r="124" spans="1:15" s="54" customFormat="1" ht="14.25" thickBot="1">
      <c r="C124" s="273" t="s">
        <v>506</v>
      </c>
      <c r="D124" s="274"/>
      <c r="E124" s="95"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4</f>
        <v>4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v>0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20</f>
        <v>20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43" si="5">SUM(L128:N128)</f>
        <v>0</v>
      </c>
      <c r="H128" s="54">
        <v>10</v>
      </c>
      <c r="I128" s="63">
        <f t="shared" ref="I128:I143" si="6">H128-G128</f>
        <v>10</v>
      </c>
      <c r="J128" s="97">
        <f>Jan!I128+Feb!I128+Mar!I128+Apr!I128+May!I128+Jun!I128</f>
        <v>-87.56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0</v>
      </c>
      <c r="C130" s="60">
        <f>H131</f>
        <v>140</v>
      </c>
      <c r="D130" s="60">
        <f>I131</f>
        <v>140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0</v>
      </c>
      <c r="H131" s="54">
        <v>140</v>
      </c>
      <c r="I131" s="63">
        <f t="shared" si="6"/>
        <v>140</v>
      </c>
      <c r="J131" s="97">
        <f>Jan!I131+Feb!I131+Mar!I131+Apr!I131+May!I131+Jun!I131</f>
        <v>312.73</v>
      </c>
      <c r="K131" s="84"/>
      <c r="L131" s="41"/>
      <c r="M131" s="41"/>
      <c r="N131" s="42"/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91.07</v>
      </c>
      <c r="C133" s="60">
        <f>SUM(H134:H136)</f>
        <v>230</v>
      </c>
      <c r="D133" s="60">
        <f>C133-B133</f>
        <v>138.93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91.07</v>
      </c>
      <c r="H134" s="54">
        <v>100</v>
      </c>
      <c r="I134" s="63">
        <f t="shared" si="6"/>
        <v>8.9300000000000068</v>
      </c>
      <c r="J134" s="97">
        <f>Jan!I134+Feb!I134+Mar!I134+Apr!I134+May!I134+Jun!I134</f>
        <v>102.21999999999998</v>
      </c>
      <c r="K134" s="84"/>
      <c r="L134" s="41"/>
      <c r="M134" s="41">
        <f>42.29</f>
        <v>42.29</v>
      </c>
      <c r="N134" s="42">
        <f>18.75+30.03</f>
        <v>48.78</v>
      </c>
      <c r="O134" s="54" t="s">
        <v>942</v>
      </c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</f>
        <v>600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</f>
        <v>171.03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Jan!I139+Feb!I139+Mar!I139+Apr!I139+May!I139+Jun!I139</f>
        <v>60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Jan!I142+Feb!I142+Mar!I142+Apr!I142+May!I142+Jun!I142</f>
        <v>838.63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Jan!I143+Feb!I143+Mar!I143+Apr!I143+May!I143+Jun!I143</f>
        <v>346.86999999999995</v>
      </c>
      <c r="K143" s="89"/>
      <c r="L143" s="41"/>
      <c r="M143" s="41"/>
      <c r="N143" s="42"/>
    </row>
    <row r="144" spans="1:15" s="54" customFormat="1" ht="13.5">
      <c r="I144" s="63"/>
      <c r="J144" s="97"/>
      <c r="K144" s="89"/>
      <c r="L144" s="41"/>
      <c r="M144" s="41"/>
      <c r="N144" s="42"/>
    </row>
    <row r="145" spans="1:16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6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6" ht="13.5">
      <c r="A147" s="54"/>
      <c r="B147" s="54">
        <f>SUM(G148:G162)</f>
        <v>576.01</v>
      </c>
      <c r="C147" s="54">
        <f>SUM(H148:H162)</f>
        <v>410</v>
      </c>
      <c r="D147" s="60">
        <f>C147-B147</f>
        <v>-166.01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6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6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66</v>
      </c>
      <c r="H149" s="54">
        <v>100</v>
      </c>
      <c r="I149" s="63">
        <f t="shared" ref="I149:I162" si="8">H149-G149</f>
        <v>34</v>
      </c>
      <c r="J149" s="97">
        <f>Jan!I149+Feb!I149+Mar!I149+Apr!I149+May!I149+Jun!I149</f>
        <v>111.57</v>
      </c>
      <c r="L149" s="41"/>
      <c r="M149" s="41">
        <f>12.82+41.38+11.8</f>
        <v>66</v>
      </c>
      <c r="N149" s="42"/>
      <c r="O149" s="67" t="s">
        <v>832</v>
      </c>
      <c r="P149" s="67" t="s">
        <v>833</v>
      </c>
    </row>
    <row r="150" spans="1:16" ht="14.25" thickBot="1">
      <c r="A150" s="95">
        <f>SUM(G149:G153)</f>
        <v>276.01000000000005</v>
      </c>
      <c r="B150" s="54" t="s">
        <v>289</v>
      </c>
      <c r="C150" s="54"/>
      <c r="D150" s="54"/>
      <c r="E150" s="54"/>
      <c r="F150" s="54"/>
      <c r="G150" s="54">
        <f t="shared" si="7"/>
        <v>193.1</v>
      </c>
      <c r="H150" s="54">
        <v>100</v>
      </c>
      <c r="I150" s="63">
        <f t="shared" si="8"/>
        <v>-93.1</v>
      </c>
      <c r="J150" s="97">
        <f>Jan!I150+Feb!I150+Mar!I150+Apr!I150+May!I150+Jun!I150</f>
        <v>233.13000000000002</v>
      </c>
      <c r="L150" s="41"/>
      <c r="M150" s="41">
        <f>42.85+62.41+20.76+67.08</f>
        <v>193.1</v>
      </c>
      <c r="N150" s="42"/>
    </row>
    <row r="151" spans="1:16" ht="13.5">
      <c r="A151" s="54"/>
      <c r="B151" s="54" t="s">
        <v>64</v>
      </c>
      <c r="C151" s="54"/>
      <c r="D151" s="54"/>
      <c r="E151" s="54"/>
      <c r="F151" s="54"/>
      <c r="G151" s="54">
        <f t="shared" si="7"/>
        <v>0</v>
      </c>
      <c r="H151" s="54">
        <v>30</v>
      </c>
      <c r="I151" s="63">
        <f t="shared" si="8"/>
        <v>30</v>
      </c>
      <c r="J151" s="97">
        <f>Jan!I151+Feb!I151+Mar!I151+Apr!I151+May!I151+Jun!I151</f>
        <v>43.5</v>
      </c>
      <c r="L151" s="41"/>
      <c r="M151" s="41"/>
      <c r="N151" s="42"/>
    </row>
    <row r="152" spans="1:16" ht="13.5">
      <c r="A152" s="54"/>
      <c r="B152" s="54" t="s">
        <v>65</v>
      </c>
      <c r="C152" s="54"/>
      <c r="D152" s="54"/>
      <c r="E152" s="54"/>
      <c r="F152" s="54"/>
      <c r="G152" s="54">
        <f t="shared" si="7"/>
        <v>0</v>
      </c>
      <c r="H152" s="54">
        <v>50</v>
      </c>
      <c r="I152" s="63">
        <f t="shared" si="8"/>
        <v>50</v>
      </c>
      <c r="J152" s="97">
        <f>Jan!I152+Feb!I152+Mar!I152+Apr!I152+May!I152+Jun!I152</f>
        <v>250</v>
      </c>
      <c r="L152" s="41"/>
      <c r="M152" s="41"/>
      <c r="N152" s="42"/>
    </row>
    <row r="153" spans="1:16" ht="13.5">
      <c r="A153" s="54"/>
      <c r="B153" s="54" t="s">
        <v>545</v>
      </c>
      <c r="C153" s="54"/>
      <c r="D153" s="54"/>
      <c r="E153" s="54"/>
      <c r="F153" s="54"/>
      <c r="G153" s="54">
        <f t="shared" si="7"/>
        <v>16.91</v>
      </c>
      <c r="H153" s="54">
        <v>10</v>
      </c>
      <c r="I153" s="63">
        <f t="shared" si="8"/>
        <v>-6.91</v>
      </c>
      <c r="J153" s="97">
        <f>Jan!I153+Feb!I153+Mar!I153+Apr!I153+May!I153+Jun!I153</f>
        <v>43.09</v>
      </c>
      <c r="L153" s="41"/>
      <c r="M153" s="41">
        <v>16.91</v>
      </c>
      <c r="N153" s="42"/>
    </row>
    <row r="154" spans="1:16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6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6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8"/>
        <v>0</v>
      </c>
      <c r="J156" s="97">
        <f>Jan!I156+Feb!I156+Mar!I156+Apr!I156+May!I156+Jun!I156</f>
        <v>0</v>
      </c>
      <c r="L156" s="41"/>
      <c r="M156" s="41"/>
      <c r="N156" s="42"/>
    </row>
    <row r="157" spans="1:16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/>
      <c r="I157" s="63">
        <f t="shared" si="8"/>
        <v>0</v>
      </c>
      <c r="J157" s="97">
        <f>Jan!I157+Feb!I157+Mar!I157+Apr!I157+May!I157+Jun!I157</f>
        <v>-5223.6000000000004</v>
      </c>
      <c r="L157" s="41"/>
      <c r="M157" s="41"/>
      <c r="N157" s="42"/>
    </row>
    <row r="158" spans="1:16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8"/>
        <v>0</v>
      </c>
      <c r="J158" s="97">
        <f>Jan!I158+Feb!I158+Mar!I158+Apr!I158+May!I158+Jun!I158</f>
        <v>0</v>
      </c>
      <c r="L158" s="41"/>
      <c r="M158" s="41"/>
      <c r="N158" s="42"/>
    </row>
    <row r="159" spans="1:16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8"/>
        <v>0</v>
      </c>
      <c r="J159" s="97">
        <f>Jan!I159+Feb!I159+Mar!I159+Apr!I159+May!I159+Jun!I159</f>
        <v>0</v>
      </c>
      <c r="L159" s="41"/>
      <c r="M159" s="41"/>
      <c r="N159" s="42"/>
    </row>
    <row r="160" spans="1:16" ht="13.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/>
      <c r="I160" s="63">
        <f t="shared" si="8"/>
        <v>0</v>
      </c>
      <c r="J160" s="97">
        <f>Jan!I160+Feb!I160+Mar!I160+Apr!I160+May!I160+Jun!I160</f>
        <v>-210</v>
      </c>
      <c r="L160" s="41"/>
      <c r="M160" s="41"/>
      <c r="N160" s="42"/>
    </row>
    <row r="161" spans="1:15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5" ht="13.5">
      <c r="A162" s="60" t="s">
        <v>293</v>
      </c>
      <c r="B162" s="54"/>
      <c r="C162" s="54"/>
      <c r="D162" s="54"/>
      <c r="E162" s="54"/>
      <c r="F162" s="54"/>
      <c r="G162" s="54">
        <f t="shared" si="7"/>
        <v>300</v>
      </c>
      <c r="H162" s="54">
        <v>120</v>
      </c>
      <c r="I162" s="63">
        <f t="shared" si="8"/>
        <v>-180</v>
      </c>
      <c r="J162" s="97">
        <f>Jan!I162+Feb!I162+Mar!I162+Apr!I162+May!I162+Jun!I162</f>
        <v>420</v>
      </c>
      <c r="L162" s="41">
        <v>300</v>
      </c>
      <c r="M162" s="41"/>
      <c r="N162" s="42"/>
      <c r="O162" s="67" t="s">
        <v>895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opLeftCell="A63" zoomScale="84" zoomScaleNormal="84" workbookViewId="0">
      <selection activeCell="L114" sqref="L114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7">
      <c r="A1" s="73" t="s">
        <v>202</v>
      </c>
      <c r="B1" s="74">
        <v>2014</v>
      </c>
      <c r="C1" s="74"/>
      <c r="L1" s="75" t="s">
        <v>557</v>
      </c>
    </row>
    <row r="2" spans="1:17">
      <c r="A2" s="73" t="s">
        <v>191</v>
      </c>
      <c r="B2" s="75" t="s">
        <v>12</v>
      </c>
      <c r="C2" s="75"/>
      <c r="M2" s="75" t="s">
        <v>540</v>
      </c>
    </row>
    <row r="3" spans="1:17">
      <c r="M3" s="75" t="s">
        <v>539</v>
      </c>
      <c r="O3"/>
      <c r="P3"/>
      <c r="Q3"/>
    </row>
    <row r="4" spans="1:17">
      <c r="A4" s="73" t="s">
        <v>4</v>
      </c>
      <c r="B4" s="78">
        <f>SUM(G5:G8)</f>
        <v>8878.8700000000008</v>
      </c>
      <c r="C4" s="78"/>
      <c r="F4" s="100"/>
      <c r="G4" s="67" t="s">
        <v>34</v>
      </c>
      <c r="L4" s="79"/>
      <c r="M4" s="67" t="s">
        <v>995</v>
      </c>
      <c r="O4"/>
      <c r="P4"/>
      <c r="Q4"/>
    </row>
    <row r="5" spans="1:17" ht="12.75">
      <c r="A5" s="67" t="s">
        <v>25</v>
      </c>
      <c r="B5" s="128">
        <v>3499.55</v>
      </c>
      <c r="C5" s="128">
        <v>3499.56</v>
      </c>
      <c r="F5" s="100"/>
      <c r="G5" s="128">
        <f>SUM(B5:E5)</f>
        <v>6999.1100000000006</v>
      </c>
      <c r="H5" s="79"/>
      <c r="I5" s="79"/>
      <c r="J5" s="79"/>
      <c r="K5" s="83"/>
      <c r="L5" s="79"/>
      <c r="M5" s="67" t="s">
        <v>996</v>
      </c>
      <c r="O5"/>
      <c r="P5"/>
      <c r="Q5"/>
    </row>
    <row r="6" spans="1:17" ht="12.75">
      <c r="A6" s="67" t="s">
        <v>251</v>
      </c>
      <c r="B6" s="67">
        <v>1879.76</v>
      </c>
      <c r="C6" s="77"/>
      <c r="F6" s="100"/>
      <c r="G6" s="128">
        <f>SUM(B6:E6)</f>
        <v>1879.76</v>
      </c>
      <c r="H6" s="79"/>
      <c r="I6" s="79"/>
      <c r="J6" s="79"/>
      <c r="K6" s="83"/>
      <c r="L6" s="79"/>
      <c r="O6"/>
      <c r="P6"/>
      <c r="Q6"/>
    </row>
    <row r="7" spans="1:17" ht="12.75">
      <c r="A7" s="67" t="s">
        <v>27</v>
      </c>
      <c r="F7" s="100"/>
      <c r="G7" s="128">
        <f>SUM(B7:E7)</f>
        <v>0</v>
      </c>
      <c r="H7" s="79"/>
      <c r="I7" s="79"/>
      <c r="J7" s="79"/>
      <c r="K7" s="83"/>
      <c r="L7" s="79"/>
      <c r="O7" s="77"/>
    </row>
    <row r="8" spans="1:17">
      <c r="F8" s="100"/>
      <c r="G8" s="128"/>
      <c r="H8" s="79"/>
      <c r="I8" s="79"/>
      <c r="J8" s="79"/>
      <c r="K8" s="83"/>
      <c r="P8" s="77"/>
    </row>
    <row r="9" spans="1:17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7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7" s="54" customFormat="1" ht="13.5">
      <c r="A11" s="60" t="s">
        <v>297</v>
      </c>
      <c r="B11" s="277">
        <f>G11</f>
        <v>1230</v>
      </c>
      <c r="D11" s="54" t="s">
        <v>299</v>
      </c>
      <c r="E11" s="54">
        <f>G11/B4</f>
        <v>0.13853114191332905</v>
      </c>
      <c r="F11" s="275"/>
      <c r="G11" s="55">
        <f>Tithe!D12</f>
        <v>1230</v>
      </c>
      <c r="H11" s="54">
        <v>1200</v>
      </c>
      <c r="I11" s="66">
        <f>H11-G11</f>
        <v>-30</v>
      </c>
      <c r="J11" s="99">
        <f>Jan!I11+Feb!I11+Mar!I11+Apr!I11+May!I11+Jun!I11+July!I11</f>
        <v>-490</v>
      </c>
      <c r="K11" s="85"/>
    </row>
    <row r="12" spans="1:17" s="54" customFormat="1" ht="13.5">
      <c r="I12" s="66"/>
      <c r="J12" s="99"/>
      <c r="K12" s="86"/>
      <c r="L12" s="286" t="s">
        <v>558</v>
      </c>
    </row>
    <row r="13" spans="1:17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L13" s="54" t="s">
        <v>1013</v>
      </c>
    </row>
    <row r="14" spans="1:17" s="54" customFormat="1" ht="13.5">
      <c r="B14" s="60" t="s">
        <v>426</v>
      </c>
      <c r="E14" s="54" t="s">
        <v>524</v>
      </c>
      <c r="F14" s="275"/>
      <c r="G14" s="54">
        <v>800</v>
      </c>
      <c r="H14" s="54">
        <v>800</v>
      </c>
      <c r="I14" s="66">
        <f t="shared" ref="I14:I20" si="0">H14-G14</f>
        <v>0</v>
      </c>
      <c r="J14" s="99">
        <f>Jan!I14+Feb!I14+Mar!I14+Apr!I14+May!I14+Jun!I14+July!I14</f>
        <v>0</v>
      </c>
      <c r="K14" s="86"/>
    </row>
    <row r="15" spans="1:17" s="54" customFormat="1" ht="13.5">
      <c r="B15" s="60" t="s">
        <v>282</v>
      </c>
      <c r="E15" s="54" t="s">
        <v>524</v>
      </c>
      <c r="F15" s="275"/>
      <c r="G15" s="54">
        <v>200</v>
      </c>
      <c r="H15" s="54">
        <v>200</v>
      </c>
      <c r="I15" s="66">
        <f t="shared" si="0"/>
        <v>0</v>
      </c>
      <c r="J15" s="99">
        <f>Jan!I15+Feb!I15+Mar!I15+Apr!I15+May!I15+Jun!I15+July!I15</f>
        <v>0</v>
      </c>
      <c r="K15" s="86"/>
    </row>
    <row r="16" spans="1:17" s="54" customFormat="1" ht="13.5">
      <c r="B16" s="60" t="s">
        <v>314</v>
      </c>
      <c r="E16" s="54" t="s">
        <v>524</v>
      </c>
      <c r="F16" s="275"/>
      <c r="G16" s="54">
        <v>300</v>
      </c>
      <c r="H16" s="54">
        <v>300</v>
      </c>
      <c r="I16" s="66">
        <f t="shared" si="0"/>
        <v>0</v>
      </c>
      <c r="J16" s="99">
        <f>Jan!I16+Feb!I16+Mar!I16+Apr!I16+May!I16+Jun!I16+July!I16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4">
        <v>200</v>
      </c>
      <c r="H17" s="54">
        <v>200</v>
      </c>
      <c r="I17" s="66">
        <f t="shared" si="0"/>
        <v>0</v>
      </c>
      <c r="J17" s="99"/>
      <c r="K17" s="86"/>
    </row>
    <row r="18" spans="1:13" s="54" customFormat="1" ht="15.95" customHeight="1">
      <c r="B18" s="60" t="s">
        <v>284</v>
      </c>
      <c r="E18" s="54" t="s">
        <v>525</v>
      </c>
      <c r="F18" s="275"/>
      <c r="G18" s="54">
        <v>50</v>
      </c>
      <c r="H18" s="54">
        <v>50</v>
      </c>
      <c r="I18" s="66">
        <f t="shared" si="0"/>
        <v>0</v>
      </c>
      <c r="J18" s="99">
        <f>Jan!I18+Feb!I18+Mar!I18+Apr!I18+May!I18+Jun!I18+July!I18</f>
        <v>0</v>
      </c>
      <c r="K18" s="86"/>
    </row>
    <row r="19" spans="1:13" s="54" customFormat="1" ht="15.95" customHeight="1">
      <c r="B19" s="60" t="s">
        <v>283</v>
      </c>
      <c r="E19" s="54" t="s">
        <v>525</v>
      </c>
      <c r="F19" s="275"/>
      <c r="G19" s="54">
        <v>200</v>
      </c>
      <c r="H19" s="54">
        <v>200</v>
      </c>
      <c r="I19" s="66">
        <f t="shared" si="0"/>
        <v>0</v>
      </c>
      <c r="J19" s="99"/>
      <c r="K19" s="86"/>
    </row>
    <row r="20" spans="1:13" s="54" customFormat="1" ht="15.95" customHeight="1">
      <c r="B20" s="60" t="s">
        <v>315</v>
      </c>
      <c r="E20" s="54" t="s">
        <v>525</v>
      </c>
      <c r="G20" s="54">
        <v>300</v>
      </c>
      <c r="H20" s="54">
        <v>300</v>
      </c>
      <c r="I20" s="66">
        <f t="shared" si="0"/>
        <v>0</v>
      </c>
      <c r="J20" s="99">
        <f>Jan!I20+Feb!I20+Mar!I20+Apr!I20+May!I20+Jun!I20+July!I20</f>
        <v>0</v>
      </c>
      <c r="K20" s="86"/>
    </row>
    <row r="21" spans="1:13" s="54" customFormat="1" ht="15.95" customHeight="1">
      <c r="A21" s="60"/>
      <c r="F21" s="275"/>
      <c r="I21" s="66"/>
      <c r="J21" s="99"/>
      <c r="K21" s="86"/>
      <c r="L21" s="60" t="s">
        <v>559</v>
      </c>
    </row>
    <row r="22" spans="1:13" s="54" customFormat="1" ht="15.95" customHeight="1">
      <c r="A22" s="60" t="s">
        <v>300</v>
      </c>
      <c r="B22" s="278">
        <f>G22</f>
        <v>700</v>
      </c>
      <c r="F22" s="275"/>
      <c r="G22" s="54">
        <v>700</v>
      </c>
      <c r="H22" s="54">
        <v>700</v>
      </c>
      <c r="I22" s="66">
        <f>H22-G22</f>
        <v>0</v>
      </c>
      <c r="J22" s="99">
        <f>Jan!I22+Feb!I22+Mar!I22+Apr!I22+May!I22+Jun!I22+July!I22</f>
        <v>0</v>
      </c>
      <c r="K22" s="86"/>
      <c r="L22" s="54" t="s">
        <v>1027</v>
      </c>
    </row>
    <row r="23" spans="1:13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5.95" customHeight="1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</f>
        <v>3500</v>
      </c>
      <c r="K25" s="86"/>
    </row>
    <row r="26" spans="1:13" s="54" customFormat="1" ht="12.75" customHeight="1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</f>
        <v>2100</v>
      </c>
      <c r="K26" s="86"/>
    </row>
    <row r="27" spans="1:13" s="54" customFormat="1" ht="12.75" customHeight="1">
      <c r="A27" s="60"/>
      <c r="F27" s="275"/>
      <c r="G27" s="68"/>
      <c r="H27" s="68"/>
      <c r="I27" s="70"/>
      <c r="J27" s="81"/>
      <c r="K27" s="81"/>
    </row>
    <row r="28" spans="1:13" s="54" customFormat="1" ht="12.75" customHeight="1" thickBot="1">
      <c r="A28" s="60"/>
      <c r="B28" s="60"/>
      <c r="F28" s="275"/>
      <c r="G28" s="69">
        <f>SUM(G11:G26)</f>
        <v>3980</v>
      </c>
      <c r="H28" s="69">
        <f>SUM(H11:H26)</f>
        <v>4750</v>
      </c>
      <c r="I28" s="69">
        <f>SUM(I11:I26)</f>
        <v>770</v>
      </c>
      <c r="J28" s="69">
        <f>SUM(J11:J26)</f>
        <v>5110</v>
      </c>
      <c r="K28" s="87"/>
    </row>
    <row r="29" spans="1:13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3" s="54" customFormat="1" ht="12.75" customHeight="1" thickBot="1">
      <c r="A30" s="60" t="s">
        <v>305</v>
      </c>
      <c r="B30" s="60"/>
      <c r="F30" s="275"/>
      <c r="G30" s="95"/>
      <c r="H30" s="58"/>
      <c r="I30" s="58"/>
      <c r="J30" s="58"/>
      <c r="K30" s="87"/>
      <c r="M30" s="54" t="s">
        <v>936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4898.8700000000008</v>
      </c>
      <c r="H31" s="58"/>
      <c r="I31" s="58"/>
      <c r="J31" s="58"/>
      <c r="K31" s="87"/>
      <c r="L31" s="58"/>
      <c r="M31" s="54" t="s">
        <v>1014</v>
      </c>
    </row>
    <row r="32" spans="1:13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3930.9600000000005</v>
      </c>
      <c r="H32" s="58"/>
      <c r="I32" s="58"/>
      <c r="J32" s="58"/>
      <c r="K32" s="87"/>
      <c r="L32" s="58"/>
    </row>
    <row r="33" spans="1:15" s="54" customFormat="1" ht="12.75" customHeight="1">
      <c r="A33" s="60" t="s">
        <v>655</v>
      </c>
      <c r="B33" s="60"/>
      <c r="F33" s="275"/>
      <c r="G33" s="80">
        <f>G31-G32-M42</f>
        <v>967.91000000000031</v>
      </c>
      <c r="H33" s="58"/>
      <c r="I33" s="58"/>
      <c r="J33" s="58"/>
      <c r="K33" s="87"/>
      <c r="L33" s="58"/>
    </row>
    <row r="34" spans="1:15" s="54" customFormat="1" ht="12.75" customHeight="1">
      <c r="H34" s="58"/>
      <c r="I34" s="58"/>
      <c r="J34" s="58"/>
      <c r="K34" s="87"/>
      <c r="L34" s="58"/>
    </row>
    <row r="35" spans="1:15" s="54" customFormat="1" ht="12.75" customHeight="1">
      <c r="A35" s="60" t="s">
        <v>527</v>
      </c>
      <c r="B35" s="60"/>
      <c r="E35" s="54">
        <f>B47</f>
        <v>882.42000000000007</v>
      </c>
      <c r="F35" s="275"/>
      <c r="G35" s="135"/>
      <c r="H35" s="58"/>
      <c r="I35" s="58"/>
      <c r="J35" s="58"/>
      <c r="K35" s="87"/>
      <c r="L35" s="58"/>
    </row>
    <row r="36" spans="1:15" s="54" customFormat="1" ht="12.75" customHeight="1">
      <c r="A36" s="60" t="s">
        <v>491</v>
      </c>
      <c r="B36" s="60"/>
      <c r="E36" s="54">
        <f>B76</f>
        <v>2864.0899999999997</v>
      </c>
      <c r="F36" s="275"/>
      <c r="G36" s="80"/>
      <c r="H36" s="58"/>
      <c r="I36" s="58"/>
      <c r="J36" s="58"/>
      <c r="K36" s="87"/>
      <c r="L36" s="58"/>
    </row>
    <row r="37" spans="1:15" s="54" customFormat="1" ht="13.5">
      <c r="A37" s="60"/>
      <c r="B37" s="60" t="s">
        <v>528</v>
      </c>
      <c r="D37" s="54">
        <f>B93+B102</f>
        <v>874.99</v>
      </c>
      <c r="F37" s="275"/>
      <c r="G37" s="80"/>
      <c r="H37" s="58"/>
      <c r="I37" s="58"/>
      <c r="J37" s="58"/>
      <c r="K37" s="87"/>
      <c r="L37" s="58"/>
    </row>
    <row r="38" spans="1:15" s="54" customFormat="1" ht="14.25" thickBot="1">
      <c r="A38" s="60"/>
      <c r="B38" s="60" t="s">
        <v>529</v>
      </c>
      <c r="D38" s="54">
        <f>B82</f>
        <v>119.14</v>
      </c>
      <c r="F38" s="275"/>
      <c r="G38" s="80"/>
      <c r="H38" s="58"/>
      <c r="I38" s="58"/>
      <c r="J38" s="58"/>
      <c r="K38" s="87"/>
      <c r="L38" s="58"/>
    </row>
    <row r="39" spans="1:15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5" s="54" customFormat="1" ht="14.25" thickBot="1">
      <c r="A40" s="60"/>
      <c r="B40" s="60" t="s">
        <v>531</v>
      </c>
      <c r="D40" s="54">
        <f>B107</f>
        <v>238.87</v>
      </c>
      <c r="F40" s="275"/>
      <c r="G40" s="105"/>
      <c r="H40" s="58"/>
      <c r="I40" s="58"/>
      <c r="J40" s="58"/>
      <c r="K40" s="87"/>
      <c r="L40" s="58"/>
      <c r="M40" s="54">
        <v>1479.25</v>
      </c>
    </row>
    <row r="41" spans="1:15" s="54" customFormat="1" ht="14.25" thickBot="1">
      <c r="A41" s="106"/>
      <c r="B41" s="60" t="s">
        <v>532</v>
      </c>
      <c r="D41" s="54">
        <f>B112</f>
        <v>19.95</v>
      </c>
      <c r="F41" s="275"/>
      <c r="G41" s="105"/>
      <c r="H41" s="58"/>
      <c r="I41" s="58"/>
      <c r="J41" s="58"/>
      <c r="K41" s="87"/>
      <c r="L41" s="95"/>
      <c r="M41" s="54">
        <f>M46+M44+M43-M42</f>
        <v>1479.25</v>
      </c>
      <c r="N41" s="54">
        <f>N46-N42</f>
        <v>1473.66</v>
      </c>
      <c r="O41" s="54" t="s">
        <v>1028</v>
      </c>
    </row>
    <row r="42" spans="1:15" s="54" customFormat="1" ht="13.5">
      <c r="B42" s="60" t="s">
        <v>533</v>
      </c>
      <c r="C42" s="61"/>
      <c r="D42" s="61">
        <f>B130</f>
        <v>127</v>
      </c>
      <c r="F42" s="275"/>
      <c r="G42" s="105"/>
      <c r="H42" s="58"/>
      <c r="I42" s="58"/>
      <c r="J42" s="58"/>
      <c r="K42" s="87"/>
      <c r="L42" s="54" t="s">
        <v>348</v>
      </c>
    </row>
    <row r="43" spans="1:15" s="54" customFormat="1" ht="13.5">
      <c r="B43" s="60" t="s">
        <v>534</v>
      </c>
      <c r="D43" s="54">
        <f>B117+B133+B138+B141</f>
        <v>1009.14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5" s="54" customFormat="1" ht="13.5">
      <c r="A44" s="60" t="s">
        <v>535</v>
      </c>
      <c r="E44" s="54">
        <f>B147</f>
        <v>184.45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5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5" s="54" customFormat="1" ht="14.25" thickBot="1">
      <c r="D46"/>
      <c r="E46" s="279"/>
      <c r="F46" s="275"/>
      <c r="G46" s="101">
        <f>SUM(G48:G162)</f>
        <v>3930.9600000000005</v>
      </c>
      <c r="H46" s="101">
        <f>SUM(H48:H162)</f>
        <v>4673</v>
      </c>
      <c r="I46" s="101">
        <f>H46-G46</f>
        <v>742.03999999999951</v>
      </c>
      <c r="J46" s="101">
        <f>SUM(J48:J162)</f>
        <v>1671.7099999999991</v>
      </c>
      <c r="K46" s="88"/>
      <c r="L46" s="92">
        <f>SUM(L48:L162)</f>
        <v>1128.0500000000002</v>
      </c>
      <c r="M46" s="92">
        <f>SUM(M48:M162)</f>
        <v>1329.25</v>
      </c>
      <c r="N46" s="92">
        <f>SUM(N48:N162)</f>
        <v>1473.66</v>
      </c>
    </row>
    <row r="47" spans="1:15" s="54" customFormat="1" ht="14.25" thickBot="1">
      <c r="A47" s="106" t="s">
        <v>492</v>
      </c>
      <c r="B47" s="273">
        <f>B48+B61+B65</f>
        <v>882.42000000000007</v>
      </c>
      <c r="C47" s="273">
        <f>C48+C61+C65</f>
        <v>1378</v>
      </c>
      <c r="D47" s="95">
        <f>D48+D61+D65</f>
        <v>495.57999999999987</v>
      </c>
      <c r="I47" s="63"/>
      <c r="J47" s="97"/>
      <c r="K47" s="84"/>
      <c r="L47" s="41"/>
      <c r="M47" s="42"/>
      <c r="N47" s="42"/>
    </row>
    <row r="48" spans="1:15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</f>
        <v>700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</f>
        <v>690.36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</f>
        <v>700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</f>
        <v>0.27999999999974534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</f>
        <v>-281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</f>
        <v>-19.980000000000246</v>
      </c>
      <c r="K55" s="84"/>
      <c r="L55" s="41">
        <v>1694.15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</f>
        <v>19.979999999999905</v>
      </c>
      <c r="K56" s="84"/>
      <c r="L56" s="41">
        <v>305.85000000000002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</f>
        <v>60</v>
      </c>
      <c r="K57" s="84"/>
      <c r="L57" s="41">
        <v>-2060</v>
      </c>
      <c r="M57" s="42"/>
      <c r="N57" s="42"/>
    </row>
    <row r="58" spans="1:14" s="54" customFormat="1" ht="13.5">
      <c r="G58" s="54">
        <f>SUM(L58:N58)</f>
        <v>0</v>
      </c>
      <c r="I58" s="63"/>
      <c r="J58" s="97"/>
      <c r="K58" s="84"/>
      <c r="L58" s="41"/>
      <c r="M58" s="42"/>
      <c r="N58" s="42"/>
    </row>
    <row r="59" spans="1:14" s="54" customFormat="1" ht="13.5">
      <c r="G59" s="54">
        <f>SUM(L59:N59)</f>
        <v>0</v>
      </c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161.94999999999999</v>
      </c>
      <c r="C61" s="60">
        <f>SUM(H62:H63)</f>
        <v>167</v>
      </c>
      <c r="D61" s="60">
        <f>C61-B61</f>
        <v>5.0500000000000114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97">
        <f>Jan!I62+Feb!I62+Mar!I62+Apr!I62+May!I62+Jun!I62+July!I62</f>
        <v>-11.080000000000013</v>
      </c>
      <c r="K62" s="84"/>
      <c r="L62" s="41"/>
      <c r="M62" s="42">
        <v>69.16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92.79</v>
      </c>
      <c r="H63" s="54">
        <v>100</v>
      </c>
      <c r="I63" s="63">
        <f t="shared" si="4"/>
        <v>7.2099999999999937</v>
      </c>
      <c r="J63" s="97">
        <f>Jan!I63+Feb!I63+Mar!I63+Apr!I63+May!I63+Jun!I63+July!I63</f>
        <v>6.7699999999999818</v>
      </c>
      <c r="K63" s="84"/>
      <c r="L63" s="41"/>
      <c r="M63" s="42">
        <v>92.79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226.51</v>
      </c>
      <c r="C65" s="60">
        <f>SUM(H66:H74)</f>
        <v>300</v>
      </c>
      <c r="D65" s="60">
        <f>C65-B65</f>
        <v>73.490000000000009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39.380000000000003</v>
      </c>
      <c r="H66" s="54">
        <v>60</v>
      </c>
      <c r="I66" s="63">
        <f t="shared" si="4"/>
        <v>20.619999999999997</v>
      </c>
      <c r="J66" s="97">
        <f>Jan!I66+Feb!I66+Mar!I66+Apr!I66+May!I66+Jun!I66+July!I66</f>
        <v>51.940000000000005</v>
      </c>
      <c r="K66" s="84"/>
      <c r="L66" s="41"/>
      <c r="M66" s="42">
        <v>39.380000000000003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152.65</v>
      </c>
      <c r="H67" s="54">
        <v>130</v>
      </c>
      <c r="I67" s="63">
        <f t="shared" si="4"/>
        <v>-22.650000000000006</v>
      </c>
      <c r="J67" s="97">
        <f>Jan!I67+Feb!I67+Mar!I67+Apr!I67+May!I67+Jun!I67+July!I67</f>
        <v>67.86</v>
      </c>
      <c r="K67" s="84"/>
      <c r="L67" s="41"/>
      <c r="M67" s="42">
        <f>20+47.65+85</f>
        <v>152.65</v>
      </c>
      <c r="N67" s="42"/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15.03</v>
      </c>
      <c r="H70" s="54">
        <v>25</v>
      </c>
      <c r="I70" s="63">
        <f t="shared" si="4"/>
        <v>9.9700000000000006</v>
      </c>
      <c r="J70" s="97">
        <f>Jan!I70+Feb!I70+Mar!I70+Apr!I70+May!I70+Jun!I70+July!I70</f>
        <v>10.769999999999998</v>
      </c>
      <c r="K70" s="84"/>
      <c r="L70" s="41"/>
      <c r="M70" s="42">
        <f>15.03</f>
        <v>15.03</v>
      </c>
      <c r="N70" s="42"/>
      <c r="O70" s="54" t="s">
        <v>931</v>
      </c>
    </row>
    <row r="71" spans="1:15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Jan!I71+Feb!I71+Mar!I71+Apr!I71+May!I71+Jun!I71+July!I71</f>
        <v>-587.49</v>
      </c>
      <c r="K71" s="84"/>
      <c r="L71" s="41"/>
      <c r="M71" s="42"/>
      <c r="N71" s="42"/>
    </row>
    <row r="72" spans="1:15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Jan!I72+Feb!I72+Mar!I72+Apr!I72+May!I72+Jun!I72+July!I72</f>
        <v>-6.3899999999999935</v>
      </c>
      <c r="K72" s="84"/>
      <c r="L72" s="41"/>
      <c r="M72" s="42"/>
      <c r="N72" s="42"/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19.45</v>
      </c>
      <c r="H74" s="54">
        <v>35</v>
      </c>
      <c r="I74" s="63">
        <f t="shared" si="4"/>
        <v>15.55</v>
      </c>
      <c r="J74" s="97">
        <f>Jan!I74+Feb!I74+Mar!I74+Apr!I74+May!I74+Jun!I74+July!I74</f>
        <v>105.92</v>
      </c>
      <c r="K74" s="84"/>
      <c r="L74" s="41"/>
      <c r="M74" s="42">
        <f>7.95+11.5</f>
        <v>19.45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2864.0899999999997</v>
      </c>
      <c r="C76" s="151">
        <f>C78+C82+C88+C93+C102+C107+C112+C117+C130+C133+C138+C141</f>
        <v>2885</v>
      </c>
      <c r="D76" s="151">
        <f>D78+D82+D88+D93+D102+D107+D112+D117+D130+D133+D138+D141</f>
        <v>495.90999999999997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1012</v>
      </c>
      <c r="B78" s="403">
        <f>SUM(G79:G81)</f>
        <v>475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5" s="54" customFormat="1" ht="13.5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5" s="54" customFormat="1" ht="13.5">
      <c r="A81" s="60"/>
      <c r="B81" s="54" t="s">
        <v>1044</v>
      </c>
      <c r="E81" s="54" t="s">
        <v>1005</v>
      </c>
      <c r="G81" s="54">
        <f>SUM(L81:N81)</f>
        <v>475</v>
      </c>
      <c r="I81" s="63"/>
      <c r="J81" s="97"/>
      <c r="K81" s="84"/>
      <c r="L81" s="41">
        <v>475</v>
      </c>
      <c r="M81" s="42"/>
      <c r="N81" s="42"/>
    </row>
    <row r="82" spans="1:15" s="54" customFormat="1" ht="13.5">
      <c r="A82" s="60" t="s">
        <v>42</v>
      </c>
      <c r="B82" s="60">
        <f>SUM(G83:G86)</f>
        <v>119.14</v>
      </c>
      <c r="C82" s="60">
        <f>SUM(H83:H86)</f>
        <v>395</v>
      </c>
      <c r="D82" s="60">
        <f>C82-B82</f>
        <v>275.86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119.14</v>
      </c>
      <c r="H83" s="54">
        <v>125</v>
      </c>
      <c r="I83" s="63">
        <f t="shared" si="4"/>
        <v>5.8599999999999994</v>
      </c>
      <c r="J83" s="97">
        <f>Jan!I83+Feb!I83+Mar!I83+Apr!I83+May!I83+Jun!I83+July!I83</f>
        <v>-43.86</v>
      </c>
      <c r="K83" s="84"/>
      <c r="L83" s="41">
        <f>120.86-1.72</f>
        <v>119.14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Jan!I84+Feb!I84+Mar!I84+Apr!I84+May!I84+Jun!I84+July!I84</f>
        <v>233.95</v>
      </c>
      <c r="K84" s="84"/>
      <c r="L84" s="41"/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</f>
        <v>-485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</f>
        <v>-573.65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</f>
        <v>-499.5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</f>
        <v>479.5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Jan!I91+Feb!I91+Mar!I91+Apr!I91+May!I91+Jun!I91+July!I91</f>
        <v>252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866.94</v>
      </c>
      <c r="C93" s="60">
        <f>SUM(H94:H100)</f>
        <v>178</v>
      </c>
      <c r="D93" s="60">
        <f>C93-B93</f>
        <v>-688.94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0</v>
      </c>
      <c r="H94" s="54">
        <v>20</v>
      </c>
      <c r="I94" s="63">
        <f t="shared" si="4"/>
        <v>20</v>
      </c>
      <c r="J94" s="97">
        <f>Jan!I94+Feb!I94+Mar!I94+Apr!I94+May!I94+Jun!I94+July!I94</f>
        <v>76.44</v>
      </c>
      <c r="K94" s="84"/>
      <c r="L94" s="41"/>
      <c r="M94" s="42"/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</f>
        <v>6.6000000000000005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340.20000000000005</v>
      </c>
      <c r="H96" s="54">
        <v>65</v>
      </c>
      <c r="I96" s="63">
        <f t="shared" si="4"/>
        <v>-275.20000000000005</v>
      </c>
      <c r="J96" s="97">
        <f>Jan!I96+Feb!I96+Mar!I96+Apr!I96+May!I96+Jun!I96+July!I96</f>
        <v>-12.470000000000027</v>
      </c>
      <c r="K96" s="84"/>
      <c r="L96" s="41"/>
      <c r="M96" s="42"/>
      <c r="N96" s="42">
        <f>(826.44-414.05-112.69)+40.5</f>
        <v>340.20000000000005</v>
      </c>
      <c r="O96" s="54" t="s">
        <v>1009</v>
      </c>
    </row>
    <row r="97" spans="1:15" s="54" customFormat="1" ht="13.5">
      <c r="B97" s="54" t="s">
        <v>280</v>
      </c>
      <c r="G97" s="54">
        <f t="shared" si="3"/>
        <v>112.69</v>
      </c>
      <c r="H97" s="54">
        <v>15</v>
      </c>
      <c r="I97" s="63">
        <f t="shared" si="4"/>
        <v>-97.69</v>
      </c>
      <c r="J97" s="97">
        <f>Jan!I97+Feb!I97+Mar!I97+Apr!I97+May!I97+Jun!I97+July!I97</f>
        <v>-7.6899999999999977</v>
      </c>
      <c r="K97" s="84"/>
      <c r="L97" s="41"/>
      <c r="M97" s="42"/>
      <c r="N97" s="42">
        <v>112.69</v>
      </c>
      <c r="O97" s="54" t="s">
        <v>1011</v>
      </c>
    </row>
    <row r="98" spans="1:15" s="54" customFormat="1" ht="13.5">
      <c r="B98" s="54" t="s">
        <v>321</v>
      </c>
      <c r="G98" s="54">
        <f>SUM(L98:N98)</f>
        <v>414.05</v>
      </c>
      <c r="H98" s="54">
        <v>35</v>
      </c>
      <c r="I98" s="63">
        <f t="shared" si="4"/>
        <v>-379.05</v>
      </c>
      <c r="J98" s="97">
        <f>Jan!I98+Feb!I98+Mar!I98+Apr!I98+May!I98+Jun!I98+July!I98</f>
        <v>-169.05</v>
      </c>
      <c r="K98" s="84"/>
      <c r="L98" s="41"/>
      <c r="M98" s="42"/>
      <c r="N98" s="42">
        <v>414.05</v>
      </c>
      <c r="O98" s="54" t="s">
        <v>1010</v>
      </c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</f>
        <v>182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</f>
        <v>47.02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8.0500000000000007</v>
      </c>
      <c r="C102" s="60">
        <f>SUM(H103:H105)</f>
        <v>130</v>
      </c>
      <c r="D102" s="60">
        <f>C102-B102</f>
        <v>121.95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</f>
        <v>28.639999999999986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8.0500000000000007</v>
      </c>
      <c r="H104" s="54">
        <v>60</v>
      </c>
      <c r="I104" s="63">
        <f t="shared" si="4"/>
        <v>51.95</v>
      </c>
      <c r="J104" s="97">
        <f>Jan!I104+Feb!I104+Mar!I104+Apr!I104+May!I104+Jun!I104+July!I104</f>
        <v>358.81</v>
      </c>
      <c r="K104" s="84"/>
      <c r="L104" s="41"/>
      <c r="M104" s="42">
        <f>8.05</f>
        <v>8.0500000000000007</v>
      </c>
      <c r="N104" s="42"/>
      <c r="O104" s="54" t="s">
        <v>938</v>
      </c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</f>
        <v>70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238.87</v>
      </c>
      <c r="C107" s="60">
        <f>SUM(H108:H110)</f>
        <v>225</v>
      </c>
      <c r="D107" s="60">
        <f>C107-B107</f>
        <v>-13.870000000000005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Jan!I108+Feb!I108+Mar!I108+Apr!I108+May!I108+Jun!I108+July!I108</f>
        <v>135.76999999999998</v>
      </c>
      <c r="K108" s="84"/>
      <c r="L108" s="41"/>
      <c r="M108" s="42"/>
      <c r="N108" s="42"/>
      <c r="O108" s="127"/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</f>
        <v>-58.399999999999977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238.87</v>
      </c>
      <c r="H110" s="54">
        <v>110</v>
      </c>
      <c r="I110" s="63">
        <f t="shared" si="4"/>
        <v>-128.87</v>
      </c>
      <c r="J110" s="97">
        <f>Jan!I110+Feb!I110+Mar!I110+Apr!I110+May!I110+Jun!I110+July!I110</f>
        <v>-130.94999999999999</v>
      </c>
      <c r="K110" s="84"/>
      <c r="L110" s="41"/>
      <c r="M110" s="42">
        <f>58.63+56.17+54.68+69.39</f>
        <v>238.87</v>
      </c>
      <c r="N110" s="42"/>
      <c r="O110" s="54" t="s">
        <v>939</v>
      </c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19.95</v>
      </c>
      <c r="C112" s="60">
        <f>SUM(H113:H115)</f>
        <v>415</v>
      </c>
      <c r="D112" s="60">
        <f>C112-B112</f>
        <v>395.05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19.95</v>
      </c>
      <c r="H113" s="54">
        <v>150</v>
      </c>
      <c r="I113" s="63">
        <f t="shared" si="4"/>
        <v>130.05000000000001</v>
      </c>
      <c r="J113" s="97">
        <f>Jan!I113+Feb!I113+Mar!I113+Apr!I113+May!I113+Jun!I113+July!I113</f>
        <v>899.59999999999991</v>
      </c>
      <c r="K113" s="84"/>
      <c r="L113" s="41">
        <v>19.95</v>
      </c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0</v>
      </c>
      <c r="H114" s="54">
        <v>215</v>
      </c>
      <c r="I114" s="63">
        <f t="shared" si="4"/>
        <v>215</v>
      </c>
      <c r="J114" s="97">
        <f>Jan!I114+Feb!I114+Mar!I114+Apr!I114+May!I114+Jun!I114+July!I114</f>
        <v>415</v>
      </c>
      <c r="K114" s="84"/>
      <c r="L114" s="41"/>
      <c r="M114" s="42"/>
      <c r="N114" s="42"/>
    </row>
    <row r="115" spans="1:15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Jan!I115+Feb!I115+Mar!I115+Apr!I115+May!I115+Jun!I115+July!I115</f>
        <v>-60.960000000000008</v>
      </c>
      <c r="K115" s="84"/>
      <c r="L115" s="41"/>
      <c r="M115" s="42"/>
      <c r="N115" s="42"/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748.01</v>
      </c>
      <c r="C117" s="60">
        <f>SUM(H118:H128)</f>
        <v>750</v>
      </c>
      <c r="D117" s="60">
        <f>C117-B117</f>
        <v>1.9900000000000091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70</v>
      </c>
      <c r="H118" s="54">
        <v>100</v>
      </c>
      <c r="I118" s="63">
        <f t="shared" si="4"/>
        <v>30</v>
      </c>
      <c r="J118" s="97">
        <f>Jan!I118+Feb!I118+Mar!I118+Apr!I118+May!I118+Jun!I118+July!I118</f>
        <v>-102</v>
      </c>
      <c r="K118" s="84"/>
      <c r="L118" s="41">
        <f>70</f>
        <v>70</v>
      </c>
      <c r="M118" s="42"/>
      <c r="N118" s="42"/>
    </row>
    <row r="119" spans="1:15" s="54" customFormat="1" ht="14.25" thickBot="1">
      <c r="B119" s="54" t="s">
        <v>511</v>
      </c>
      <c r="G119" s="54">
        <f t="shared" si="3"/>
        <v>466.26000000000005</v>
      </c>
      <c r="H119" s="54">
        <v>500</v>
      </c>
      <c r="I119" s="63">
        <f t="shared" si="4"/>
        <v>33.739999999999952</v>
      </c>
      <c r="J119" s="97">
        <f>Jan!I119+Feb!I119+Mar!I119+Apr!I119+May!I119+Jun!I119+July!I119</f>
        <v>354.03</v>
      </c>
      <c r="K119" s="84"/>
      <c r="L119" s="41"/>
      <c r="M119" s="42"/>
      <c r="N119" s="42">
        <f>44.59+55.94+13.36+17.99+19.15+20.77+149.08+(72.37-14.96)+76.48+11.49</f>
        <v>466.26000000000005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f>Jan!F133+Feb!F134+Mar!F134+Apr!F134+May!F134+Jun!F134+July!F134+Aug!F134+Sep!F134+Oct!F134+Nov!F134+Dec!F134</f>
        <v>0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57</v>
      </c>
      <c r="H122" s="54">
        <v>40</v>
      </c>
      <c r="I122" s="63">
        <f t="shared" si="4"/>
        <v>-17</v>
      </c>
      <c r="J122" s="97">
        <f>Jan!I122+Feb!I122+Mar!I122+Apr!I122+May!I122+Jun!I122+July!I122</f>
        <v>32.660000000000025</v>
      </c>
      <c r="K122" s="84"/>
      <c r="L122" s="41">
        <v>-70</v>
      </c>
      <c r="M122" s="42">
        <f>106.7</f>
        <v>106.7</v>
      </c>
      <c r="N122" s="42">
        <f>20.3</f>
        <v>20.3</v>
      </c>
      <c r="O122" s="54" t="s">
        <v>932</v>
      </c>
    </row>
    <row r="123" spans="1:15" s="54" customFormat="1" ht="14.25" thickBot="1">
      <c r="B123" s="54" t="s">
        <v>55</v>
      </c>
      <c r="G123" s="54">
        <f>SUM(L123:N123)</f>
        <v>154.75</v>
      </c>
      <c r="H123" s="54">
        <v>100</v>
      </c>
      <c r="I123" s="63">
        <f t="shared" si="4"/>
        <v>-54.75</v>
      </c>
      <c r="J123" s="97">
        <f>Jan!I123+Feb!I123+Mar!I123+Apr!I123+May!I123+Jun!I123+July!I123</f>
        <v>246.25</v>
      </c>
      <c r="K123" s="84"/>
      <c r="L123" s="41"/>
      <c r="M123" s="42">
        <f>4.97+49.98</f>
        <v>54.949999999999996</v>
      </c>
      <c r="N123" s="42">
        <v>99.8</v>
      </c>
    </row>
    <row r="124" spans="1:15" s="54" customFormat="1" ht="14.25" thickBot="1">
      <c r="C124" s="273" t="s">
        <v>506</v>
      </c>
      <c r="D124" s="274"/>
      <c r="E124" s="95">
        <f>99.8</f>
        <v>99.8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/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f>4.97+29.99</f>
        <v>34.96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19.99</f>
        <v>19.989999999999998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43" si="5">SUM(L128:N128)</f>
        <v>0</v>
      </c>
      <c r="H128" s="54">
        <v>10</v>
      </c>
      <c r="I128" s="63">
        <f t="shared" ref="I128:I143" si="6">H128-G128</f>
        <v>10</v>
      </c>
      <c r="J128" s="97">
        <f>Jan!I128+Feb!I128+Mar!I128+Apr!I128+May!I128+Jun!I128+July!I128</f>
        <v>-77.56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127</v>
      </c>
      <c r="C130" s="60">
        <f>H131</f>
        <v>140</v>
      </c>
      <c r="D130" s="60">
        <f>I131</f>
        <v>13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127</v>
      </c>
      <c r="H131" s="54">
        <v>140</v>
      </c>
      <c r="I131" s="63">
        <f t="shared" si="6"/>
        <v>13</v>
      </c>
      <c r="J131" s="97">
        <f>Jan!I131+Feb!I131+Mar!I131+Apr!I131+May!I131+Jun!I131+July!I131</f>
        <v>325.73</v>
      </c>
      <c r="K131" s="84"/>
      <c r="L131" s="41">
        <v>20</v>
      </c>
      <c r="M131" s="41">
        <v>107</v>
      </c>
      <c r="N131" s="42"/>
      <c r="O131" s="54" t="s">
        <v>941</v>
      </c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230.22</v>
      </c>
      <c r="C133" s="60">
        <f>SUM(H134:H136)</f>
        <v>230</v>
      </c>
      <c r="D133" s="60">
        <f>C133-B133</f>
        <v>-0.21999999999999886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230.22</v>
      </c>
      <c r="H134" s="54">
        <v>100</v>
      </c>
      <c r="I134" s="63">
        <f t="shared" si="6"/>
        <v>-130.22</v>
      </c>
      <c r="J134" s="97">
        <f>Jan!I134+Feb!I134+Mar!I134+Apr!I134+May!I134+Jun!I134+July!I134</f>
        <v>-28.000000000000014</v>
      </c>
      <c r="K134" s="84"/>
      <c r="L134" s="41"/>
      <c r="M134" s="41">
        <f>21.33+44.53+53+39.05+65.25+11.81-10.15</f>
        <v>224.82</v>
      </c>
      <c r="N134" s="42">
        <v>5.4</v>
      </c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</f>
        <v>700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</f>
        <v>201.03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30.910000000000004</v>
      </c>
      <c r="C138" s="60">
        <f>H139</f>
        <v>10</v>
      </c>
      <c r="D138" s="60">
        <f>C138-B138</f>
        <v>-20.910000000000004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30.910000000000004</v>
      </c>
      <c r="H139" s="54">
        <v>10</v>
      </c>
      <c r="I139" s="63">
        <f t="shared" si="6"/>
        <v>-20.910000000000004</v>
      </c>
      <c r="J139" s="97">
        <f>Jan!I139+Feb!I139+Mar!I139+Apr!I139+May!I139+Jun!I139+July!I139</f>
        <v>39.089999999999996</v>
      </c>
      <c r="K139" s="84"/>
      <c r="L139" s="41"/>
      <c r="M139" s="41">
        <f>14.95+1+32.95-32.95</f>
        <v>15.950000000000003</v>
      </c>
      <c r="N139" s="42">
        <v>14.96</v>
      </c>
      <c r="O139" s="54" t="s">
        <v>1016</v>
      </c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Jan!I142+Feb!I142+Mar!I142+Apr!I142+May!I142+Jun!I142+July!I142</f>
        <v>988.63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Jan!I143+Feb!I143+Mar!I143+Apr!I143+May!I143+Jun!I143+July!I143</f>
        <v>446.86999999999995</v>
      </c>
      <c r="K143" s="89"/>
      <c r="L143" s="41"/>
      <c r="M143" s="41"/>
      <c r="N143" s="42"/>
    </row>
    <row r="144" spans="1:15" s="54" customFormat="1" ht="13.5">
      <c r="I144" s="63"/>
      <c r="J144" s="97"/>
      <c r="K144" s="89"/>
      <c r="L144" s="41"/>
      <c r="M144" s="41"/>
      <c r="N144" s="42"/>
    </row>
    <row r="145" spans="1:15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5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5" ht="13.5">
      <c r="A147" s="54"/>
      <c r="B147" s="54">
        <f>SUM(G148:G162)</f>
        <v>184.45</v>
      </c>
      <c r="C147" s="54">
        <f>SUM(H148:H162)</f>
        <v>410</v>
      </c>
      <c r="D147" s="60">
        <f>C147-B147</f>
        <v>225.55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5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5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16.59</v>
      </c>
      <c r="H149" s="54">
        <v>100</v>
      </c>
      <c r="I149" s="63">
        <f t="shared" ref="I149:I162" si="8">H149-G149</f>
        <v>83.41</v>
      </c>
      <c r="J149" s="97">
        <f>Jan!I149+Feb!I149+Mar!I149+Apr!I149+May!I149+Jun!I149+July!I149</f>
        <v>194.98</v>
      </c>
      <c r="L149" s="41"/>
      <c r="M149" s="41">
        <f>8.62+7.97</f>
        <v>16.59</v>
      </c>
      <c r="N149" s="42"/>
      <c r="O149" s="67" t="s">
        <v>928</v>
      </c>
    </row>
    <row r="150" spans="1:15" ht="14.25" thickBot="1">
      <c r="A150" s="95">
        <f>SUM(G149:G153)</f>
        <v>184.45</v>
      </c>
      <c r="B150" s="54" t="s">
        <v>289</v>
      </c>
      <c r="C150" s="54"/>
      <c r="D150" s="54"/>
      <c r="E150" s="54"/>
      <c r="F150" s="54"/>
      <c r="G150" s="54">
        <f t="shared" si="7"/>
        <v>64.86</v>
      </c>
      <c r="H150" s="54">
        <v>100</v>
      </c>
      <c r="I150" s="63">
        <f t="shared" si="8"/>
        <v>35.14</v>
      </c>
      <c r="J150" s="97">
        <f>Jan!I150+Feb!I150+Mar!I150+Apr!I150+May!I150+Jun!I150+July!I150</f>
        <v>268.27000000000004</v>
      </c>
      <c r="L150" s="41"/>
      <c r="M150" s="41">
        <f>64.86</f>
        <v>64.86</v>
      </c>
      <c r="N150" s="42"/>
    </row>
    <row r="151" spans="1:15" ht="13.5">
      <c r="A151" s="54"/>
      <c r="B151" s="54" t="s">
        <v>64</v>
      </c>
      <c r="C151" s="54"/>
      <c r="D151" s="54"/>
      <c r="E151" s="54"/>
      <c r="F151" s="54"/>
      <c r="G151" s="54">
        <f t="shared" si="7"/>
        <v>103</v>
      </c>
      <c r="H151" s="54">
        <v>30</v>
      </c>
      <c r="I151" s="63">
        <f t="shared" si="8"/>
        <v>-73</v>
      </c>
      <c r="J151" s="97">
        <f>Jan!I151+Feb!I151+Mar!I151+Apr!I151+May!I151+Jun!I151+July!I151</f>
        <v>-29.5</v>
      </c>
      <c r="L151" s="41"/>
      <c r="M151" s="41">
        <v>103</v>
      </c>
      <c r="N151" s="42"/>
      <c r="O151" s="67" t="s">
        <v>929</v>
      </c>
    </row>
    <row r="152" spans="1:15" ht="13.5">
      <c r="A152" s="54"/>
      <c r="B152" s="54" t="s">
        <v>65</v>
      </c>
      <c r="C152" s="54"/>
      <c r="D152" s="54"/>
      <c r="E152" s="54"/>
      <c r="F152" s="54"/>
      <c r="G152" s="54">
        <f t="shared" si="7"/>
        <v>0</v>
      </c>
      <c r="H152" s="54">
        <v>50</v>
      </c>
      <c r="I152" s="63">
        <f t="shared" si="8"/>
        <v>50</v>
      </c>
      <c r="J152" s="97">
        <f>Jan!I152+Feb!I152+Mar!I152+Apr!I152+May!I152+Jun!I152+July!I152</f>
        <v>300</v>
      </c>
      <c r="L152" s="41"/>
      <c r="M152" s="41"/>
      <c r="N152" s="42"/>
    </row>
    <row r="153" spans="1:15" ht="13.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 t="shared" si="8"/>
        <v>10</v>
      </c>
      <c r="J153" s="97">
        <f>Jan!I153+Feb!I153+Mar!I153+Apr!I153+May!I153+Jun!I153+July!I153</f>
        <v>53.09</v>
      </c>
      <c r="L153" s="41"/>
      <c r="M153" s="41"/>
      <c r="N153" s="42"/>
    </row>
    <row r="154" spans="1:15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5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5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8"/>
        <v>0</v>
      </c>
      <c r="J156" s="97">
        <f>Jan!I156+Feb!I156+Mar!I156+Apr!I156+May!I156+Jun!I156+July!I156</f>
        <v>0</v>
      </c>
      <c r="L156" s="41"/>
      <c r="M156" s="41"/>
      <c r="N156" s="42"/>
    </row>
    <row r="157" spans="1:15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/>
      <c r="I157" s="63">
        <f t="shared" si="8"/>
        <v>0</v>
      </c>
      <c r="J157" s="97">
        <f>Jan!I157+Feb!I157+Mar!I157+Apr!I157+May!I157+Jun!I157+July!I157</f>
        <v>-5223.6000000000004</v>
      </c>
      <c r="L157" s="41"/>
      <c r="M157" s="41"/>
      <c r="N157" s="42"/>
    </row>
    <row r="158" spans="1:15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8"/>
        <v>0</v>
      </c>
      <c r="J158" s="97">
        <f>Jan!I158+Feb!I158+Mar!I158+Apr!I158+May!I158+Jun!I158+July!I158</f>
        <v>0</v>
      </c>
      <c r="L158" s="41"/>
      <c r="M158" s="41"/>
      <c r="N158" s="42"/>
    </row>
    <row r="159" spans="1:15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8"/>
        <v>0</v>
      </c>
      <c r="J159" s="97">
        <f>Jan!I159+Feb!I159+Mar!I159+Apr!I159+May!I159+Jun!I159+July!I159</f>
        <v>0</v>
      </c>
      <c r="L159" s="41"/>
      <c r="M159" s="41"/>
      <c r="N159" s="42"/>
    </row>
    <row r="160" spans="1:15" ht="13.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/>
      <c r="I160" s="63">
        <f t="shared" si="8"/>
        <v>0</v>
      </c>
      <c r="J160" s="97">
        <f>Jan!I160+Feb!I160+Mar!I160+Apr!I160+May!I160+Jun!I160+July!I160</f>
        <v>-210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8"/>
        <v>120</v>
      </c>
      <c r="J162" s="97">
        <f>Jan!I162+Feb!I162+Mar!I162+Apr!I162+May!I162+Jun!I162+July!I162</f>
        <v>540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opLeftCell="A72" zoomScale="84" zoomScaleNormal="84" workbookViewId="0">
      <selection activeCell="L118" sqref="L118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7">
      <c r="A1" s="73" t="s">
        <v>202</v>
      </c>
      <c r="B1" s="74">
        <v>2014</v>
      </c>
      <c r="C1" s="74"/>
      <c r="L1" s="75" t="s">
        <v>557</v>
      </c>
    </row>
    <row r="2" spans="1:17">
      <c r="A2" s="73" t="s">
        <v>191</v>
      </c>
      <c r="B2" s="75" t="s">
        <v>14</v>
      </c>
      <c r="C2" s="75"/>
      <c r="M2" s="75" t="s">
        <v>540</v>
      </c>
    </row>
    <row r="3" spans="1:17">
      <c r="M3" s="75" t="s">
        <v>539</v>
      </c>
      <c r="O3" s="77"/>
    </row>
    <row r="4" spans="1:17">
      <c r="A4" s="73" t="s">
        <v>4</v>
      </c>
      <c r="B4" s="78">
        <f>SUM(G5:G8)</f>
        <v>13830.76</v>
      </c>
      <c r="C4" s="78"/>
      <c r="F4" s="100"/>
      <c r="G4" s="67" t="s">
        <v>34</v>
      </c>
      <c r="L4" s="79"/>
      <c r="M4" s="67" t="s">
        <v>997</v>
      </c>
      <c r="N4"/>
      <c r="O4"/>
      <c r="P4"/>
      <c r="Q4"/>
    </row>
    <row r="5" spans="1:17" ht="12.75">
      <c r="A5" s="67" t="s">
        <v>25</v>
      </c>
      <c r="B5" s="128">
        <v>3801.24</v>
      </c>
      <c r="C5" s="128">
        <v>3801.25</v>
      </c>
      <c r="D5" s="67">
        <v>6228.27</v>
      </c>
      <c r="F5" s="100"/>
      <c r="G5" s="128">
        <f>SUM(B5:E5)</f>
        <v>13830.76</v>
      </c>
      <c r="H5" s="79" t="s">
        <v>1042</v>
      </c>
      <c r="I5" s="79"/>
      <c r="J5" s="79"/>
      <c r="K5" s="83"/>
      <c r="L5" s="79"/>
      <c r="M5" s="67" t="s">
        <v>998</v>
      </c>
      <c r="N5"/>
      <c r="O5"/>
      <c r="P5"/>
      <c r="Q5"/>
    </row>
    <row r="6" spans="1:17" ht="12.75">
      <c r="A6" s="67" t="s">
        <v>251</v>
      </c>
      <c r="C6" s="77"/>
      <c r="F6" s="100"/>
      <c r="G6" s="128">
        <f>SUM(B6:E6)</f>
        <v>0</v>
      </c>
      <c r="H6" s="79"/>
      <c r="I6" s="79"/>
      <c r="J6" s="79"/>
      <c r="K6" s="83"/>
      <c r="L6" s="79"/>
      <c r="M6" s="67" t="s">
        <v>1025</v>
      </c>
      <c r="N6"/>
      <c r="O6"/>
      <c r="P6"/>
      <c r="Q6"/>
    </row>
    <row r="7" spans="1:17" ht="12.75">
      <c r="A7" s="67" t="s">
        <v>27</v>
      </c>
      <c r="F7" s="100"/>
      <c r="G7" s="128">
        <f>SUM(B7:E7)</f>
        <v>0</v>
      </c>
      <c r="H7" s="79"/>
      <c r="I7" s="79"/>
      <c r="J7" s="79"/>
      <c r="K7" s="83"/>
      <c r="L7" s="79"/>
      <c r="N7"/>
      <c r="O7"/>
      <c r="P7"/>
      <c r="Q7"/>
    </row>
    <row r="8" spans="1:17">
      <c r="F8" s="100"/>
      <c r="G8" s="128"/>
      <c r="H8" s="79"/>
      <c r="I8" s="79"/>
      <c r="J8" s="79"/>
      <c r="K8" s="83"/>
      <c r="N8"/>
      <c r="O8"/>
      <c r="P8"/>
      <c r="Q8"/>
    </row>
    <row r="9" spans="1:17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  <c r="N9"/>
      <c r="O9"/>
      <c r="P9"/>
      <c r="Q9"/>
    </row>
    <row r="10" spans="1:17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7" s="54" customFormat="1" ht="13.5">
      <c r="A11" s="60" t="s">
        <v>297</v>
      </c>
      <c r="B11" s="277">
        <f>G11</f>
        <v>1250</v>
      </c>
      <c r="D11" s="54" t="s">
        <v>299</v>
      </c>
      <c r="E11" s="54">
        <f>G11/B4</f>
        <v>9.0378258316968843E-2</v>
      </c>
      <c r="F11" s="275"/>
      <c r="G11" s="55">
        <f>Tithe!D13</f>
        <v>1250</v>
      </c>
      <c r="H11" s="54">
        <v>1200</v>
      </c>
      <c r="I11" s="66">
        <f>H11-G11</f>
        <v>-50</v>
      </c>
      <c r="J11" s="99">
        <f>Jan!I11+Feb!I11+Mar!I11+Apr!I11+May!I11+Jun!I11+July!I11+Aug!I11</f>
        <v>-540</v>
      </c>
      <c r="K11" s="85"/>
    </row>
    <row r="12" spans="1:17" s="54" customFormat="1" ht="13.5">
      <c r="I12" s="66"/>
      <c r="J12" s="99"/>
      <c r="K12" s="86"/>
      <c r="L12" s="286" t="s">
        <v>558</v>
      </c>
    </row>
    <row r="13" spans="1:17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L13" s="54" t="s">
        <v>1023</v>
      </c>
    </row>
    <row r="14" spans="1:17" s="54" customFormat="1" ht="13.5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>Jan!I14+Feb!I14+Mar!I14+Apr!I14+May!I14+Jun!I14+July!I14+Aug!I14</f>
        <v>0</v>
      </c>
      <c r="K14" s="86"/>
      <c r="L14" s="54" t="s">
        <v>1024</v>
      </c>
    </row>
    <row r="15" spans="1:17" s="54" customFormat="1" ht="13.5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>Jan!I15+Feb!I15+Mar!I15+Apr!I15+May!I15+Jun!I15+July!I15+Aug!I15</f>
        <v>0</v>
      </c>
      <c r="K15" s="86"/>
      <c r="L15" s="54" t="s">
        <v>1026</v>
      </c>
    </row>
    <row r="16" spans="1:17" s="54" customFormat="1" ht="13.5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>Jan!I16+Feb!I16+Mar!I16+Apr!I16+May!I16+Jun!I16+July!I16+Aug!I16</f>
        <v>0</v>
      </c>
      <c r="K16" s="86"/>
      <c r="L16" s="54" t="s">
        <v>1046</v>
      </c>
    </row>
    <row r="17" spans="1:12" s="54" customFormat="1" ht="13.5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>Jan!I17+Feb!I17+Mar!I17+Apr!I17+May!I17+Jun!I17+July!I17+Aug!I17</f>
        <v>0</v>
      </c>
      <c r="K17" s="86"/>
      <c r="L17" s="54" t="s">
        <v>1045</v>
      </c>
    </row>
    <row r="18" spans="1:12" s="54" customFormat="1" ht="13.5">
      <c r="B18" s="60" t="s">
        <v>284</v>
      </c>
      <c r="E18" s="54" t="s">
        <v>525</v>
      </c>
      <c r="F18" s="275"/>
      <c r="G18" s="55">
        <v>50</v>
      </c>
      <c r="H18" s="54">
        <v>50</v>
      </c>
      <c r="I18" s="66">
        <f t="shared" si="0"/>
        <v>0</v>
      </c>
      <c r="J18" s="99">
        <f>Jan!I18+Feb!I18+Mar!I18+Apr!I18+May!I18+Jun!I18+July!I18+Aug!I18</f>
        <v>0</v>
      </c>
      <c r="K18" s="86"/>
    </row>
    <row r="19" spans="1:12" s="54" customFormat="1" ht="13.5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>Jan!I19+Feb!I19+Mar!I19+Apr!I19+May!I19+Jun!I19+July!I19+Aug!I19</f>
        <v>0</v>
      </c>
      <c r="K19" s="86"/>
    </row>
    <row r="20" spans="1:12" s="54" customFormat="1" ht="13.5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>Jan!I20+Feb!I20+Mar!I20+Apr!I20+May!I20+Jun!I20+July!I20+Aug!I20</f>
        <v>0</v>
      </c>
      <c r="K20" s="86"/>
    </row>
    <row r="21" spans="1:12" s="54" customFormat="1" ht="13.5">
      <c r="A21" s="60"/>
      <c r="F21" s="275"/>
      <c r="G21" s="55"/>
      <c r="I21" s="66"/>
      <c r="J21" s="99"/>
      <c r="K21" s="86"/>
      <c r="L21" s="60" t="s">
        <v>559</v>
      </c>
    </row>
    <row r="22" spans="1:12" s="54" customFormat="1" ht="13.5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>Jan!I22+Feb!I22+Mar!I22+Apr!I22+May!I22+Jun!I22+July!I22+Aug!I22</f>
        <v>0</v>
      </c>
      <c r="K22" s="86"/>
    </row>
    <row r="23" spans="1:12" s="54" customFormat="1" ht="13.5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2" s="54" customFormat="1" ht="13.5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2" s="54" customFormat="1" ht="13.5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Jan!I25+Feb!I25+Mar!I25+Apr!I25+May!I25+Jun!I25+July!I25+Aug!I25</f>
        <v>4000</v>
      </c>
      <c r="K25" s="86"/>
    </row>
    <row r="26" spans="1:12" s="54" customFormat="1" ht="13.5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Jan!I26+Feb!I26+Mar!I26+Apr!I26+May!I26+Jun!I26+July!I26+Aug!I26</f>
        <v>2400</v>
      </c>
      <c r="K26" s="86"/>
    </row>
    <row r="27" spans="1:12" s="54" customFormat="1" ht="13.5">
      <c r="A27" s="60"/>
      <c r="F27" s="275"/>
      <c r="G27" s="68"/>
      <c r="H27" s="68"/>
      <c r="I27" s="70"/>
      <c r="J27" s="81"/>
      <c r="K27" s="81"/>
    </row>
    <row r="28" spans="1:12" s="54" customFormat="1" ht="14.25" thickBot="1">
      <c r="A28" s="60"/>
      <c r="B28" s="60"/>
      <c r="F28" s="275"/>
      <c r="G28" s="69">
        <f>SUM(G11:G26)</f>
        <v>4000</v>
      </c>
      <c r="H28" s="69">
        <f>SUM(H11:H26)</f>
        <v>4750</v>
      </c>
      <c r="I28" s="69">
        <f>SUM(I11:I26)</f>
        <v>750</v>
      </c>
      <c r="J28" s="69">
        <f>SUM(J11:J26)</f>
        <v>5860</v>
      </c>
      <c r="K28" s="87"/>
    </row>
    <row r="29" spans="1:12" s="54" customFormat="1" ht="15" thickTop="1" thickBot="1">
      <c r="H29" s="58"/>
      <c r="I29" s="58"/>
      <c r="J29" s="58"/>
      <c r="K29" s="87"/>
      <c r="L29" s="60" t="s">
        <v>560</v>
      </c>
    </row>
    <row r="30" spans="1:12" s="54" customFormat="1" ht="14.25" thickBot="1">
      <c r="A30" s="60" t="s">
        <v>305</v>
      </c>
      <c r="B30" s="60"/>
      <c r="F30" s="275"/>
      <c r="G30" s="95"/>
      <c r="H30" s="58"/>
      <c r="I30" s="58"/>
      <c r="J30" s="58"/>
      <c r="K30" s="87"/>
    </row>
    <row r="31" spans="1:12" s="54" customFormat="1" ht="12.75" customHeight="1">
      <c r="A31" s="106" t="s">
        <v>298</v>
      </c>
      <c r="B31" s="60"/>
      <c r="F31" s="275"/>
      <c r="G31" s="281">
        <f>B4-G28+G30</f>
        <v>9830.76</v>
      </c>
      <c r="H31" s="58"/>
      <c r="I31" s="58"/>
      <c r="J31" s="58"/>
      <c r="K31" s="87"/>
      <c r="L31" s="58"/>
    </row>
    <row r="32" spans="1:12" s="54" customFormat="1" ht="13.5">
      <c r="A32" s="54" t="s">
        <v>536</v>
      </c>
      <c r="B32" s="106"/>
      <c r="C32" s="56"/>
      <c r="D32" s="56"/>
      <c r="E32" s="56"/>
      <c r="F32" s="280"/>
      <c r="G32" s="282">
        <f>G46</f>
        <v>3309.3599999999992</v>
      </c>
      <c r="H32" s="58"/>
      <c r="I32" s="58"/>
      <c r="J32" s="58"/>
      <c r="K32" s="87"/>
      <c r="L32" s="58"/>
    </row>
    <row r="33" spans="1:14" s="54" customFormat="1" ht="13.5">
      <c r="A33" s="60" t="s">
        <v>655</v>
      </c>
      <c r="B33" s="60"/>
      <c r="F33" s="275"/>
      <c r="G33" s="80">
        <f>G31-G32-M42</f>
        <v>6521.4000000000015</v>
      </c>
      <c r="H33" s="58"/>
      <c r="I33" s="58"/>
      <c r="J33" s="58"/>
      <c r="K33" s="87"/>
      <c r="L33" s="58"/>
    </row>
    <row r="34" spans="1:14" s="54" customFormat="1" ht="13.5">
      <c r="H34" s="58"/>
      <c r="I34" s="58"/>
      <c r="J34" s="58"/>
      <c r="K34" s="87"/>
      <c r="L34" s="58"/>
    </row>
    <row r="35" spans="1:14" s="54" customFormat="1" ht="13.5">
      <c r="A35" s="60" t="s">
        <v>527</v>
      </c>
      <c r="B35" s="60"/>
      <c r="E35" s="54">
        <f>B47</f>
        <v>921.21999999999991</v>
      </c>
      <c r="F35" s="275"/>
      <c r="G35" s="135"/>
      <c r="H35" s="58"/>
      <c r="I35" s="58"/>
      <c r="J35" s="58"/>
      <c r="K35" s="87"/>
      <c r="L35" s="58"/>
    </row>
    <row r="36" spans="1:14" s="54" customFormat="1" ht="13.5">
      <c r="A36" s="60" t="s">
        <v>491</v>
      </c>
      <c r="B36" s="60"/>
      <c r="E36" s="54">
        <f>B76</f>
        <v>2213.6899999999996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0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266.83000000000004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49.81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49.95</v>
      </c>
      <c r="F41" s="275"/>
      <c r="G41" s="105"/>
      <c r="H41" s="58"/>
      <c r="I41" s="58"/>
      <c r="J41" s="58"/>
      <c r="K41" s="87"/>
      <c r="L41" s="95"/>
      <c r="M41" s="54">
        <f>M46+M44+M43-M42</f>
        <v>1600.6399999999999</v>
      </c>
      <c r="N41" s="54">
        <f>N46-N42</f>
        <v>787.98</v>
      </c>
    </row>
    <row r="42" spans="1:14" s="54" customFormat="1" ht="13.5">
      <c r="B42" s="60" t="s">
        <v>533</v>
      </c>
      <c r="C42" s="61"/>
      <c r="D42" s="61">
        <f>B130</f>
        <v>0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1377.0999999999997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174.45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3309.3599999999992</v>
      </c>
      <c r="H46" s="101">
        <f>SUM(H48:H162)</f>
        <v>4673</v>
      </c>
      <c r="I46" s="101">
        <f>H46-G46</f>
        <v>1363.6400000000008</v>
      </c>
      <c r="J46" s="101">
        <f>SUM(J48:J162)</f>
        <v>3505.3499999999967</v>
      </c>
      <c r="K46" s="88"/>
      <c r="L46" s="92">
        <f>SUM(L48:L162)</f>
        <v>1070.7400000000002</v>
      </c>
      <c r="M46" s="92">
        <f>SUM(M48:M162)</f>
        <v>1450.6399999999999</v>
      </c>
      <c r="N46" s="92">
        <f>SUM(N48:N162)</f>
        <v>787.98</v>
      </c>
    </row>
    <row r="47" spans="1:14" s="54" customFormat="1" ht="14.25" thickBot="1">
      <c r="A47" s="106" t="s">
        <v>492</v>
      </c>
      <c r="B47" s="273">
        <f>B48+B61+B65</f>
        <v>921.21999999999991</v>
      </c>
      <c r="C47" s="273">
        <f>C48+C61+C65</f>
        <v>1378</v>
      </c>
      <c r="D47" s="95">
        <f>D48+D61+D65</f>
        <v>456.77999999999992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9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Jan!I49+Feb!I49+Mar!I49+Apr!I49+May!I49+Jun!I49+July!I49+Aug!I49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Jan!I50+Feb!I50+Mar!I50+Apr!I50+May!I50+Jun!I50+July!I50+Aug!I50</f>
        <v>800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Jan!I51+Feb!I51+Mar!I51+Apr!I51+May!I51+Jun!I51+July!I51+Aug!I51</f>
        <v>790.36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Jan!I52+Feb!I52+Mar!I52+Apr!I52+May!I52+Jun!I52+July!I52+Aug!I52</f>
        <v>800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Jan!I53+Feb!I53+Mar!I53+Apr!I53+May!I53+Jun!I53+July!I53+Aug!I53</f>
        <v>0.31999999999970896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Jan!I54+Feb!I54+Mar!I54+Apr!I54+May!I54+Jun!I54+July!I54+Aug!I54</f>
        <v>-224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Jan!I55+Feb!I55+Mar!I55+Apr!I55+May!I55+Jun!I55+July!I55+Aug!I55</f>
        <v>-26.640000000000327</v>
      </c>
      <c r="K55" s="84"/>
      <c r="L55" s="41">
        <v>1694.15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Jan!I56+Feb!I56+Mar!I56+Apr!I56+May!I56+Jun!I56+July!I56+Aug!I56</f>
        <v>26.639999999999873</v>
      </c>
      <c r="K56" s="84"/>
      <c r="L56" s="41">
        <v>305.85000000000002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Jan!I57+Feb!I57+Mar!I57+Apr!I57+May!I57+Jun!I57+July!I57+Aug!I57</f>
        <v>120</v>
      </c>
      <c r="K57" s="84"/>
      <c r="L57" s="41">
        <v>-2060</v>
      </c>
      <c r="M57" s="42"/>
      <c r="N57" s="42"/>
    </row>
    <row r="58" spans="1:14" s="54" customFormat="1" ht="13.5">
      <c r="G58" s="54">
        <f t="shared" si="1"/>
        <v>0</v>
      </c>
      <c r="I58" s="63"/>
      <c r="J58" s="97"/>
      <c r="K58" s="84"/>
      <c r="L58" s="41"/>
      <c r="M58" s="42"/>
      <c r="N58" s="42"/>
    </row>
    <row r="59" spans="1:14" s="54" customFormat="1" ht="13.5">
      <c r="G59" s="54">
        <f t="shared" si="1"/>
        <v>0</v>
      </c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166.31</v>
      </c>
      <c r="C61" s="60">
        <f>SUM(H62:H63)</f>
        <v>167</v>
      </c>
      <c r="D61" s="60">
        <f>C61-B61</f>
        <v>0.68999999999999773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97">
        <f>Jan!I62+Feb!I62+Mar!I62+Apr!I62+May!I62+Jun!I62+July!I62+Aug!I62</f>
        <v>-13.240000000000009</v>
      </c>
      <c r="K62" s="84"/>
      <c r="L62" s="41"/>
      <c r="M62" s="42">
        <v>69.16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97.15</v>
      </c>
      <c r="H63" s="54">
        <v>100</v>
      </c>
      <c r="I63" s="63">
        <f t="shared" si="4"/>
        <v>2.8499999999999943</v>
      </c>
      <c r="J63" s="97">
        <f>Jan!I63+Feb!I63+Mar!I63+Apr!I63+May!I63+Jun!I63+July!I63+Aug!I63</f>
        <v>9.6199999999999761</v>
      </c>
      <c r="K63" s="84"/>
      <c r="L63" s="41"/>
      <c r="M63" s="42">
        <v>97.15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4" s="54" customFormat="1" ht="13.5">
      <c r="A65" s="60" t="s">
        <v>486</v>
      </c>
      <c r="B65" s="60">
        <f>SUM(G66:G74)</f>
        <v>260.94999999999993</v>
      </c>
      <c r="C65" s="60">
        <f>SUM(H66:H74)</f>
        <v>300</v>
      </c>
      <c r="D65" s="60">
        <f>C65-B65</f>
        <v>39.050000000000068</v>
      </c>
      <c r="I65" s="63"/>
      <c r="J65" s="97"/>
      <c r="K65" s="84"/>
      <c r="L65" s="41"/>
      <c r="M65" s="42"/>
      <c r="N65" s="42"/>
    </row>
    <row r="66" spans="1:14" s="54" customFormat="1" ht="13.5">
      <c r="B66" s="54" t="s">
        <v>58</v>
      </c>
      <c r="G66" s="54">
        <f t="shared" si="3"/>
        <v>88.53</v>
      </c>
      <c r="H66" s="54">
        <v>60</v>
      </c>
      <c r="I66" s="63">
        <f t="shared" si="4"/>
        <v>-28.53</v>
      </c>
      <c r="J66" s="97">
        <f>Jan!I66+Feb!I66+Mar!I66+Apr!I66+May!I66+Jun!I66+July!I66+Aug!I66</f>
        <v>23.410000000000004</v>
      </c>
      <c r="K66" s="84"/>
      <c r="L66" s="41"/>
      <c r="M66" s="42">
        <f>53.69+34.84</f>
        <v>88.53</v>
      </c>
      <c r="N66" s="42"/>
    </row>
    <row r="67" spans="1:14" s="54" customFormat="1" ht="13.5">
      <c r="B67" s="54" t="s">
        <v>59</v>
      </c>
      <c r="D67" s="54" t="s">
        <v>60</v>
      </c>
      <c r="G67" s="54">
        <f t="shared" si="3"/>
        <v>170</v>
      </c>
      <c r="H67" s="54">
        <v>130</v>
      </c>
      <c r="I67" s="63">
        <f t="shared" si="4"/>
        <v>-40</v>
      </c>
      <c r="J67" s="97">
        <f>Jan!I67+Feb!I67+Mar!I67+Apr!I67+May!I67+Jun!I67+July!I67+Aug!I67</f>
        <v>27.86</v>
      </c>
      <c r="K67" s="84"/>
      <c r="L67" s="41"/>
      <c r="M67" s="42">
        <f>85+85</f>
        <v>170</v>
      </c>
      <c r="N67" s="42"/>
    </row>
    <row r="68" spans="1:14" s="54" customFormat="1" ht="13.5">
      <c r="I68" s="63"/>
      <c r="J68" s="97"/>
      <c r="K68" s="84"/>
      <c r="L68" s="41"/>
      <c r="M68" s="42"/>
      <c r="N68" s="42"/>
    </row>
    <row r="69" spans="1:14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4" s="54" customFormat="1" ht="13.5">
      <c r="B70" s="54" t="s">
        <v>482</v>
      </c>
      <c r="G70" s="54">
        <f t="shared" si="3"/>
        <v>-15.08</v>
      </c>
      <c r="H70" s="54">
        <v>25</v>
      </c>
      <c r="I70" s="63">
        <f t="shared" si="4"/>
        <v>40.08</v>
      </c>
      <c r="J70" s="97">
        <f>Jan!I70+Feb!I70+Mar!I70+Apr!I70+May!I70+Jun!I70+July!I70+Aug!I70</f>
        <v>50.849999999999994</v>
      </c>
      <c r="K70" s="84"/>
      <c r="L70" s="41"/>
      <c r="M70" s="42">
        <v>-15.08</v>
      </c>
      <c r="N70" s="42"/>
    </row>
    <row r="71" spans="1:14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Jan!I71+Feb!I71+Mar!I71+Apr!I71+May!I71+Jun!I71+July!I71+Aug!I71</f>
        <v>-557.49</v>
      </c>
      <c r="K71" s="84"/>
      <c r="L71" s="41"/>
      <c r="M71" s="42"/>
      <c r="N71" s="42"/>
    </row>
    <row r="72" spans="1:14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Jan!I72+Feb!I72+Mar!I72+Apr!I72+May!I72+Jun!I72+July!I72+Aug!I72</f>
        <v>13.610000000000007</v>
      </c>
      <c r="K72" s="84"/>
      <c r="L72" s="41"/>
      <c r="M72" s="42"/>
      <c r="N72" s="42"/>
    </row>
    <row r="73" spans="1:14" s="54" customFormat="1" ht="13.5">
      <c r="A73" s="60"/>
      <c r="I73" s="63"/>
      <c r="J73" s="97"/>
      <c r="K73" s="84"/>
      <c r="L73" s="41"/>
      <c r="M73" s="42"/>
      <c r="N73" s="42"/>
    </row>
    <row r="74" spans="1:14" s="54" customFormat="1" ht="13.5">
      <c r="A74" s="60" t="s">
        <v>484</v>
      </c>
      <c r="B74" s="54" t="s">
        <v>61</v>
      </c>
      <c r="G74" s="54">
        <f t="shared" si="3"/>
        <v>17.5</v>
      </c>
      <c r="H74" s="54">
        <v>35</v>
      </c>
      <c r="I74" s="63">
        <f t="shared" si="4"/>
        <v>17.5</v>
      </c>
      <c r="J74" s="97">
        <f>Jan!I74+Feb!I74+Mar!I74+Apr!I74+May!I74+Jun!I74+July!I74+Aug!I74</f>
        <v>123.42</v>
      </c>
      <c r="K74" s="84"/>
      <c r="L74" s="41"/>
      <c r="M74" s="42">
        <f>7.95+9.55</f>
        <v>17.5</v>
      </c>
      <c r="N74" s="42"/>
    </row>
    <row r="75" spans="1:14" s="54" customFormat="1" ht="14.25" thickBot="1">
      <c r="A75" s="60"/>
      <c r="I75" s="63"/>
      <c r="J75" s="97"/>
      <c r="K75" s="84"/>
      <c r="L75" s="41"/>
      <c r="M75" s="42"/>
      <c r="N75" s="42"/>
    </row>
    <row r="76" spans="1:14" s="54" customFormat="1" ht="14.25" thickBot="1">
      <c r="A76" s="106" t="s">
        <v>491</v>
      </c>
      <c r="B76" s="151">
        <f>B78+B82+B88+B93+B102+B107+B112+B117+B130+B133+B138+B141</f>
        <v>2213.6899999999996</v>
      </c>
      <c r="C76" s="151">
        <f>C78+C82+C88+C93+C102+C107+C112+C117+C130+C133+C138+C141</f>
        <v>2885</v>
      </c>
      <c r="D76" s="151">
        <f>D78+D82+D88+D93+D102+D107+D112+D117+D130+D133+D138+D141</f>
        <v>1141.31</v>
      </c>
      <c r="I76" s="63"/>
      <c r="J76" s="97"/>
      <c r="K76" s="84"/>
      <c r="L76" s="41"/>
      <c r="M76" s="42"/>
      <c r="N76" s="42"/>
    </row>
    <row r="77" spans="1:14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4" s="54" customFormat="1" ht="13.5">
      <c r="A78" s="60" t="s">
        <v>1012</v>
      </c>
      <c r="B78" s="403">
        <f>SUM(G79:G81)</f>
        <v>470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4" s="54" customFormat="1" ht="13.5">
      <c r="B79" s="54" t="s">
        <v>1035</v>
      </c>
      <c r="G79" s="54">
        <f t="shared" si="3"/>
        <v>0</v>
      </c>
      <c r="I79" s="63"/>
      <c r="J79" s="97"/>
      <c r="K79" s="84"/>
      <c r="L79" s="41"/>
      <c r="M79" s="42"/>
      <c r="N79" s="42"/>
    </row>
    <row r="80" spans="1:14" s="54" customFormat="1" ht="13.5">
      <c r="A80" s="60"/>
      <c r="B80" s="54" t="s">
        <v>479</v>
      </c>
      <c r="G80" s="54">
        <f t="shared" si="3"/>
        <v>0</v>
      </c>
      <c r="I80" s="63"/>
      <c r="J80" s="97"/>
      <c r="K80" s="84"/>
      <c r="L80" s="41"/>
      <c r="M80" s="42"/>
      <c r="N80" s="42"/>
    </row>
    <row r="81" spans="1:15" s="54" customFormat="1" ht="13.5">
      <c r="A81" s="60"/>
      <c r="B81" s="54" t="s">
        <v>1044</v>
      </c>
      <c r="E81" s="54" t="s">
        <v>1020</v>
      </c>
      <c r="G81" s="54">
        <f t="shared" si="3"/>
        <v>470</v>
      </c>
      <c r="I81" s="63"/>
      <c r="J81" s="97"/>
      <c r="K81" s="84"/>
      <c r="L81" s="41"/>
      <c r="M81" s="42">
        <v>470</v>
      </c>
      <c r="N81" s="42"/>
      <c r="O81" s="54" t="s">
        <v>1021</v>
      </c>
    </row>
    <row r="82" spans="1:15" s="54" customFormat="1" ht="13.5">
      <c r="A82" s="60" t="s">
        <v>42</v>
      </c>
      <c r="B82" s="60">
        <f>SUM(G83:G86)</f>
        <v>266.83000000000004</v>
      </c>
      <c r="C82" s="60">
        <f>SUM(H83:H86)</f>
        <v>395</v>
      </c>
      <c r="D82" s="60">
        <f>C82-B82</f>
        <v>128.16999999999996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106.43</v>
      </c>
      <c r="H83" s="54">
        <v>125</v>
      </c>
      <c r="I83" s="63">
        <f t="shared" si="4"/>
        <v>18.569999999999993</v>
      </c>
      <c r="J83" s="97">
        <f>Jan!I83+Feb!I83+Mar!I83+Apr!I83+May!I83+Jun!I83+July!I83+Aug!I83</f>
        <v>-25.290000000000006</v>
      </c>
      <c r="K83" s="84"/>
      <c r="L83" s="41">
        <v>106.43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160.4</v>
      </c>
      <c r="H84" s="54">
        <v>50</v>
      </c>
      <c r="I84" s="63">
        <f t="shared" si="4"/>
        <v>-110.4</v>
      </c>
      <c r="J84" s="97">
        <f>Jan!I84+Feb!I84+Mar!I84+Apr!I84+May!I84+Jun!I84+July!I84+Aug!I84</f>
        <v>123.54999999999998</v>
      </c>
      <c r="K84" s="84"/>
      <c r="L84" s="41">
        <v>160.4</v>
      </c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Jan!I85+Feb!I85+Mar!I85+Apr!I85+May!I85+Jun!I85+July!I85+Aug!I85</f>
        <v>-385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Jan!I86+Feb!I86+Mar!I86+Apr!I86+May!I86+Jun!I86+July!I86+Aug!I86</f>
        <v>-453.65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Jan!I89+Feb!I89+Mar!I89+Apr!I89+May!I89+Jun!I89+July!I89+Aug!I89</f>
        <v>-442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Jan!I90+Feb!I90+Mar!I90+Apr!I90+May!I90+Jun!I90+July!I90+Aug!I90</f>
        <v>548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Jan!I91+Feb!I91+Mar!I91+Apr!I91+May!I91+Jun!I91+July!I91+Aug!I91</f>
        <v>288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0</v>
      </c>
      <c r="C93" s="60">
        <f>SUM(H94:H100)</f>
        <v>178</v>
      </c>
      <c r="D93" s="60">
        <f>C93-B93</f>
        <v>178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0</v>
      </c>
      <c r="H94" s="54">
        <v>20</v>
      </c>
      <c r="I94" s="63">
        <f t="shared" si="4"/>
        <v>20</v>
      </c>
      <c r="J94" s="97">
        <f>Jan!I94+Feb!I94+Mar!I94+Apr!I94+May!I94+Jun!I94+July!I94+Aug!I94</f>
        <v>96.44</v>
      </c>
      <c r="K94" s="84"/>
      <c r="L94" s="41"/>
      <c r="M94" s="42"/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Jan!I95+Feb!I95+Mar!I95+Apr!I95+May!I95+Jun!I95+July!I95+Aug!I95</f>
        <v>11.600000000000001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Jan!I96+Feb!I96+Mar!I96+Apr!I96+May!I96+Jun!I96+July!I96+Aug!I96</f>
        <v>52.529999999999973</v>
      </c>
      <c r="K96" s="84"/>
      <c r="L96" s="41"/>
      <c r="M96" s="42"/>
      <c r="N96" s="42"/>
    </row>
    <row r="97" spans="1:14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Jan!I97+Feb!I97+Mar!I97+Apr!I97+May!I97+Jun!I97+July!I97+Aug!I97</f>
        <v>7.3100000000000023</v>
      </c>
      <c r="K97" s="84"/>
      <c r="L97" s="41"/>
      <c r="M97" s="42"/>
      <c r="N97" s="42"/>
    </row>
    <row r="98" spans="1:14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Jan!I98+Feb!I98+Mar!I98+Apr!I98+May!I98+Jun!I98+July!I98+Aug!I98</f>
        <v>-134.05000000000001</v>
      </c>
      <c r="K98" s="84"/>
      <c r="L98" s="41"/>
      <c r="M98" s="42"/>
      <c r="N98" s="42"/>
    </row>
    <row r="99" spans="1:14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Jan!I99+Feb!I99+Mar!I99+Apr!I99+May!I99+Jun!I99+July!I99+Aug!I99</f>
        <v>208</v>
      </c>
      <c r="K99" s="84"/>
      <c r="L99" s="41"/>
      <c r="M99" s="42"/>
      <c r="N99" s="42"/>
    </row>
    <row r="100" spans="1:14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Jan!I100+Feb!I100+Mar!I100+Apr!I100+May!I100+Jun!I100+July!I100+Aug!I100</f>
        <v>59.02</v>
      </c>
      <c r="K100" s="84"/>
      <c r="L100" s="41"/>
      <c r="M100" s="42"/>
      <c r="N100" s="42"/>
    </row>
    <row r="101" spans="1:14" s="54" customFormat="1" ht="13.5">
      <c r="I101" s="63"/>
      <c r="J101" s="97"/>
      <c r="K101" s="84"/>
      <c r="L101" s="41"/>
      <c r="M101" s="42"/>
      <c r="N101" s="42"/>
    </row>
    <row r="102" spans="1:14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/>
      <c r="K102" s="84"/>
      <c r="L102" s="41"/>
      <c r="M102" s="42"/>
      <c r="N102" s="42"/>
    </row>
    <row r="103" spans="1:14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Jan!I103+Feb!I103+Mar!I103+Apr!I103+May!I103+Jun!I103+July!I103+Aug!I103</f>
        <v>88.639999999999986</v>
      </c>
      <c r="K103" s="84"/>
      <c r="L103" s="41"/>
      <c r="M103" s="42"/>
      <c r="N103" s="42"/>
    </row>
    <row r="104" spans="1:14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Jan!I104+Feb!I104+Mar!I104+Apr!I104+May!I104+Jun!I104+July!I104+Aug!I104</f>
        <v>418.81</v>
      </c>
      <c r="K104" s="84"/>
      <c r="L104" s="41"/>
      <c r="M104" s="42"/>
      <c r="N104" s="42"/>
    </row>
    <row r="105" spans="1:14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Jan!I105+Feb!I105+Mar!I105+Apr!I105+May!I105+Jun!I105+July!I105+Aug!I105</f>
        <v>80</v>
      </c>
      <c r="K105" s="84"/>
      <c r="L105" s="41"/>
      <c r="M105" s="42"/>
      <c r="N105" s="42"/>
    </row>
    <row r="106" spans="1:14" s="54" customFormat="1" ht="13.5">
      <c r="I106" s="63"/>
      <c r="J106" s="97"/>
      <c r="K106" s="84"/>
      <c r="L106" s="41"/>
      <c r="M106" s="42"/>
      <c r="N106" s="42"/>
    </row>
    <row r="107" spans="1:14" s="54" customFormat="1" ht="13.5">
      <c r="A107" s="60" t="s">
        <v>56</v>
      </c>
      <c r="B107" s="60">
        <f>SUM(G108:G110)</f>
        <v>49.81</v>
      </c>
      <c r="C107" s="60">
        <f>SUM(H108:H110)</f>
        <v>225</v>
      </c>
      <c r="D107" s="60">
        <f>C107-B107</f>
        <v>175.19</v>
      </c>
      <c r="I107" s="63"/>
      <c r="J107" s="97"/>
      <c r="K107" s="84"/>
      <c r="L107" s="41"/>
      <c r="M107" s="42"/>
      <c r="N107" s="42"/>
    </row>
    <row r="108" spans="1:14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Jan!I108+Feb!I108+Mar!I108+Apr!I108+May!I108+Jun!I108+July!I108+Aug!I108</f>
        <v>225.76999999999998</v>
      </c>
      <c r="K108" s="84"/>
      <c r="L108" s="41"/>
      <c r="M108" s="42"/>
      <c r="N108" s="42"/>
    </row>
    <row r="109" spans="1:14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Jan!I109+Feb!I109+Mar!I109+Apr!I109+May!I109+Jun!I109+July!I109+Aug!I109</f>
        <v>-33.399999999999977</v>
      </c>
      <c r="K109" s="84"/>
      <c r="L109" s="41"/>
      <c r="M109" s="42"/>
      <c r="N109" s="42"/>
    </row>
    <row r="110" spans="1:14" s="54" customFormat="1" ht="13.5">
      <c r="B110" s="56" t="s">
        <v>502</v>
      </c>
      <c r="G110" s="54">
        <f t="shared" si="3"/>
        <v>49.81</v>
      </c>
      <c r="H110" s="54">
        <v>110</v>
      </c>
      <c r="I110" s="63">
        <f t="shared" si="4"/>
        <v>60.19</v>
      </c>
      <c r="J110" s="97">
        <f>Jan!I110+Feb!I110+Mar!I110+Apr!I110+May!I110+Jun!I110+July!I110+Aug!I110</f>
        <v>-70.759999999999991</v>
      </c>
      <c r="K110" s="84"/>
      <c r="L110" s="41"/>
      <c r="M110" s="42">
        <f>49.81</f>
        <v>49.81</v>
      </c>
      <c r="N110" s="42"/>
    </row>
    <row r="111" spans="1:14" s="54" customFormat="1" ht="13.5">
      <c r="I111" s="63"/>
      <c r="J111" s="97"/>
      <c r="K111" s="84"/>
      <c r="L111" s="41"/>
      <c r="M111" s="42"/>
      <c r="N111" s="42"/>
    </row>
    <row r="112" spans="1:14" s="54" customFormat="1" ht="13.5">
      <c r="A112" s="60" t="s">
        <v>62</v>
      </c>
      <c r="B112" s="60">
        <f>SUM(G113:G115)</f>
        <v>49.95</v>
      </c>
      <c r="C112" s="60">
        <f>SUM(H113:H115)</f>
        <v>415</v>
      </c>
      <c r="D112" s="60">
        <f>C112-B112</f>
        <v>365.05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19.95</v>
      </c>
      <c r="H113" s="54">
        <v>150</v>
      </c>
      <c r="I113" s="63">
        <f t="shared" si="4"/>
        <v>130.05000000000001</v>
      </c>
      <c r="J113" s="97">
        <f>Jan!I113+Feb!I113+Mar!I113+Apr!I113+May!I113+Jun!I113+July!I113+Aug!I113</f>
        <v>1029.6499999999999</v>
      </c>
      <c r="K113" s="84"/>
      <c r="L113" s="41">
        <v>19.95</v>
      </c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30</v>
      </c>
      <c r="H114" s="54">
        <v>215</v>
      </c>
      <c r="I114" s="63">
        <f t="shared" si="4"/>
        <v>185</v>
      </c>
      <c r="J114" s="97">
        <f>Jan!I114+Feb!I114+Mar!I114+Apr!I114+May!I114+Jun!I114+July!I114+Aug!I114</f>
        <v>600</v>
      </c>
      <c r="K114" s="84"/>
      <c r="L114" s="41">
        <f>30</f>
        <v>30</v>
      </c>
      <c r="M114" s="42"/>
      <c r="N114" s="42"/>
      <c r="O114" s="54" t="s">
        <v>1047</v>
      </c>
    </row>
    <row r="115" spans="1:15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Jan!I115+Feb!I115+Mar!I115+Apr!I115+May!I115+Jun!I115+July!I115+Aug!I115</f>
        <v>-10.960000000000008</v>
      </c>
      <c r="K115" s="84"/>
      <c r="L115" s="41"/>
      <c r="M115" s="42"/>
      <c r="N115" s="42"/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1245.7299999999998</v>
      </c>
      <c r="C117" s="60">
        <f>SUM(H118:H128)</f>
        <v>750</v>
      </c>
      <c r="D117" s="60">
        <f>C117-B117</f>
        <v>-495.72999999999979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190</v>
      </c>
      <c r="H118" s="54">
        <v>100</v>
      </c>
      <c r="I118" s="63">
        <f t="shared" si="4"/>
        <v>-90</v>
      </c>
      <c r="J118" s="97">
        <f>Jan!I118+Feb!I118+Mar!I118+Apr!I118+May!I118+Jun!I118+July!I118+Aug!I118</f>
        <v>-192</v>
      </c>
      <c r="K118" s="84"/>
      <c r="L118" s="41">
        <f>130+60</f>
        <v>190</v>
      </c>
      <c r="M118" s="42"/>
      <c r="N118" s="42"/>
      <c r="O118" s="54" t="s">
        <v>1029</v>
      </c>
    </row>
    <row r="119" spans="1:15" s="54" customFormat="1" ht="14.25" thickBot="1">
      <c r="B119" s="54" t="s">
        <v>511</v>
      </c>
      <c r="G119" s="54">
        <f t="shared" si="3"/>
        <v>946.41999999999985</v>
      </c>
      <c r="H119" s="54">
        <v>500</v>
      </c>
      <c r="I119" s="63">
        <f t="shared" si="4"/>
        <v>-446.41999999999985</v>
      </c>
      <c r="J119" s="97">
        <f>Jan!I119+Feb!I119+Mar!I119+Apr!I119+May!I119+Jun!I119+July!I119+Aug!I119</f>
        <v>-92.389999999999873</v>
      </c>
      <c r="K119" s="84"/>
      <c r="L119" s="41"/>
      <c r="M119" s="42">
        <f>42.38+36.66+160+7.62+20.17</f>
        <v>266.83</v>
      </c>
      <c r="N119" s="42">
        <f>167.76+56.29+(242.85-19.97-5.48)+(103.26-19.6-28.22)+19.56+23.98+87.87+51.29</f>
        <v>679.58999999999992</v>
      </c>
      <c r="O119" s="54" t="s">
        <v>1017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v>36.659999999999997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54.72</v>
      </c>
      <c r="H122" s="54">
        <v>40</v>
      </c>
      <c r="I122" s="63">
        <f t="shared" si="4"/>
        <v>-14.719999999999999</v>
      </c>
      <c r="J122" s="97">
        <f>Jan!I122+Feb!I122+Mar!I122+Apr!I122+May!I122+Jun!I122+July!I122+Aug!I122</f>
        <v>17.940000000000026</v>
      </c>
      <c r="K122" s="84"/>
      <c r="L122" s="41"/>
      <c r="M122" s="42">
        <f>(40.73-25.98-8.64)</f>
        <v>6.1099999999999959</v>
      </c>
      <c r="N122" s="42">
        <f>14.91+5.48+28.22</f>
        <v>48.61</v>
      </c>
      <c r="O122" s="54" t="s">
        <v>1030</v>
      </c>
    </row>
    <row r="123" spans="1:15" s="54" customFormat="1" ht="14.25" thickBot="1">
      <c r="B123" s="54" t="s">
        <v>55</v>
      </c>
      <c r="G123" s="54">
        <f>SUM(L123:N123)</f>
        <v>25.98</v>
      </c>
      <c r="H123" s="54">
        <v>100</v>
      </c>
      <c r="I123" s="63">
        <f t="shared" si="4"/>
        <v>74.02</v>
      </c>
      <c r="J123" s="97">
        <f>Jan!I123+Feb!I123+Mar!I123+Apr!I123+May!I123+Jun!I123+July!I123+Aug!I123</f>
        <v>320.27</v>
      </c>
      <c r="K123" s="84"/>
      <c r="L123" s="41"/>
      <c r="M123" s="42">
        <f>25.98</f>
        <v>25.98</v>
      </c>
      <c r="N123" s="42"/>
    </row>
    <row r="124" spans="1:15" s="54" customFormat="1" ht="14.25" thickBot="1">
      <c r="C124" s="273" t="s">
        <v>506</v>
      </c>
      <c r="D124" s="274"/>
      <c r="E124" s="95">
        <f>9</f>
        <v>9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16.98</f>
        <v>16.98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f>Jan!F138+Feb!F139+Mar!F139+Apr!F139+May!F139+Jun!F139+July!F139+Aug!F139+Sep!F139+Oct!F139+Nov!F139+Dec!F139</f>
        <v>0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Jan!F139+Feb!F140+Mar!F140+Apr!F140+May!F140+Jun!F140+July!F140+Aug!F140+Sep!F140+Oct!F140+Nov!F140+Dec!F140</f>
        <v>0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43" si="5">SUM(L128:N128)</f>
        <v>28.61</v>
      </c>
      <c r="H128" s="54">
        <v>10</v>
      </c>
      <c r="I128" s="63">
        <f t="shared" ref="I128:I143" si="6">H128-G128</f>
        <v>-18.61</v>
      </c>
      <c r="J128" s="97">
        <f>Jan!I128+Feb!I128+Mar!I128+Apr!I128+May!I128+Jun!I128+July!I128+Aug!I128</f>
        <v>-96.17</v>
      </c>
      <c r="K128" s="84"/>
      <c r="L128" s="41"/>
      <c r="M128" s="41">
        <v>8.64</v>
      </c>
      <c r="N128" s="42">
        <v>19.97</v>
      </c>
    </row>
    <row r="129" spans="1:14" s="54" customFormat="1" ht="13.5">
      <c r="I129" s="63"/>
      <c r="J129" s="97"/>
      <c r="K129" s="84"/>
      <c r="L129" s="41"/>
      <c r="M129" s="41"/>
      <c r="N129" s="42"/>
    </row>
    <row r="130" spans="1:14" s="54" customFormat="1" ht="13.5">
      <c r="A130" s="60" t="s">
        <v>68</v>
      </c>
      <c r="B130" s="60">
        <f>G131</f>
        <v>0</v>
      </c>
      <c r="C130" s="60">
        <f>H131</f>
        <v>140</v>
      </c>
      <c r="D130" s="60">
        <f>I131</f>
        <v>140</v>
      </c>
      <c r="I130" s="63"/>
      <c r="J130" s="97"/>
      <c r="K130" s="84"/>
      <c r="L130" s="41"/>
      <c r="M130" s="41"/>
      <c r="N130" s="42"/>
    </row>
    <row r="131" spans="1:14" s="54" customFormat="1" ht="13.5">
      <c r="B131" s="54" t="s">
        <v>69</v>
      </c>
      <c r="G131" s="54">
        <f t="shared" si="5"/>
        <v>0</v>
      </c>
      <c r="H131" s="54">
        <v>140</v>
      </c>
      <c r="I131" s="63">
        <f t="shared" si="6"/>
        <v>140</v>
      </c>
      <c r="J131" s="97">
        <f>Jan!I131+Feb!I131+Mar!I131+Apr!I131+May!I131+Jun!I131+July!I131+Aug!I131</f>
        <v>465.73</v>
      </c>
      <c r="K131" s="84"/>
      <c r="L131" s="41"/>
      <c r="M131" s="41"/>
      <c r="N131" s="42"/>
    </row>
    <row r="132" spans="1:14" s="54" customFormat="1" ht="13.5">
      <c r="I132" s="63"/>
      <c r="J132" s="97"/>
      <c r="K132" s="84"/>
      <c r="L132" s="41"/>
      <c r="M132" s="41"/>
      <c r="N132" s="42"/>
    </row>
    <row r="133" spans="1:14" s="54" customFormat="1" ht="13.5">
      <c r="A133" s="60" t="s">
        <v>292</v>
      </c>
      <c r="B133" s="60">
        <f>SUM(G134:G136)</f>
        <v>111.77000000000001</v>
      </c>
      <c r="C133" s="60">
        <f>SUM(H134:H136)</f>
        <v>230</v>
      </c>
      <c r="D133" s="60">
        <f>C133-B133</f>
        <v>118.22999999999999</v>
      </c>
      <c r="I133" s="63"/>
      <c r="J133" s="97"/>
      <c r="K133" s="84"/>
      <c r="L133" s="41"/>
      <c r="M133" s="41"/>
      <c r="N133" s="42"/>
    </row>
    <row r="134" spans="1:14" s="54" customFormat="1" ht="13.5">
      <c r="B134" s="54" t="s">
        <v>287</v>
      </c>
      <c r="G134" s="54">
        <f t="shared" si="5"/>
        <v>111.77000000000001</v>
      </c>
      <c r="H134" s="54">
        <v>100</v>
      </c>
      <c r="I134" s="63">
        <f t="shared" si="6"/>
        <v>-11.77000000000001</v>
      </c>
      <c r="J134" s="97">
        <f>Jan!I134+Feb!I134+Mar!I134+Apr!I134+May!I134+Jun!I134+July!I134+Aug!I134</f>
        <v>-39.770000000000024</v>
      </c>
      <c r="K134" s="84"/>
      <c r="L134" s="41"/>
      <c r="M134" s="41">
        <f>24+12.3+32+23.26</f>
        <v>91.56</v>
      </c>
      <c r="N134" s="42">
        <v>20.21</v>
      </c>
    </row>
    <row r="135" spans="1:14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Jan!I135+Feb!I135+Mar!I135+Apr!I135+May!I135+Jun!I135+July!I135+Aug!I135</f>
        <v>800</v>
      </c>
      <c r="K135" s="84"/>
      <c r="L135" s="41"/>
      <c r="M135" s="41"/>
      <c r="N135" s="42"/>
    </row>
    <row r="136" spans="1:14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Jan!I136+Feb!I136+Mar!I136+Apr!I136+May!I136+Jun!I136+July!I136+Aug!I136</f>
        <v>231.03</v>
      </c>
      <c r="K136" s="84"/>
      <c r="L136" s="41"/>
      <c r="M136" s="41"/>
      <c r="N136" s="42"/>
    </row>
    <row r="137" spans="1:14" s="54" customFormat="1" ht="13.5">
      <c r="I137" s="63"/>
      <c r="J137" s="97"/>
      <c r="K137" s="84"/>
      <c r="L137" s="41"/>
      <c r="M137" s="41"/>
      <c r="N137" s="42"/>
    </row>
    <row r="138" spans="1:14" s="54" customFormat="1" ht="13.5">
      <c r="A138" s="60" t="s">
        <v>70</v>
      </c>
      <c r="B138" s="60">
        <f>G139</f>
        <v>19.600000000000001</v>
      </c>
      <c r="C138" s="60">
        <f>H139</f>
        <v>10</v>
      </c>
      <c r="D138" s="60">
        <f>C138-B138</f>
        <v>-9.6000000000000014</v>
      </c>
      <c r="I138" s="63"/>
      <c r="J138" s="97"/>
      <c r="K138" s="84"/>
      <c r="L138" s="41"/>
      <c r="M138" s="41"/>
      <c r="N138" s="42"/>
    </row>
    <row r="139" spans="1:14" s="54" customFormat="1" ht="13.5">
      <c r="B139" s="54" t="s">
        <v>71</v>
      </c>
      <c r="G139" s="54">
        <f t="shared" si="5"/>
        <v>19.600000000000001</v>
      </c>
      <c r="H139" s="54">
        <v>10</v>
      </c>
      <c r="I139" s="63">
        <f t="shared" si="6"/>
        <v>-9.6000000000000014</v>
      </c>
      <c r="J139" s="97">
        <f>Jan!I139+Feb!I139+Mar!I139+Apr!I139+May!I139+Jun!I139+July!I139+Aug!I139</f>
        <v>29.489999999999995</v>
      </c>
      <c r="K139" s="84"/>
      <c r="L139" s="41"/>
      <c r="M139" s="41"/>
      <c r="N139" s="42">
        <f>19.6</f>
        <v>19.600000000000001</v>
      </c>
    </row>
    <row r="140" spans="1:14" s="54" customFormat="1" ht="13.5">
      <c r="I140" s="63"/>
      <c r="J140" s="97"/>
      <c r="K140" s="84"/>
      <c r="L140" s="41"/>
      <c r="M140" s="41"/>
      <c r="N140" s="42"/>
    </row>
    <row r="141" spans="1:14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4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Jan!I142+Feb!I142+Mar!I142+Apr!I142+May!I142+Jun!I142+July!I142+Aug!I142</f>
        <v>1138.6300000000001</v>
      </c>
      <c r="K142" s="84"/>
      <c r="L142" s="41"/>
      <c r="M142" s="41"/>
      <c r="N142" s="42"/>
    </row>
    <row r="143" spans="1:14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Jan!I143+Feb!I143+Mar!I143+Apr!I143+May!I143+Jun!I143+July!I143+Aug!I143</f>
        <v>546.86999999999989</v>
      </c>
      <c r="K143" s="89"/>
      <c r="L143" s="41"/>
      <c r="M143" s="41"/>
      <c r="N143" s="42"/>
    </row>
    <row r="144" spans="1:14" s="54" customFormat="1" ht="13.5">
      <c r="I144" s="63"/>
      <c r="J144" s="97"/>
      <c r="K144" s="89"/>
      <c r="L144" s="41"/>
      <c r="M144" s="41"/>
      <c r="N144" s="42"/>
    </row>
    <row r="145" spans="1:15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5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5" ht="13.5">
      <c r="A147" s="54"/>
      <c r="B147" s="54">
        <f>SUM(G148:G162)</f>
        <v>174.45</v>
      </c>
      <c r="C147" s="54">
        <f>SUM(H148:H162)</f>
        <v>410</v>
      </c>
      <c r="D147" s="60">
        <f>C147-B147</f>
        <v>235.55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5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5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0</v>
      </c>
      <c r="H149" s="54">
        <v>100</v>
      </c>
      <c r="I149" s="63">
        <f t="shared" ref="I149:I162" si="8">H149-G149</f>
        <v>100</v>
      </c>
      <c r="J149" s="97">
        <f>Jan!I149+Feb!I149+Mar!I149+Apr!I149+May!I149+Jun!I149+July!I149+Aug!I149</f>
        <v>294.98</v>
      </c>
      <c r="L149" s="41"/>
      <c r="M149" s="41"/>
      <c r="N149" s="42"/>
    </row>
    <row r="150" spans="1:15" ht="14.25" thickBot="1">
      <c r="A150" s="95">
        <f>SUM(G149:G153)</f>
        <v>174.45</v>
      </c>
      <c r="B150" s="54" t="s">
        <v>289</v>
      </c>
      <c r="C150" s="54"/>
      <c r="D150" s="54"/>
      <c r="E150" s="54"/>
      <c r="F150" s="54"/>
      <c r="G150" s="54">
        <f t="shared" si="7"/>
        <v>104.44999999999999</v>
      </c>
      <c r="H150" s="54">
        <v>100</v>
      </c>
      <c r="I150" s="63">
        <f t="shared" si="8"/>
        <v>-4.4499999999999886</v>
      </c>
      <c r="J150" s="97">
        <f>Jan!I150+Feb!I150+Mar!I150+Apr!I150+May!I150+Jun!I150+July!I150+Aug!I150</f>
        <v>263.82000000000005</v>
      </c>
      <c r="L150" s="41"/>
      <c r="M150" s="41">
        <f>58.16+46.29</f>
        <v>104.44999999999999</v>
      </c>
      <c r="N150" s="42"/>
      <c r="O150" s="67" t="s">
        <v>1022</v>
      </c>
    </row>
    <row r="151" spans="1:15" ht="13.5">
      <c r="A151" s="54"/>
      <c r="B151" s="54" t="s">
        <v>64</v>
      </c>
      <c r="C151" s="54"/>
      <c r="D151" s="54"/>
      <c r="E151" s="54"/>
      <c r="F151" s="54"/>
      <c r="G151" s="54">
        <f t="shared" si="7"/>
        <v>0</v>
      </c>
      <c r="H151" s="54">
        <v>30</v>
      </c>
      <c r="I151" s="63">
        <f t="shared" si="8"/>
        <v>30</v>
      </c>
      <c r="J151" s="97">
        <f>Jan!I151+Feb!I151+Mar!I151+Apr!I151+May!I151+Jun!I151+July!I151+Aug!I151</f>
        <v>0.5</v>
      </c>
      <c r="L151" s="41"/>
      <c r="M151" s="41"/>
      <c r="N151" s="42"/>
    </row>
    <row r="152" spans="1:15" ht="13.5">
      <c r="A152" s="54"/>
      <c r="B152" s="54" t="s">
        <v>65</v>
      </c>
      <c r="C152" s="54"/>
      <c r="D152" s="54"/>
      <c r="E152" s="54"/>
      <c r="F152" s="54"/>
      <c r="G152" s="54">
        <f t="shared" si="7"/>
        <v>70</v>
      </c>
      <c r="H152" s="54">
        <v>50</v>
      </c>
      <c r="I152" s="63">
        <f t="shared" si="8"/>
        <v>-20</v>
      </c>
      <c r="J152" s="97">
        <f>Jan!I152+Feb!I152+Mar!I152+Apr!I152+May!I152+Jun!I152+July!I152+Aug!I152</f>
        <v>280</v>
      </c>
      <c r="L152" s="41">
        <v>70</v>
      </c>
      <c r="M152" s="41"/>
      <c r="N152" s="42"/>
      <c r="O152" s="67" t="s">
        <v>1018</v>
      </c>
    </row>
    <row r="153" spans="1:15" ht="13.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 t="shared" si="8"/>
        <v>10</v>
      </c>
      <c r="J153" s="97">
        <f>Jan!I153+Feb!I153+Mar!I153+Apr!I153+May!I153+Jun!I153+July!I153+Aug!I153</f>
        <v>63.09</v>
      </c>
      <c r="L153" s="41"/>
      <c r="M153" s="41"/>
      <c r="N153" s="42"/>
    </row>
    <row r="154" spans="1:15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5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5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/>
      <c r="I156" s="63">
        <f t="shared" si="8"/>
        <v>0</v>
      </c>
      <c r="J156" s="97">
        <f>Jan!I156+Feb!I156+Mar!I156+Apr!I156+May!I156+Jun!I156+July!I156+Aug!I156</f>
        <v>0</v>
      </c>
      <c r="L156" s="41"/>
      <c r="M156" s="41"/>
      <c r="N156" s="42"/>
    </row>
    <row r="157" spans="1:15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/>
      <c r="I157" s="63">
        <f t="shared" si="8"/>
        <v>0</v>
      </c>
      <c r="J157" s="97">
        <f>Jan!I157+Feb!I157+Mar!I157+Apr!I157+May!I157+Jun!I157+July!I157+Aug!I157</f>
        <v>-5223.6000000000004</v>
      </c>
      <c r="L157" s="41"/>
      <c r="M157" s="41"/>
      <c r="N157" s="42"/>
    </row>
    <row r="158" spans="1:15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/>
      <c r="I158" s="63">
        <f t="shared" si="8"/>
        <v>0</v>
      </c>
      <c r="J158" s="97">
        <f>Jan!I158+Feb!I158+Mar!I158+Apr!I158+May!I158+Jun!I158+July!I158+Aug!I158</f>
        <v>0</v>
      </c>
      <c r="L158" s="41"/>
      <c r="M158" s="41"/>
      <c r="N158" s="42"/>
    </row>
    <row r="159" spans="1:15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/>
      <c r="I159" s="63">
        <f t="shared" si="8"/>
        <v>0</v>
      </c>
      <c r="J159" s="97">
        <f>Jan!I159+Feb!I159+Mar!I159+Apr!I159+May!I159+Jun!I159+July!I159+Aug!I159</f>
        <v>0</v>
      </c>
      <c r="L159" s="41"/>
      <c r="M159" s="41"/>
      <c r="N159" s="42"/>
    </row>
    <row r="160" spans="1:15" ht="13.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/>
      <c r="I160" s="63">
        <f t="shared" si="8"/>
        <v>0</v>
      </c>
      <c r="J160" s="97">
        <f>Jan!I160+Feb!I160+Mar!I160+Apr!I160+May!I160+Jun!I160+July!I160+Aug!I160</f>
        <v>-210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8"/>
        <v>120</v>
      </c>
      <c r="J162" s="97">
        <f>Jan!I162+Feb!I162+Mar!I162+Apr!I162+May!I162+Jun!I162+July!I162+Aug!I162</f>
        <v>660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B4" zoomScale="95" zoomScaleNormal="95" workbookViewId="0">
      <selection activeCell="O119" sqref="O119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L1" s="75" t="s">
        <v>557</v>
      </c>
    </row>
    <row r="2" spans="1:16">
      <c r="A2" s="73" t="s">
        <v>191</v>
      </c>
      <c r="B2" s="75" t="s">
        <v>15</v>
      </c>
      <c r="C2" s="75"/>
      <c r="M2" s="75" t="s">
        <v>540</v>
      </c>
    </row>
    <row r="3" spans="1:16">
      <c r="M3" s="75" t="s">
        <v>539</v>
      </c>
      <c r="O3"/>
    </row>
    <row r="4" spans="1:16">
      <c r="A4" s="73" t="s">
        <v>4</v>
      </c>
      <c r="B4" s="78">
        <f>SUM(G5:G8)</f>
        <v>12557.92</v>
      </c>
      <c r="C4" s="78"/>
      <c r="F4" s="100"/>
      <c r="G4" s="67" t="s">
        <v>34</v>
      </c>
      <c r="L4" s="79"/>
      <c r="M4" s="75" t="s">
        <v>1050</v>
      </c>
      <c r="O4"/>
    </row>
    <row r="5" spans="1:16" ht="12.75">
      <c r="A5" s="67" t="s">
        <v>25</v>
      </c>
      <c r="B5" s="128">
        <v>3801.24</v>
      </c>
      <c r="C5" s="128">
        <v>3801.24</v>
      </c>
      <c r="F5" s="100"/>
      <c r="G5" s="128">
        <f>SUM(B5:E5)</f>
        <v>7602.48</v>
      </c>
      <c r="H5" s="79"/>
      <c r="I5" s="79"/>
      <c r="J5" s="79"/>
      <c r="K5" s="83"/>
      <c r="L5" s="79"/>
      <c r="M5" s="75" t="s">
        <v>1051</v>
      </c>
      <c r="O5"/>
    </row>
    <row r="6" spans="1:16" ht="12.75">
      <c r="A6" s="67" t="s">
        <v>251</v>
      </c>
      <c r="B6" s="67">
        <v>1879.76</v>
      </c>
      <c r="C6" s="77">
        <v>2429.23</v>
      </c>
      <c r="F6" s="100"/>
      <c r="G6" s="128">
        <f>SUM(B6:E6)</f>
        <v>4308.99</v>
      </c>
      <c r="H6" s="79" t="s">
        <v>1049</v>
      </c>
      <c r="I6" s="79"/>
      <c r="J6" s="79"/>
      <c r="K6" s="83"/>
      <c r="L6" s="79"/>
      <c r="M6" s="67" t="s">
        <v>1082</v>
      </c>
      <c r="O6"/>
    </row>
    <row r="7" spans="1:16" ht="12.75">
      <c r="A7" s="67" t="s">
        <v>27</v>
      </c>
      <c r="B7" s="67">
        <v>323.22000000000003</v>
      </c>
      <c r="C7" s="67">
        <v>323.23</v>
      </c>
      <c r="F7" s="100"/>
      <c r="G7" s="128">
        <f>SUM(B7:E7)</f>
        <v>646.45000000000005</v>
      </c>
      <c r="H7" s="79"/>
      <c r="I7" s="79"/>
      <c r="J7" s="79"/>
      <c r="K7" s="83"/>
      <c r="L7" s="79"/>
      <c r="O7"/>
    </row>
    <row r="8" spans="1:16">
      <c r="F8" s="100"/>
      <c r="G8" s="128"/>
      <c r="H8" s="79"/>
      <c r="I8" s="79"/>
      <c r="J8" s="79"/>
      <c r="K8" s="83"/>
      <c r="O8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1250</v>
      </c>
      <c r="D11" s="54" t="s">
        <v>299</v>
      </c>
      <c r="E11" s="54">
        <f>G11/B4</f>
        <v>9.9538777122325992E-2</v>
      </c>
      <c r="F11" s="275"/>
      <c r="G11" s="55">
        <f>Tithe!D14</f>
        <v>1250</v>
      </c>
      <c r="H11" s="54">
        <v>1200</v>
      </c>
      <c r="I11" s="66">
        <f>H11-G11</f>
        <v>-50</v>
      </c>
      <c r="J11" s="99">
        <f>Jan!I11+Feb!I11+Mar!I11+Apr!I11+May!I11+Jun!I11+July!I11+Aug!I11+Sep!I11</f>
        <v>-590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</row>
    <row r="14" spans="1:16" s="54" customFormat="1" ht="13.5">
      <c r="B14" s="60" t="s">
        <v>426</v>
      </c>
      <c r="E14" s="54" t="s">
        <v>524</v>
      </c>
      <c r="F14" s="275"/>
      <c r="G14" s="54">
        <v>800</v>
      </c>
      <c r="H14" s="54">
        <v>800</v>
      </c>
      <c r="I14" s="66">
        <f t="shared" ref="I14:I20" si="0">H14-G14</f>
        <v>0</v>
      </c>
      <c r="J14" s="99">
        <f>Jan!I14+Feb!I14+Mar!I14+Apr!I14+May!I14+Jun!I14+July!I14+Aug!I14+Sep!I14</f>
        <v>0</v>
      </c>
      <c r="K14" s="86"/>
    </row>
    <row r="15" spans="1:16" s="54" customFormat="1" ht="13.5">
      <c r="B15" s="60" t="s">
        <v>282</v>
      </c>
      <c r="E15" s="54" t="s">
        <v>524</v>
      </c>
      <c r="F15" s="275"/>
      <c r="G15" s="54">
        <v>200</v>
      </c>
      <c r="H15" s="54">
        <v>200</v>
      </c>
      <c r="I15" s="66">
        <f t="shared" si="0"/>
        <v>0</v>
      </c>
      <c r="J15" s="99">
        <f>Jan!I15+Feb!I15+Mar!I15+Apr!I15+May!I15+Jun!I15+July!I15+Aug!I15+Sep!I15</f>
        <v>0</v>
      </c>
      <c r="K15" s="86"/>
    </row>
    <row r="16" spans="1:16" s="54" customFormat="1" ht="13.5">
      <c r="B16" s="60" t="s">
        <v>314</v>
      </c>
      <c r="E16" s="54" t="s">
        <v>524</v>
      </c>
      <c r="F16" s="275"/>
      <c r="G16" s="54">
        <v>300</v>
      </c>
      <c r="H16" s="54">
        <v>300</v>
      </c>
      <c r="I16" s="66">
        <f t="shared" si="0"/>
        <v>0</v>
      </c>
      <c r="J16" s="99">
        <f>Jan!I16+Feb!I16+Mar!I16+Apr!I16+May!I16+Jun!I16+July!I16+Aug!I16+Sep!I16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4">
        <v>200</v>
      </c>
      <c r="H17" s="54">
        <v>200</v>
      </c>
      <c r="I17" s="66">
        <f t="shared" si="0"/>
        <v>0</v>
      </c>
      <c r="J17" s="99">
        <f>Jan!I17+Feb!I17+Mar!I17+Apr!I17+May!I17+Jun!I17+July!I17+Aug!I17+Sep!I17</f>
        <v>0</v>
      </c>
      <c r="K17" s="86"/>
    </row>
    <row r="18" spans="1:13" s="54" customFormat="1" ht="13.5">
      <c r="B18" s="60" t="s">
        <v>284</v>
      </c>
      <c r="E18" s="54" t="s">
        <v>525</v>
      </c>
      <c r="F18" s="275"/>
      <c r="G18" s="54">
        <v>50</v>
      </c>
      <c r="H18" s="54">
        <v>50</v>
      </c>
      <c r="I18" s="66">
        <f t="shared" si="0"/>
        <v>0</v>
      </c>
      <c r="J18" s="99">
        <f>Jan!I18+Feb!I18+Mar!I18+Apr!I18+May!I18+Jun!I18+July!I18+Aug!I18+Sep!I18</f>
        <v>0</v>
      </c>
      <c r="K18" s="86"/>
    </row>
    <row r="19" spans="1:13" s="54" customFormat="1" ht="13.5">
      <c r="B19" s="60" t="s">
        <v>283</v>
      </c>
      <c r="E19" s="54" t="s">
        <v>525</v>
      </c>
      <c r="F19" s="275"/>
      <c r="G19" s="54">
        <v>200</v>
      </c>
      <c r="H19" s="54">
        <v>200</v>
      </c>
      <c r="I19" s="66">
        <f t="shared" si="0"/>
        <v>0</v>
      </c>
      <c r="J19" s="99">
        <f>Jan!I19+Feb!I19+Mar!I19+Apr!I19+May!I19+Jun!I19+July!I19+Aug!I19+Sep!I19</f>
        <v>0</v>
      </c>
      <c r="K19" s="86"/>
    </row>
    <row r="20" spans="1:13" s="54" customFormat="1" ht="13.5">
      <c r="B20" s="60" t="s">
        <v>315</v>
      </c>
      <c r="E20" s="54" t="s">
        <v>525</v>
      </c>
      <c r="G20" s="54">
        <v>300</v>
      </c>
      <c r="H20" s="54">
        <v>300</v>
      </c>
      <c r="I20" s="66">
        <f t="shared" si="0"/>
        <v>0</v>
      </c>
      <c r="J20" s="99">
        <f>Jan!I20+Feb!I20+Mar!I20+Apr!I20+May!I20+Jun!I20+July!I20+Aug!I20+Sep!I20</f>
        <v>0</v>
      </c>
      <c r="K20" s="86"/>
    </row>
    <row r="21" spans="1:13" s="54" customFormat="1" ht="13.5">
      <c r="A21" s="60"/>
      <c r="F21" s="275"/>
      <c r="I21" s="66"/>
      <c r="J21" s="99"/>
      <c r="K21" s="86"/>
      <c r="L21" s="60" t="s">
        <v>559</v>
      </c>
    </row>
    <row r="22" spans="1:13" s="54" customFormat="1" ht="13.5">
      <c r="A22" s="60" t="s">
        <v>300</v>
      </c>
      <c r="B22" s="278">
        <f>G22</f>
        <v>700</v>
      </c>
      <c r="F22" s="275"/>
      <c r="G22" s="54">
        <v>700</v>
      </c>
      <c r="H22" s="54">
        <v>700</v>
      </c>
      <c r="I22" s="66">
        <f>H22-G22</f>
        <v>0</v>
      </c>
      <c r="J22" s="99">
        <f>Jan!I22+Feb!I22+Mar!I22+Apr!I22+May!I22+Jun!I22+July!I22+Aug!I22+Sep!I22</f>
        <v>0</v>
      </c>
      <c r="K22" s="86"/>
    </row>
    <row r="23" spans="1:13" s="54" customFormat="1" ht="13.5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3.5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3.5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Jan!I25+Feb!I25+Mar!I25+Apr!I25+May!I25+Jun!I25+July!I25+Aug!I25+Sep!I25</f>
        <v>4500</v>
      </c>
      <c r="K25" s="86"/>
    </row>
    <row r="26" spans="1:13" s="54" customFormat="1" ht="13.5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Jan!I26+Feb!I26+Mar!I26+Apr!I26+May!I26+Jun!I26+July!I26+Aug!I26+Sep!I26</f>
        <v>2700</v>
      </c>
      <c r="K26" s="86"/>
    </row>
    <row r="27" spans="1:13" s="54" customFormat="1" ht="13.5">
      <c r="A27" s="60"/>
      <c r="F27" s="275"/>
      <c r="G27" s="68"/>
      <c r="H27" s="68"/>
      <c r="I27" s="70"/>
      <c r="J27" s="81"/>
      <c r="K27" s="81"/>
    </row>
    <row r="28" spans="1:13" s="54" customFormat="1" ht="14.25" thickBot="1">
      <c r="A28" s="60"/>
      <c r="B28" s="60"/>
      <c r="F28" s="275"/>
      <c r="G28" s="69">
        <f>SUM(G11:G26)</f>
        <v>4000</v>
      </c>
      <c r="H28" s="69">
        <f>SUM(H11:H26)</f>
        <v>4750</v>
      </c>
      <c r="I28" s="69">
        <f>SUM(I11:I26)</f>
        <v>750</v>
      </c>
      <c r="J28" s="69">
        <f>SUM(J11:J26)</f>
        <v>6610</v>
      </c>
      <c r="K28" s="87"/>
    </row>
    <row r="29" spans="1:13" s="54" customFormat="1" ht="15" thickTop="1" thickBot="1">
      <c r="H29" s="58"/>
      <c r="I29" s="58"/>
      <c r="J29" s="58"/>
      <c r="K29" s="87"/>
      <c r="L29" s="60" t="s">
        <v>560</v>
      </c>
    </row>
    <row r="30" spans="1:13" s="54" customFormat="1" ht="14.25" thickBot="1">
      <c r="A30" s="60" t="s">
        <v>305</v>
      </c>
      <c r="B30" s="60"/>
      <c r="F30" s="275"/>
      <c r="G30" s="95"/>
      <c r="H30" s="58"/>
      <c r="I30" s="58"/>
      <c r="J30" s="58"/>
      <c r="K30" s="87"/>
      <c r="M30" s="54" t="s">
        <v>1031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8557.92</v>
      </c>
      <c r="H31" s="58"/>
      <c r="I31" s="58"/>
      <c r="J31" s="58"/>
      <c r="K31" s="87"/>
      <c r="L31" s="58"/>
      <c r="M31" s="54" t="s">
        <v>1032</v>
      </c>
    </row>
    <row r="32" spans="1:13" s="54" customFormat="1" ht="13.5">
      <c r="A32" s="54" t="s">
        <v>536</v>
      </c>
      <c r="B32" s="106"/>
      <c r="C32" s="56"/>
      <c r="D32" s="56"/>
      <c r="E32" s="56"/>
      <c r="F32" s="280"/>
      <c r="G32" s="282">
        <f>G46</f>
        <v>6669.3899999999994</v>
      </c>
      <c r="H32" s="58"/>
      <c r="I32" s="58"/>
      <c r="J32" s="58"/>
      <c r="K32" s="87"/>
      <c r="L32" s="58"/>
      <c r="M32" s="54" t="s">
        <v>1066</v>
      </c>
    </row>
    <row r="33" spans="1:14" s="54" customFormat="1" ht="13.5">
      <c r="A33" s="60" t="s">
        <v>655</v>
      </c>
      <c r="B33" s="60"/>
      <c r="F33" s="275"/>
      <c r="G33" s="80">
        <f>G31-G32-M42</f>
        <v>1888.5300000000007</v>
      </c>
      <c r="H33" s="58"/>
      <c r="I33" s="58"/>
      <c r="J33" s="58"/>
      <c r="K33" s="87"/>
      <c r="L33" s="58"/>
      <c r="M33" s="54" t="s">
        <v>1067</v>
      </c>
      <c r="N33" s="54" t="s">
        <v>1069</v>
      </c>
    </row>
    <row r="34" spans="1:14" s="54" customFormat="1" ht="13.5">
      <c r="H34" s="58"/>
      <c r="I34" s="58"/>
      <c r="J34" s="58"/>
      <c r="K34" s="87"/>
      <c r="L34" s="58"/>
      <c r="M34" s="54" t="s">
        <v>1068</v>
      </c>
      <c r="N34" s="54" t="s">
        <v>1069</v>
      </c>
    </row>
    <row r="35" spans="1:14" s="54" customFormat="1" ht="13.5">
      <c r="A35" s="60" t="s">
        <v>527</v>
      </c>
      <c r="B35" s="60"/>
      <c r="E35" s="54">
        <f>B47</f>
        <v>1242.5500000000002</v>
      </c>
      <c r="F35" s="275"/>
      <c r="G35" s="135"/>
      <c r="H35" s="58"/>
      <c r="I35" s="58"/>
      <c r="J35" s="58"/>
      <c r="K35" s="87"/>
      <c r="L35" s="58"/>
      <c r="M35" s="54" t="s">
        <v>1070</v>
      </c>
    </row>
    <row r="36" spans="1:14" s="54" customFormat="1" ht="13.5">
      <c r="A36" s="60" t="s">
        <v>491</v>
      </c>
      <c r="B36" s="60"/>
      <c r="E36" s="54">
        <f>B76</f>
        <v>5380.06</v>
      </c>
      <c r="F36" s="275"/>
      <c r="G36" s="80"/>
      <c r="H36" s="58"/>
      <c r="I36" s="58"/>
      <c r="J36" s="58"/>
      <c r="K36" s="87"/>
      <c r="L36" s="58"/>
      <c r="M36" s="54" t="s">
        <v>1071</v>
      </c>
    </row>
    <row r="37" spans="1:14" s="54" customFormat="1" ht="13.5">
      <c r="A37" s="60"/>
      <c r="B37" s="60" t="s">
        <v>528</v>
      </c>
      <c r="D37" s="54">
        <f>B93+B102</f>
        <v>378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96.7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432.82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122.45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620</v>
      </c>
      <c r="F41" s="275"/>
      <c r="G41" s="105"/>
      <c r="H41" s="58"/>
      <c r="I41" s="58"/>
      <c r="J41" s="58"/>
      <c r="K41" s="87"/>
      <c r="L41" s="95"/>
      <c r="M41" s="54">
        <f>M46+M44+M43-M42</f>
        <v>3923.65</v>
      </c>
      <c r="N41" s="54">
        <f>N46-N42</f>
        <v>1093.46</v>
      </c>
    </row>
    <row r="42" spans="1:14" s="54" customFormat="1" ht="13.5">
      <c r="B42" s="60" t="s">
        <v>533</v>
      </c>
      <c r="C42" s="61"/>
      <c r="D42" s="61">
        <f>B130</f>
        <v>309.34000000000003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1057.54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46.78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6669.3899999999994</v>
      </c>
      <c r="H46" s="101">
        <f>SUM(H48:H162)</f>
        <v>4673</v>
      </c>
      <c r="I46" s="101">
        <f>H46-G46</f>
        <v>-1996.3899999999994</v>
      </c>
      <c r="J46" s="101">
        <f>SUM(J48:J162)</f>
        <v>3872.1699999999964</v>
      </c>
      <c r="K46" s="88"/>
      <c r="L46" s="92">
        <f>SUM(L48:L162)</f>
        <v>1802.28</v>
      </c>
      <c r="M46" s="92">
        <f>SUM(M48:M162)</f>
        <v>3773.65</v>
      </c>
      <c r="N46" s="92">
        <f>SUM(N48:N162)</f>
        <v>1093.46</v>
      </c>
    </row>
    <row r="47" spans="1:14" s="54" customFormat="1" ht="14.25" thickBot="1">
      <c r="A47" s="106" t="s">
        <v>492</v>
      </c>
      <c r="B47" s="273">
        <f>B48+B61+B65</f>
        <v>1242.5500000000002</v>
      </c>
      <c r="C47" s="273">
        <f>C48+C61+C65</f>
        <v>1378</v>
      </c>
      <c r="D47" s="95">
        <f>D48+D61+D65</f>
        <v>135.44999999999982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Jan!I49+Feb!I49+Mar!I49+Apr!I49+May!I49+Jun!I49+July!I49+Aug!I49+Sep!I49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Jan!I50+Feb!I50+Mar!I50+Apr!I50+May!I50+Jun!I50+July!I50+Aug!I50+Sep!I50</f>
        <v>900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Jan!I51+Feb!I51+Mar!I51+Apr!I51+May!I51+Jun!I51+July!I51+Aug!I51+Sep!I51</f>
        <v>890.36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Jan!I52+Feb!I52+Mar!I52+Apr!I52+May!I52+Jun!I52+July!I52+Aug!I52+Sep!I52</f>
        <v>900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Jan!I53+Feb!I53+Mar!I53+Apr!I53+May!I53+Jun!I53+July!I53+Aug!I53+Sep!I53</f>
        <v>0.35999999999967258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Jan!I54+Feb!I54+Mar!I54+Apr!I54+May!I54+Jun!I54+July!I54+Aug!I54+Sep!I54</f>
        <v>-167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Jan!I55+Feb!I55+Mar!I55+Apr!I55+May!I55+Jun!I55+July!I55+Aug!I55+Sep!I55</f>
        <v>-33.300000000000409</v>
      </c>
      <c r="K55" s="84"/>
      <c r="L55" s="41">
        <v>1694.15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Jan!I56+Feb!I56+Mar!I56+Apr!I56+May!I56+Jun!I56+July!I56+Aug!I56+Sep!I56</f>
        <v>33.299999999999841</v>
      </c>
      <c r="K56" s="84"/>
      <c r="L56" s="41">
        <v>305.85000000000002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Jan!I57+Feb!I57+Mar!I57+Apr!I57+May!I57+Jun!I57+July!I57+Aug!I57+Sep!I57</f>
        <v>180</v>
      </c>
      <c r="K57" s="84"/>
      <c r="L57" s="41">
        <v>-2060</v>
      </c>
      <c r="M57" s="42"/>
      <c r="N57" s="42"/>
    </row>
    <row r="58" spans="1:14" s="54" customFormat="1" ht="13.5">
      <c r="I58" s="63"/>
      <c r="J58" s="97"/>
      <c r="K58" s="84"/>
      <c r="L58" s="41"/>
      <c r="M58" s="42"/>
      <c r="N58" s="42"/>
    </row>
    <row r="59" spans="1:14" s="54" customFormat="1" ht="13.5">
      <c r="I59" s="63"/>
      <c r="J59" s="97"/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3.5">
      <c r="A61" s="60"/>
      <c r="B61" s="60">
        <f>SUM(G62:G63)</f>
        <v>160.51999999999998</v>
      </c>
      <c r="C61" s="60">
        <f>SUM(H62:H63)</f>
        <v>167</v>
      </c>
      <c r="D61" s="60">
        <f>C61-B61</f>
        <v>6.4800000000000182</v>
      </c>
      <c r="I61" s="63"/>
      <c r="J61" s="97"/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97">
        <f>Jan!I62+Feb!I62+Mar!I62+Apr!I62+May!I62+Jun!I62+July!I62+Aug!I62+Sep!I62</f>
        <v>-15.400000000000006</v>
      </c>
      <c r="K62" s="84"/>
      <c r="L62" s="41"/>
      <c r="M62" s="42">
        <v>69.16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91.36</v>
      </c>
      <c r="H63" s="54">
        <v>100</v>
      </c>
      <c r="I63" s="63">
        <f t="shared" si="4"/>
        <v>8.64</v>
      </c>
      <c r="J63" s="97">
        <f>Jan!I63+Feb!I63+Mar!I63+Apr!I63+May!I63+Jun!I63+July!I63+Aug!I63+Sep!I63</f>
        <v>18.259999999999977</v>
      </c>
      <c r="K63" s="84"/>
      <c r="L63" s="41"/>
      <c r="M63" s="42">
        <v>91.36</v>
      </c>
      <c r="N63" s="42"/>
    </row>
    <row r="64" spans="1:14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588.07000000000005</v>
      </c>
      <c r="C65" s="60">
        <f>SUM(H66:H74)</f>
        <v>300</v>
      </c>
      <c r="D65" s="60">
        <f>C65-B65</f>
        <v>-288.07000000000005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0</v>
      </c>
      <c r="H66" s="54">
        <v>60</v>
      </c>
      <c r="I66" s="63">
        <f t="shared" si="4"/>
        <v>60</v>
      </c>
      <c r="J66" s="97">
        <f>Jan!I66+Feb!I66+Mar!I66+Apr!I66+May!I66+Jun!I66+July!I66+Aug!I66+Sep!I66</f>
        <v>83.41</v>
      </c>
      <c r="K66" s="84"/>
      <c r="L66" s="41"/>
      <c r="M66" s="42"/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238.32</v>
      </c>
      <c r="H67" s="54">
        <v>130</v>
      </c>
      <c r="I67" s="63">
        <f t="shared" si="4"/>
        <v>-108.32</v>
      </c>
      <c r="J67" s="97">
        <f>Jan!I67+Feb!I67+Mar!I67+Apr!I67+May!I67+Jun!I67+July!I67+Aug!I67+Sep!I67</f>
        <v>-80.459999999999994</v>
      </c>
      <c r="K67" s="84"/>
      <c r="L67" s="41">
        <v>103.5</v>
      </c>
      <c r="M67" s="42">
        <v>134.82</v>
      </c>
      <c r="N67" s="42"/>
      <c r="O67" s="54" t="s">
        <v>1072</v>
      </c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114.95</v>
      </c>
      <c r="H70" s="54">
        <v>25</v>
      </c>
      <c r="I70" s="63">
        <f t="shared" si="4"/>
        <v>-89.95</v>
      </c>
      <c r="J70" s="97">
        <f>Jan!I70+Feb!I70+Mar!I70+Apr!I70+May!I70+Jun!I70+July!I70+Aug!I70+Sep!I70</f>
        <v>-39.100000000000009</v>
      </c>
      <c r="K70" s="84"/>
      <c r="L70" s="41"/>
      <c r="M70" s="42">
        <v>114.95</v>
      </c>
      <c r="N70" s="42"/>
      <c r="O70" s="54" t="s">
        <v>1073</v>
      </c>
    </row>
    <row r="71" spans="1:15" s="54" customFormat="1" ht="13.5">
      <c r="A71" s="60"/>
      <c r="B71" s="54" t="s">
        <v>483</v>
      </c>
      <c r="G71" s="54">
        <f t="shared" si="3"/>
        <v>227.36</v>
      </c>
      <c r="H71" s="54">
        <v>30</v>
      </c>
      <c r="I71" s="63">
        <f t="shared" si="4"/>
        <v>-197.36</v>
      </c>
      <c r="J71" s="97">
        <f>Jan!I71+Feb!I71+Mar!I71+Apr!I71+May!I71+Jun!I71+July!I71+Aug!I71+Sep!I71</f>
        <v>-754.85</v>
      </c>
      <c r="K71" s="84"/>
      <c r="L71" s="41"/>
      <c r="M71" s="42">
        <f>42.46+184.9</f>
        <v>227.36</v>
      </c>
      <c r="N71" s="42"/>
      <c r="O71" s="54" t="s">
        <v>1074</v>
      </c>
    </row>
    <row r="72" spans="1:15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Jan!I72+Feb!I72+Mar!I72+Apr!I72+May!I72+Jun!I72+July!I72+Aug!I72+Sep!I72</f>
        <v>33.610000000000007</v>
      </c>
      <c r="K72" s="84"/>
      <c r="L72" s="41"/>
      <c r="M72" s="42"/>
      <c r="N72" s="42"/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7.44</v>
      </c>
      <c r="H74" s="54">
        <v>35</v>
      </c>
      <c r="I74" s="63">
        <f t="shared" si="4"/>
        <v>27.56</v>
      </c>
      <c r="J74" s="97">
        <f>Jan!I74+Feb!I74+Mar!I74+Apr!I74+May!I74+Jun!I74+July!I74+Aug!I74+Sep!I74</f>
        <v>150.97999999999999</v>
      </c>
      <c r="K74" s="84"/>
      <c r="L74" s="41"/>
      <c r="M74" s="42">
        <v>7.44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5380.06</v>
      </c>
      <c r="C76" s="151">
        <f>C82+C88+C93+C102+C107+C112+C117+C130+C133+C138+C141</f>
        <v>2885</v>
      </c>
      <c r="D76" s="151">
        <f>D82+D88+D93+D102+D107+D112+D117+D130+D133+D138+D141</f>
        <v>-131.84999999999997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1040</v>
      </c>
      <c r="B78" s="60">
        <f>SUM(G79:G81)</f>
        <v>2363.21</v>
      </c>
      <c r="C78" s="60">
        <f>SUM(H79:H80)</f>
        <v>0</v>
      </c>
      <c r="D78" s="60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A79" s="60"/>
      <c r="B79" s="54" t="s">
        <v>1035</v>
      </c>
      <c r="G79" s="54">
        <f t="shared" si="3"/>
        <v>0</v>
      </c>
      <c r="I79" s="63"/>
      <c r="J79" s="97"/>
      <c r="K79" s="84"/>
      <c r="L79" s="41"/>
      <c r="M79" s="42"/>
      <c r="N79" s="42"/>
    </row>
    <row r="80" spans="1:15" s="54" customFormat="1" ht="13.5">
      <c r="A80" s="60"/>
      <c r="B80" s="54" t="s">
        <v>1041</v>
      </c>
      <c r="G80" s="54">
        <f t="shared" si="3"/>
        <v>1008.21</v>
      </c>
      <c r="I80" s="63"/>
      <c r="J80" s="97"/>
      <c r="K80" s="84"/>
      <c r="L80" s="41"/>
      <c r="M80" s="42">
        <f>1008.21</f>
        <v>1008.21</v>
      </c>
      <c r="N80" s="42"/>
      <c r="O80" s="54" t="s">
        <v>1076</v>
      </c>
    </row>
    <row r="81" spans="1:15" s="54" customFormat="1" ht="13.5">
      <c r="A81" s="60"/>
      <c r="B81" s="54" t="s">
        <v>1044</v>
      </c>
      <c r="G81" s="54">
        <f t="shared" si="3"/>
        <v>1355</v>
      </c>
      <c r="I81" s="63"/>
      <c r="J81" s="97"/>
      <c r="K81" s="84"/>
      <c r="L81" s="41">
        <v>395</v>
      </c>
      <c r="M81" s="42">
        <v>960</v>
      </c>
      <c r="N81" s="42"/>
      <c r="O81" s="54" t="s">
        <v>1075</v>
      </c>
    </row>
    <row r="82" spans="1:15" s="54" customFormat="1" ht="13.5">
      <c r="A82" s="60" t="s">
        <v>42</v>
      </c>
      <c r="B82" s="60">
        <f>SUM(G83:G86)</f>
        <v>96.7</v>
      </c>
      <c r="C82" s="60">
        <f>SUM(H83:H86)</f>
        <v>395</v>
      </c>
      <c r="D82" s="60">
        <f>C82-B82</f>
        <v>298.3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96.7</v>
      </c>
      <c r="H83" s="54">
        <v>125</v>
      </c>
      <c r="I83" s="63">
        <f t="shared" si="4"/>
        <v>28.299999999999997</v>
      </c>
      <c r="J83" s="97">
        <f>Jan!I83+Feb!I83+Mar!I83+Apr!I83+May!I83+Jun!I83+July!I83+Aug!I83+Sep!I83</f>
        <v>3.0099999999999909</v>
      </c>
      <c r="K83" s="84"/>
      <c r="L83" s="41">
        <v>96.7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Jan!I84+Feb!I84+Mar!I84+Apr!I84+May!I84+Jun!I84+July!I84+Aug!I84+Sep!I84</f>
        <v>173.54999999999998</v>
      </c>
      <c r="K84" s="84"/>
      <c r="L84" s="41"/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Jan!I85+Feb!I85+Mar!I85+Apr!I85+May!I85+Jun!I85+July!I85+Aug!I85+Sep!I85</f>
        <v>-285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Jan!I86+Feb!I86+Mar!I86+Apr!I86+May!I86+Jun!I86+July!I86+Aug!I86+Sep!I86</f>
        <v>-333.65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432.82</v>
      </c>
      <c r="C88" s="60">
        <f>SUM(H89:H91)</f>
        <v>162</v>
      </c>
      <c r="D88" s="60">
        <f>C88-B88</f>
        <v>-270.82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Jan!I89+Feb!I89+Mar!I89+Apr!I89+May!I89+Jun!I89+July!I89+Aug!I89+Sep!I89</f>
        <v>-384.5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Jan!I90+Feb!I90+Mar!I90+Apr!I90+May!I90+Jun!I90+July!I90+Aug!I90+Sep!I90</f>
        <v>616.5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432.82</v>
      </c>
      <c r="H91" s="54">
        <v>36</v>
      </c>
      <c r="I91" s="63">
        <f t="shared" si="4"/>
        <v>-396.82</v>
      </c>
      <c r="J91" s="97">
        <f>Jan!I91+Feb!I91+Mar!I91+Apr!I91+May!I91+Jun!I91+July!I91+Aug!I91+Sep!I91</f>
        <v>-108.82</v>
      </c>
      <c r="K91" s="84"/>
      <c r="L91" s="41">
        <v>432.82</v>
      </c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378</v>
      </c>
      <c r="C93" s="60">
        <f>SUM(H94:H100)</f>
        <v>178</v>
      </c>
      <c r="D93" s="60">
        <f>C93-B93</f>
        <v>-200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69</v>
      </c>
      <c r="H94" s="54">
        <v>20</v>
      </c>
      <c r="I94" s="63">
        <f t="shared" si="4"/>
        <v>-49</v>
      </c>
      <c r="J94" s="97">
        <f>Jan!I94+Feb!I94+Mar!I94+Apr!I94+May!I94+Jun!I94+July!I94+Aug!I94+Sep!I94</f>
        <v>47.44</v>
      </c>
      <c r="K94" s="84"/>
      <c r="L94" s="41">
        <v>69</v>
      </c>
      <c r="M94" s="42"/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Jan!I95+Feb!I95+Mar!I95+Apr!I95+May!I95+Jun!I95+July!I95+Aug!I95+Sep!I95</f>
        <v>16.600000000000001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50</v>
      </c>
      <c r="H96" s="54">
        <v>65</v>
      </c>
      <c r="I96" s="63">
        <f t="shared" si="4"/>
        <v>15</v>
      </c>
      <c r="J96" s="97">
        <f>Jan!I96+Feb!I96+Mar!I96+Apr!I96+May!I96+Jun!I96+July!I96+Aug!I96+Sep!I96</f>
        <v>67.529999999999973</v>
      </c>
      <c r="K96" s="84"/>
      <c r="L96" s="41">
        <v>50</v>
      </c>
      <c r="M96" s="42"/>
      <c r="N96" s="42"/>
      <c r="O96" s="54" t="s">
        <v>1077</v>
      </c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Jan!I97+Feb!I97+Mar!I97+Apr!I97+May!I97+Jun!I97+July!I97+Aug!I97+Sep!I97</f>
        <v>22.310000000000002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259</v>
      </c>
      <c r="H98" s="54">
        <v>35</v>
      </c>
      <c r="I98" s="63">
        <f t="shared" si="4"/>
        <v>-224</v>
      </c>
      <c r="J98" s="97">
        <f>Jan!I98+Feb!I98+Mar!I98+Apr!I98+May!I98+Jun!I98+July!I98+Aug!I98+Sep!I98</f>
        <v>-358.05</v>
      </c>
      <c r="K98" s="84"/>
      <c r="L98" s="41"/>
      <c r="M98" s="42">
        <v>259</v>
      </c>
      <c r="N98" s="42"/>
      <c r="O98" s="54" t="s">
        <v>1078</v>
      </c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Jan!I99+Feb!I99+Mar!I99+Apr!I99+May!I99+Jun!I99+July!I99+Aug!I99+Sep!I99</f>
        <v>234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Jan!I100+Feb!I100+Mar!I100+Apr!I100+May!I100+Jun!I100+July!I100+Aug!I100+Sep!I100</f>
        <v>71.02000000000001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Jan!I103+Feb!I103+Mar!I103+Apr!I103+May!I103+Jun!I103+July!I103+Aug!I103+Sep!I103</f>
        <v>148.63999999999999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Jan!I104+Feb!I104+Mar!I104+Apr!I104+May!I104+Jun!I104+July!I104+Aug!I104+Sep!I104</f>
        <v>478.81</v>
      </c>
      <c r="K104" s="84"/>
      <c r="L104" s="41"/>
      <c r="M104" s="42"/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Jan!I105+Feb!I105+Mar!I105+Apr!I105+May!I105+Jun!I105+July!I105+Aug!I105+Sep!I105</f>
        <v>90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122.45</v>
      </c>
      <c r="C107" s="60">
        <f>SUM(H108:H110)</f>
        <v>225</v>
      </c>
      <c r="D107" s="60">
        <f>C107-B107</f>
        <v>102.55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27.99</v>
      </c>
      <c r="H108" s="54">
        <v>90</v>
      </c>
      <c r="I108" s="63">
        <f t="shared" si="4"/>
        <v>62.010000000000005</v>
      </c>
      <c r="J108" s="97">
        <f>Jan!I108+Feb!I108+Mar!I108+Apr!I108+May!I108+Jun!I108+July!I108+Aug!I108+Sep!I108</f>
        <v>287.77999999999997</v>
      </c>
      <c r="K108" s="84"/>
      <c r="L108" s="41"/>
      <c r="M108" s="42">
        <v>27.99</v>
      </c>
      <c r="N108" s="42"/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Jan!I109+Feb!I109+Mar!I109+Apr!I109+May!I109+Jun!I109+July!I109+Aug!I109+Sep!I109</f>
        <v>-8.3999999999999773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94.460000000000008</v>
      </c>
      <c r="H110" s="54">
        <v>110</v>
      </c>
      <c r="I110" s="63">
        <f t="shared" si="4"/>
        <v>15.539999999999992</v>
      </c>
      <c r="J110" s="97">
        <f>Jan!I110+Feb!I110+Mar!I110+Apr!I110+May!I110+Jun!I110+July!I110+Aug!I110+Sep!I110</f>
        <v>-55.22</v>
      </c>
      <c r="K110" s="84"/>
      <c r="L110" s="41"/>
      <c r="M110" s="42">
        <v>62.01</v>
      </c>
      <c r="N110" s="42">
        <v>32.450000000000003</v>
      </c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620</v>
      </c>
      <c r="C112" s="60">
        <f>SUM(H113:H115)</f>
        <v>415</v>
      </c>
      <c r="D112" s="60">
        <f>C112-B112</f>
        <v>-205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Jan!I113+Feb!I113+Mar!I113+Apr!I113+May!I113+Jun!I113+July!I113+Aug!I113+Sep!I113</f>
        <v>1179.6499999999999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620</v>
      </c>
      <c r="H114" s="54">
        <v>215</v>
      </c>
      <c r="I114" s="63">
        <f t="shared" si="4"/>
        <v>-405</v>
      </c>
      <c r="J114" s="97">
        <f>Jan!I114+Feb!I114+Mar!I114+Apr!I114+May!I114+Jun!I114+July!I114+Aug!I114+Sep!I114</f>
        <v>195</v>
      </c>
      <c r="K114" s="84"/>
      <c r="L114" s="41">
        <f>170+(135+105+105+105)</f>
        <v>620</v>
      </c>
      <c r="M114" s="42"/>
      <c r="N114" s="42"/>
      <c r="O114" s="54" t="s">
        <v>1079</v>
      </c>
    </row>
    <row r="115" spans="1:15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Jan!I115+Feb!I115+Mar!I115+Apr!I115+May!I115+Jun!I115+July!I115+Aug!I115+Sep!I115</f>
        <v>39.039999999999992</v>
      </c>
      <c r="K115" s="84"/>
      <c r="L115" s="41"/>
      <c r="M115" s="42"/>
      <c r="N115" s="42"/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1018.78</v>
      </c>
      <c r="C117" s="60">
        <f>SUM(H118:H128)</f>
        <v>750</v>
      </c>
      <c r="D117" s="60">
        <f>C117-B117</f>
        <v>-268.77999999999997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300</v>
      </c>
      <c r="H118" s="54">
        <v>100</v>
      </c>
      <c r="I118" s="63">
        <f t="shared" si="4"/>
        <v>-200</v>
      </c>
      <c r="J118" s="97">
        <f>Jan!I118+Feb!I118+Mar!I118+Apr!I118+May!I118+Jun!I118+July!I118+Aug!I118+Sep!I118</f>
        <v>-392</v>
      </c>
      <c r="K118" s="84"/>
      <c r="L118" s="41">
        <f>200+100</f>
        <v>300</v>
      </c>
      <c r="M118" s="42"/>
      <c r="N118" s="42"/>
      <c r="O118" s="54" t="s">
        <v>1209</v>
      </c>
    </row>
    <row r="119" spans="1:15" s="54" customFormat="1" ht="14.25" thickBot="1">
      <c r="B119" s="54" t="s">
        <v>511</v>
      </c>
      <c r="G119" s="54">
        <f t="shared" si="3"/>
        <v>586.87</v>
      </c>
      <c r="H119" s="54">
        <v>500</v>
      </c>
      <c r="I119" s="63">
        <f t="shared" si="4"/>
        <v>-86.87</v>
      </c>
      <c r="J119" s="97">
        <f>Jan!I119+Feb!I119+Mar!I119+Apr!I119+May!I119+Jun!I119+July!I119+Aug!I119+Sep!I119</f>
        <v>-179.25999999999988</v>
      </c>
      <c r="K119" s="84"/>
      <c r="L119" s="41"/>
      <c r="M119" s="42">
        <v>125.97</v>
      </c>
      <c r="N119" s="42">
        <v>460.9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f>Jan!F133+Feb!F134+Mar!F134+Apr!F134+May!F134+Jun!F134+July!F134+Aug!F134+Sep!F134+Oct!F134+Nov!F134+Dec!F134</f>
        <v>0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107.93</v>
      </c>
      <c r="H122" s="54">
        <v>40</v>
      </c>
      <c r="I122" s="63">
        <f t="shared" si="4"/>
        <v>-67.930000000000007</v>
      </c>
      <c r="J122" s="97">
        <f>Jan!I122+Feb!I122+Mar!I122+Apr!I122+May!I122+Jun!I122+July!I122+Aug!I122+Sep!I122</f>
        <v>-49.989999999999981</v>
      </c>
      <c r="K122" s="84"/>
      <c r="L122" s="41"/>
      <c r="M122" s="42">
        <v>85.54</v>
      </c>
      <c r="N122" s="42">
        <v>22.39</v>
      </c>
    </row>
    <row r="123" spans="1:15" s="54" customFormat="1" ht="14.25" thickBot="1">
      <c r="B123" s="54" t="s">
        <v>55</v>
      </c>
      <c r="G123" s="54">
        <f>SUM(L123:N123)</f>
        <v>23.98</v>
      </c>
      <c r="H123" s="54">
        <v>100</v>
      </c>
      <c r="I123" s="63">
        <f t="shared" si="4"/>
        <v>76.02</v>
      </c>
      <c r="J123" s="97">
        <f>Jan!I123+Feb!I123+Mar!I123+Apr!I123+May!I123+Jun!I123+July!I123+Aug!I123+Sep!I123</f>
        <v>396.28999999999996</v>
      </c>
      <c r="K123" s="84"/>
      <c r="L123" s="41"/>
      <c r="M123" s="42">
        <v>23.98</v>
      </c>
      <c r="N123" s="42"/>
    </row>
    <row r="124" spans="1:15" s="54" customFormat="1" ht="14.25" thickBot="1">
      <c r="C124" s="273" t="s">
        <v>506</v>
      </c>
      <c r="D124" s="274"/>
      <c r="E124" s="95">
        <f>Jan!F136+Feb!F137+Mar!F137+Apr!F137+May!F137+Jun!F137+July!F137+Aug!F137+Sep!F137+Oct!F137+Nov!F137+Dec!F137</f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Jan!F137+Feb!F138+Mar!F138+Apr!F138+May!F138+Jun!F138+July!F138+Aug!F138+Sep!F138+Oct!F138+Nov!F138+Dec!F138</f>
        <v>0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v>23.98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Jan!F139+Feb!F140+Mar!F140+Apr!F140+May!F140+Jun!F140+July!F140+Aug!F140+Sep!F140+Oct!F140+Nov!F140+Dec!F140</f>
        <v>0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62" si="5">SUM(L128:N128)</f>
        <v>0</v>
      </c>
      <c r="H128" s="54">
        <v>10</v>
      </c>
      <c r="I128" s="63">
        <f t="shared" ref="I128:I143" si="6">H128-G128</f>
        <v>10</v>
      </c>
      <c r="J128" s="97">
        <f>Jan!I128+Feb!I128+Mar!I128+Apr!I128+May!I128+Jun!I128+July!I128+Aug!I128+Sep!I128</f>
        <v>-86.17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309.34000000000003</v>
      </c>
      <c r="C130" s="60">
        <f>H131</f>
        <v>140</v>
      </c>
      <c r="D130" s="60">
        <f>I131</f>
        <v>-169.34000000000003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309.34000000000003</v>
      </c>
      <c r="H131" s="54">
        <v>140</v>
      </c>
      <c r="I131" s="63">
        <f t="shared" si="6"/>
        <v>-169.34000000000003</v>
      </c>
      <c r="J131" s="97">
        <f>Jan!I131+Feb!I131+Mar!I131+Apr!I131+May!I131+Jun!I131+July!I131+Aug!I131+Sep!I131</f>
        <v>296.39</v>
      </c>
      <c r="K131" s="84"/>
      <c r="L131" s="41">
        <v>20</v>
      </c>
      <c r="M131" s="41">
        <v>237.34</v>
      </c>
      <c r="N131" s="42">
        <v>52</v>
      </c>
      <c r="O131" s="54" t="s">
        <v>1080</v>
      </c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33.22</v>
      </c>
      <c r="C133" s="60">
        <f>SUM(H134:H136)</f>
        <v>230</v>
      </c>
      <c r="D133" s="60">
        <f>C133-B133</f>
        <v>196.78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33.22</v>
      </c>
      <c r="H134" s="54">
        <v>100</v>
      </c>
      <c r="I134" s="63">
        <f t="shared" si="6"/>
        <v>66.78</v>
      </c>
      <c r="J134" s="97">
        <f>Jan!I134+Feb!I134+Mar!I134+Apr!I134+May!I134+Jun!I134+July!I134+Aug!I134+Sep!I134</f>
        <v>27.009999999999977</v>
      </c>
      <c r="K134" s="84"/>
      <c r="L134" s="41"/>
      <c r="M134" s="41">
        <v>33.22</v>
      </c>
      <c r="N134" s="42"/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Jan!I135+Feb!I135+Mar!I135+Apr!I135+May!I135+Jun!I135+July!I135+Aug!I135+Sep!I135</f>
        <v>900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Jan!I136+Feb!I136+Mar!I136+Apr!I136+May!I136+Jun!I136+July!I136+Aug!I136+Sep!I136</f>
        <v>261.02999999999997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5.54</v>
      </c>
      <c r="C138" s="60">
        <f>H139</f>
        <v>10</v>
      </c>
      <c r="D138" s="60">
        <f>C138-B138</f>
        <v>4.46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5.54</v>
      </c>
      <c r="H139" s="54">
        <v>10</v>
      </c>
      <c r="I139" s="63">
        <f t="shared" si="6"/>
        <v>4.46</v>
      </c>
      <c r="J139" s="97">
        <f>Jan!I139+Feb!I139+Mar!I139+Apr!I139+May!I139+Jun!I139+July!I139+Aug!I139+Sep!I139</f>
        <v>33.949999999999996</v>
      </c>
      <c r="K139" s="84"/>
      <c r="L139" s="41"/>
      <c r="M139" s="41">
        <v>5.54</v>
      </c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Jan!I142+Feb!I142+Mar!I142+Apr!I142+May!I142+Jun!I142+July!I142+Aug!I142+Sep!I142</f>
        <v>1288.6300000000001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Jan!I143+Feb!I143+Mar!I143+Apr!I143+May!I143+Jun!I143+July!I143+Aug!I143+Sep!I143</f>
        <v>646.86999999999989</v>
      </c>
      <c r="K143" s="89"/>
      <c r="L143" s="41"/>
      <c r="M143" s="41"/>
      <c r="N143" s="42"/>
    </row>
    <row r="144" spans="1:15" s="54" customFormat="1" ht="13.5">
      <c r="I144" s="63"/>
      <c r="J144" s="97"/>
      <c r="K144" s="89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46.78</v>
      </c>
      <c r="C147" s="54">
        <f>SUM(H148:H162)</f>
        <v>410</v>
      </c>
      <c r="D147" s="60">
        <f>C147-B147</f>
        <v>363.22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si="5"/>
        <v>0</v>
      </c>
      <c r="H149" s="54">
        <v>100</v>
      </c>
      <c r="I149" s="63">
        <f t="shared" ref="I149:I162" si="7">H149-G149</f>
        <v>100</v>
      </c>
      <c r="J149" s="97">
        <f>Jan!I149+Feb!I149+Mar!I149+Apr!I149+May!I149+Jun!I149+July!I149+Aug!I149+Sep!I149</f>
        <v>394.98</v>
      </c>
      <c r="L149" s="41"/>
      <c r="M149" s="41"/>
      <c r="N149" s="42"/>
    </row>
    <row r="150" spans="1:14" ht="14.25" thickBot="1">
      <c r="A150" s="95">
        <f>SUM(G149:G153)</f>
        <v>46.78</v>
      </c>
      <c r="B150" s="54" t="s">
        <v>289</v>
      </c>
      <c r="C150" s="54"/>
      <c r="D150" s="54"/>
      <c r="E150" s="54"/>
      <c r="F150" s="54"/>
      <c r="G150" s="54">
        <f t="shared" si="5"/>
        <v>46.78</v>
      </c>
      <c r="H150" s="54">
        <v>100</v>
      </c>
      <c r="I150" s="63">
        <f t="shared" si="7"/>
        <v>53.22</v>
      </c>
      <c r="J150" s="97">
        <f>Jan!I150+Feb!I150+Mar!I150+Apr!I150+May!I150+Jun!I150+July!I150+Aug!I150+Sep!I150</f>
        <v>317.04000000000008</v>
      </c>
      <c r="L150" s="41"/>
      <c r="M150" s="41">
        <v>46.78</v>
      </c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5"/>
        <v>0</v>
      </c>
      <c r="H151" s="54">
        <v>30</v>
      </c>
      <c r="I151" s="63">
        <f t="shared" si="7"/>
        <v>30</v>
      </c>
      <c r="J151" s="97">
        <f>Jan!I151+Feb!I151+Mar!I151+Apr!I151+May!I151+Jun!I151+July!I151+Aug!I151+Sep!I151</f>
        <v>30.5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5"/>
        <v>0</v>
      </c>
      <c r="H152" s="54">
        <v>50</v>
      </c>
      <c r="I152" s="63">
        <f t="shared" si="7"/>
        <v>50</v>
      </c>
      <c r="J152" s="97">
        <f>Jan!I152+Feb!I152+Mar!I152+Apr!I152+May!I152+Jun!I152+July!I152+Aug!I152+Sep!I152</f>
        <v>330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5"/>
        <v>0</v>
      </c>
      <c r="H153" s="54">
        <v>10</v>
      </c>
      <c r="I153" s="63">
        <f t="shared" si="7"/>
        <v>10</v>
      </c>
      <c r="J153" s="97">
        <f>Jan!I153+Feb!I153+Mar!I153+Apr!I153+May!I153+Jun!I153+July!I153+Aug!I153+Sep!I153</f>
        <v>73.09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5"/>
        <v>0</v>
      </c>
      <c r="H156" s="54"/>
      <c r="I156" s="63">
        <f t="shared" si="7"/>
        <v>0</v>
      </c>
      <c r="J156" s="97">
        <f>Jan!I156+Feb!I156+Mar!I156+Apr!I156+May!I156+Jun!I156+July!I156+Aug!I156+Sep!I156</f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5"/>
        <v>0</v>
      </c>
      <c r="H157" s="54"/>
      <c r="I157" s="63">
        <f t="shared" si="7"/>
        <v>0</v>
      </c>
      <c r="J157" s="97">
        <f>Jan!I157+Feb!I157+Mar!I157+Apr!I157+May!I157+Jun!I157+July!I157+Aug!I157+Sep!I157</f>
        <v>-5223.6000000000004</v>
      </c>
      <c r="L157" s="41"/>
      <c r="M157" s="41"/>
      <c r="N157" s="42"/>
    </row>
    <row r="158" spans="1:14" ht="13.5">
      <c r="A158" s="54"/>
      <c r="B158" s="54" t="s">
        <v>520</v>
      </c>
      <c r="C158" s="54"/>
      <c r="D158" s="54"/>
      <c r="E158" s="54"/>
      <c r="F158" s="54"/>
      <c r="G158" s="54">
        <f t="shared" si="5"/>
        <v>0</v>
      </c>
      <c r="H158" s="54"/>
      <c r="I158" s="63">
        <f t="shared" si="7"/>
        <v>0</v>
      </c>
      <c r="J158" s="97">
        <f>Jan!I158+Feb!I158+Mar!I158+Apr!I158+May!I158+Jun!I158+July!I158+Aug!I158+Sep!I158</f>
        <v>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5"/>
        <v>0</v>
      </c>
      <c r="H159" s="54"/>
      <c r="I159" s="63">
        <f t="shared" si="7"/>
        <v>0</v>
      </c>
      <c r="J159" s="97">
        <f>Jan!I159+Feb!I159+Mar!I159+Apr!I159+May!I159+Jun!I159+July!I159+Aug!I159+Sep!I159</f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5"/>
        <v>0</v>
      </c>
      <c r="H160" s="54"/>
      <c r="I160" s="63">
        <f t="shared" si="7"/>
        <v>0</v>
      </c>
      <c r="J160" s="97">
        <f>Jan!I160+Feb!I160+Mar!I160+Apr!I160+May!I160+Jun!I160+July!I160+Aug!I160+Sep!I160</f>
        <v>-210</v>
      </c>
      <c r="L160" s="41"/>
      <c r="M160" s="41"/>
      <c r="N160" s="42"/>
    </row>
    <row r="161" spans="1:15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5" ht="13.5">
      <c r="A162" s="60" t="s">
        <v>293</v>
      </c>
      <c r="B162" s="54"/>
      <c r="C162" s="54"/>
      <c r="D162" s="54"/>
      <c r="E162" s="54"/>
      <c r="F162" s="54"/>
      <c r="G162" s="54">
        <f t="shared" si="5"/>
        <v>0</v>
      </c>
      <c r="H162" s="54">
        <v>120</v>
      </c>
      <c r="I162" s="63">
        <f t="shared" si="7"/>
        <v>120</v>
      </c>
      <c r="J162" s="97">
        <f>Jan!I162+Feb!I162+Mar!I162+Apr!I162+May!I162+Jun!I162+July!I162+Aug!I162+Sep!I162</f>
        <v>780</v>
      </c>
      <c r="L162" s="41">
        <v>-778.7</v>
      </c>
      <c r="M162" s="41">
        <v>252.98</v>
      </c>
      <c r="N162" s="42">
        <v>525.72</v>
      </c>
      <c r="O162" s="67" t="s">
        <v>1081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2" zoomScale="84" zoomScaleNormal="84" workbookViewId="0">
      <selection activeCell="M81" sqref="M81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L1" s="75" t="s">
        <v>557</v>
      </c>
    </row>
    <row r="2" spans="1:16">
      <c r="A2" s="73" t="s">
        <v>191</v>
      </c>
      <c r="B2" s="75" t="s">
        <v>16</v>
      </c>
      <c r="C2" s="75"/>
      <c r="M2" s="75" t="s">
        <v>540</v>
      </c>
    </row>
    <row r="3" spans="1:16">
      <c r="M3" s="75" t="s">
        <v>539</v>
      </c>
      <c r="O3" s="77"/>
    </row>
    <row r="4" spans="1:16">
      <c r="A4" s="73" t="s">
        <v>4</v>
      </c>
      <c r="B4" s="78">
        <f>SUM(G5:G8)</f>
        <v>12114.61</v>
      </c>
      <c r="C4" s="78"/>
      <c r="F4" s="100"/>
      <c r="G4" s="67" t="s">
        <v>34</v>
      </c>
      <c r="L4" s="79"/>
      <c r="M4" s="75" t="s">
        <v>1054</v>
      </c>
      <c r="O4" s="77"/>
    </row>
    <row r="5" spans="1:16" ht="12.75">
      <c r="A5" s="67" t="s">
        <v>25</v>
      </c>
      <c r="B5" s="128">
        <v>3801.25</v>
      </c>
      <c r="C5" s="129">
        <v>3801.24</v>
      </c>
      <c r="D5" s="67">
        <v>3865.67</v>
      </c>
      <c r="F5" s="100"/>
      <c r="G5" s="128">
        <f>SUM(B5:E5)</f>
        <v>11468.16</v>
      </c>
      <c r="H5" s="79"/>
      <c r="I5" s="79"/>
      <c r="J5" s="79"/>
      <c r="K5" s="83"/>
      <c r="L5" s="79"/>
      <c r="O5" s="77"/>
    </row>
    <row r="6" spans="1:16" ht="12.75">
      <c r="A6" s="67" t="s">
        <v>251</v>
      </c>
      <c r="C6" s="77"/>
      <c r="F6" s="100"/>
      <c r="G6" s="128">
        <f>SUM(B6:E6)</f>
        <v>0</v>
      </c>
      <c r="H6" s="79"/>
      <c r="I6" s="79"/>
      <c r="J6" s="79"/>
      <c r="K6" s="83"/>
      <c r="L6" s="79"/>
      <c r="O6" s="77"/>
    </row>
    <row r="7" spans="1:16" ht="12.75">
      <c r="A7" s="67" t="s">
        <v>27</v>
      </c>
      <c r="B7" s="67">
        <v>323.22000000000003</v>
      </c>
      <c r="C7" s="67">
        <v>323.23</v>
      </c>
      <c r="F7" s="100"/>
      <c r="G7" s="128">
        <f>SUM(B7:E7)</f>
        <v>646.45000000000005</v>
      </c>
      <c r="H7" s="79"/>
      <c r="I7" s="79"/>
      <c r="J7" s="79"/>
      <c r="K7" s="83"/>
      <c r="L7" s="79"/>
      <c r="O7" s="77"/>
    </row>
    <row r="8" spans="1:16">
      <c r="F8" s="100"/>
      <c r="G8" s="128"/>
      <c r="H8" s="79"/>
      <c r="I8" s="79"/>
      <c r="J8" s="79"/>
      <c r="K8" s="83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1330</v>
      </c>
      <c r="D11" s="54" t="s">
        <v>299</v>
      </c>
      <c r="E11" s="54">
        <f>G11/B4</f>
        <v>0.10978479703432467</v>
      </c>
      <c r="F11" s="275"/>
      <c r="G11" s="55">
        <f>Tithe!D15</f>
        <v>1330</v>
      </c>
      <c r="H11" s="54">
        <v>1200</v>
      </c>
      <c r="I11" s="66">
        <f>H11-G11</f>
        <v>-130</v>
      </c>
      <c r="J11" s="99">
        <f>Jan!I11+Feb!I11+Mar!I11+Apr!I11+May!I11+Jun!I11+July!I11+Aug!I11+Sep!I11+Oct!I11</f>
        <v>-720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</row>
    <row r="14" spans="1:16" s="54" customFormat="1" ht="13.5">
      <c r="B14" s="60" t="s">
        <v>426</v>
      </c>
      <c r="E14" s="54" t="s">
        <v>524</v>
      </c>
      <c r="F14" s="275"/>
      <c r="G14" s="54">
        <v>800</v>
      </c>
      <c r="H14" s="54">
        <v>800</v>
      </c>
      <c r="I14" s="66">
        <f t="shared" ref="I14:I20" si="0">H14-G14</f>
        <v>0</v>
      </c>
      <c r="J14" s="99">
        <f>Jan!I14+Feb!I14+Mar!I14+Apr!I14+May!I14+Jun!I14+July!I14+Aug!I14+Sep!I14+Oct!I14</f>
        <v>0</v>
      </c>
      <c r="K14" s="86"/>
    </row>
    <row r="15" spans="1:16" s="54" customFormat="1" ht="13.5">
      <c r="B15" s="60" t="s">
        <v>282</v>
      </c>
      <c r="E15" s="54" t="s">
        <v>524</v>
      </c>
      <c r="F15" s="275"/>
      <c r="G15" s="54">
        <v>200</v>
      </c>
      <c r="H15" s="54">
        <v>200</v>
      </c>
      <c r="I15" s="66">
        <f t="shared" si="0"/>
        <v>0</v>
      </c>
      <c r="J15" s="99">
        <f>Jan!I15+Feb!I15+Mar!I15+Apr!I15+May!I15+Jun!I15+July!I15+Aug!I15+Sep!I15+Oct!I15</f>
        <v>0</v>
      </c>
      <c r="K15" s="86"/>
    </row>
    <row r="16" spans="1:16" s="54" customFormat="1" ht="13.5">
      <c r="B16" s="60" t="s">
        <v>314</v>
      </c>
      <c r="E16" s="54" t="s">
        <v>524</v>
      </c>
      <c r="F16" s="275"/>
      <c r="G16" s="54">
        <v>300</v>
      </c>
      <c r="H16" s="54">
        <v>300</v>
      </c>
      <c r="I16" s="66">
        <f t="shared" si="0"/>
        <v>0</v>
      </c>
      <c r="J16" s="99">
        <f>Jan!I16+Feb!I16+Mar!I16+Apr!I16+May!I16+Jun!I16+July!I16+Aug!I16+Sep!I16+Oct!I16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4">
        <v>200</v>
      </c>
      <c r="H17" s="54">
        <v>200</v>
      </c>
      <c r="I17" s="66">
        <f t="shared" si="0"/>
        <v>0</v>
      </c>
      <c r="J17" s="99">
        <f>Jan!I17+Feb!I17+Mar!I17+Apr!I17+May!I17+Jun!I17+July!I17+Aug!I17+Sep!I17+Oct!I17</f>
        <v>0</v>
      </c>
      <c r="K17" s="86"/>
    </row>
    <row r="18" spans="1:13" s="54" customFormat="1" ht="13.5">
      <c r="B18" s="60" t="s">
        <v>284</v>
      </c>
      <c r="E18" s="54" t="s">
        <v>525</v>
      </c>
      <c r="F18" s="275"/>
      <c r="G18" s="54">
        <v>50</v>
      </c>
      <c r="H18" s="54">
        <v>50</v>
      </c>
      <c r="I18" s="66">
        <f t="shared" si="0"/>
        <v>0</v>
      </c>
      <c r="J18" s="99">
        <f>Jan!I18+Feb!I18+Mar!I18+Apr!I18+May!I18+Jun!I18+July!I18+Aug!I18+Sep!I18+Oct!I18</f>
        <v>0</v>
      </c>
      <c r="K18" s="86"/>
    </row>
    <row r="19" spans="1:13" s="54" customFormat="1" ht="13.5">
      <c r="B19" s="60" t="s">
        <v>283</v>
      </c>
      <c r="E19" s="54" t="s">
        <v>525</v>
      </c>
      <c r="F19" s="275"/>
      <c r="G19" s="54">
        <v>200</v>
      </c>
      <c r="H19" s="54">
        <v>200</v>
      </c>
      <c r="I19" s="66">
        <f t="shared" si="0"/>
        <v>0</v>
      </c>
      <c r="J19" s="99">
        <f>Jan!I19+Feb!I19+Mar!I19+Apr!I19+May!I19+Jun!I19+July!I19+Aug!I19+Sep!I19+Oct!I19</f>
        <v>0</v>
      </c>
      <c r="K19" s="86"/>
    </row>
    <row r="20" spans="1:13" s="54" customFormat="1" ht="13.5">
      <c r="B20" s="60" t="s">
        <v>315</v>
      </c>
      <c r="E20" s="54" t="s">
        <v>525</v>
      </c>
      <c r="G20" s="54">
        <v>300</v>
      </c>
      <c r="H20" s="54">
        <v>300</v>
      </c>
      <c r="I20" s="66">
        <f t="shared" si="0"/>
        <v>0</v>
      </c>
      <c r="J20" s="99">
        <f>Jan!I20+Feb!I20+Mar!I20+Apr!I20+May!I20+Jun!I20+July!I20+Aug!I20+Sep!I20+Oct!I20</f>
        <v>0</v>
      </c>
      <c r="K20" s="86"/>
    </row>
    <row r="21" spans="1:13" s="54" customFormat="1" ht="13.5">
      <c r="A21" s="60"/>
      <c r="F21" s="275"/>
      <c r="I21" s="66"/>
      <c r="J21" s="99"/>
      <c r="K21" s="86"/>
      <c r="L21" s="60" t="s">
        <v>559</v>
      </c>
    </row>
    <row r="22" spans="1:13" s="54" customFormat="1" ht="13.5">
      <c r="A22" s="60" t="s">
        <v>300</v>
      </c>
      <c r="B22" s="278">
        <f>G22</f>
        <v>700</v>
      </c>
      <c r="F22" s="275"/>
      <c r="G22" s="54">
        <v>700</v>
      </c>
      <c r="H22" s="54">
        <v>700</v>
      </c>
      <c r="I22" s="66">
        <f>H22-G22</f>
        <v>0</v>
      </c>
      <c r="J22" s="99">
        <f>Jan!I22+Feb!I22+Mar!I22+Apr!I22+May!I22+Jun!I22+July!I22+Aug!I22+Sep!I22+Oct!I22</f>
        <v>0</v>
      </c>
      <c r="K22" s="86"/>
    </row>
    <row r="23" spans="1:13" s="54" customFormat="1" ht="13.5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3.5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3.5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Jan!I25+Feb!I25+Mar!I25+Apr!I25+May!I25+Jun!I25+July!I25+Aug!I25+Sep!I25+Oct!I25</f>
        <v>5000</v>
      </c>
      <c r="K25" s="86"/>
    </row>
    <row r="26" spans="1:13" s="54" customFormat="1" ht="13.5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Jan!I26+Feb!I26+Mar!I26+Apr!I26+May!I26+Jun!I26+July!I26+Aug!I26+Sep!I26+Oct!I26</f>
        <v>3000</v>
      </c>
      <c r="K26" s="86"/>
    </row>
    <row r="27" spans="1:13" s="54" customFormat="1" ht="13.5">
      <c r="A27" s="60"/>
      <c r="F27" s="275"/>
      <c r="G27" s="68"/>
      <c r="H27" s="68"/>
      <c r="I27" s="70"/>
      <c r="J27" s="81"/>
      <c r="K27" s="81"/>
    </row>
    <row r="28" spans="1:13" s="54" customFormat="1" ht="14.25" thickBot="1">
      <c r="A28" s="60"/>
      <c r="B28" s="60"/>
      <c r="F28" s="275"/>
      <c r="G28" s="69">
        <f>SUM(G11:G26)</f>
        <v>4080</v>
      </c>
      <c r="H28" s="69">
        <f>SUM(H11:H26)</f>
        <v>4750</v>
      </c>
      <c r="I28" s="69">
        <f>SUM(I11:I26)</f>
        <v>670</v>
      </c>
      <c r="J28" s="69">
        <f>SUM(J11:J26)</f>
        <v>7280</v>
      </c>
      <c r="K28" s="87"/>
    </row>
    <row r="29" spans="1:13" s="54" customFormat="1" ht="15" thickTop="1" thickBot="1">
      <c r="H29" s="58"/>
      <c r="I29" s="58"/>
      <c r="J29" s="58"/>
      <c r="K29" s="87"/>
      <c r="L29" s="60" t="s">
        <v>560</v>
      </c>
    </row>
    <row r="30" spans="1:13" s="54" customFormat="1" ht="14.25" thickBot="1">
      <c r="A30" s="60" t="s">
        <v>305</v>
      </c>
      <c r="B30" s="60"/>
      <c r="F30" s="275"/>
      <c r="G30" s="95"/>
      <c r="H30" s="58"/>
      <c r="I30" s="58"/>
      <c r="J30" s="58"/>
      <c r="K30" s="87"/>
      <c r="L30" s="54" t="s">
        <v>1095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8034.6100000000006</v>
      </c>
      <c r="H31" s="58"/>
      <c r="I31" s="58"/>
      <c r="J31" s="58"/>
      <c r="K31" s="87"/>
      <c r="L31" s="58" t="s">
        <v>1096</v>
      </c>
      <c r="M31" s="54" t="s">
        <v>1097</v>
      </c>
    </row>
    <row r="32" spans="1:13" s="54" customFormat="1" ht="13.5">
      <c r="A32" s="54" t="s">
        <v>536</v>
      </c>
      <c r="B32" s="106"/>
      <c r="C32" s="56"/>
      <c r="D32" s="56"/>
      <c r="E32" s="56"/>
      <c r="F32" s="280"/>
      <c r="G32" s="282">
        <f>G46</f>
        <v>11216.289999999999</v>
      </c>
      <c r="H32" s="58"/>
      <c r="I32" s="58"/>
      <c r="J32" s="58"/>
      <c r="K32" s="87"/>
      <c r="L32" s="58"/>
    </row>
    <row r="33" spans="1:14" s="54" customFormat="1" ht="13.5">
      <c r="A33" s="60" t="s">
        <v>655</v>
      </c>
      <c r="B33" s="60"/>
      <c r="F33" s="275"/>
      <c r="G33" s="80">
        <f>G31-G32-M42</f>
        <v>-3181.6799999999985</v>
      </c>
      <c r="H33" s="58"/>
      <c r="I33" s="58"/>
      <c r="J33" s="58"/>
      <c r="K33" s="87"/>
      <c r="L33" s="58"/>
    </row>
    <row r="34" spans="1:14" s="54" customFormat="1" ht="13.5">
      <c r="H34" s="58"/>
      <c r="I34" s="58"/>
      <c r="J34" s="58"/>
      <c r="K34" s="87"/>
      <c r="L34" s="58"/>
    </row>
    <row r="35" spans="1:14" s="54" customFormat="1" ht="13.5">
      <c r="A35" s="60" t="s">
        <v>527</v>
      </c>
      <c r="B35" s="60"/>
      <c r="E35" s="54">
        <f>B47</f>
        <v>788.45</v>
      </c>
      <c r="F35" s="275"/>
      <c r="G35" s="135"/>
      <c r="H35" s="58"/>
      <c r="I35" s="58"/>
      <c r="J35" s="58"/>
      <c r="K35" s="87"/>
      <c r="L35" s="58"/>
    </row>
    <row r="36" spans="1:14" s="54" customFormat="1" ht="13.5">
      <c r="A36" s="60" t="s">
        <v>491</v>
      </c>
      <c r="B36" s="60"/>
      <c r="E36" s="54">
        <f>B76</f>
        <v>8895.2099999999991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9.9700000000000006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89.19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107.28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283.45</v>
      </c>
      <c r="F41" s="275"/>
      <c r="G41" s="105"/>
      <c r="H41" s="58"/>
      <c r="I41" s="58"/>
      <c r="J41" s="58"/>
      <c r="K41" s="87"/>
      <c r="L41" s="95"/>
      <c r="M41" s="54">
        <f>M46+M44+M43-M42</f>
        <v>2713.27</v>
      </c>
      <c r="N41" s="54">
        <f>N46-N42</f>
        <v>481.54999999999995</v>
      </c>
    </row>
    <row r="42" spans="1:14" s="54" customFormat="1" ht="13.5">
      <c r="B42" s="60" t="s">
        <v>533</v>
      </c>
      <c r="C42" s="61"/>
      <c r="D42" s="61">
        <f>B130</f>
        <v>125.9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1388.0900000000001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1319.63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11216.289999999999</v>
      </c>
      <c r="H46" s="101">
        <f>SUM(H48:H162)</f>
        <v>6673</v>
      </c>
      <c r="I46" s="101">
        <f>H46-G46</f>
        <v>-4543.2899999999991</v>
      </c>
      <c r="J46" s="101">
        <f>SUM(J48:J162)</f>
        <v>4433.2099999999991</v>
      </c>
      <c r="K46" s="88"/>
      <c r="L46" s="92">
        <f>SUM(L48:L162)</f>
        <v>8171.4699999999993</v>
      </c>
      <c r="M46" s="92">
        <f>SUM(M48:M162)</f>
        <v>2563.27</v>
      </c>
      <c r="N46" s="92">
        <f>SUM(N48:N162)</f>
        <v>481.54999999999995</v>
      </c>
    </row>
    <row r="47" spans="1:14" s="54" customFormat="1" ht="14.25" thickBot="1">
      <c r="A47" s="106" t="s">
        <v>492</v>
      </c>
      <c r="B47" s="273">
        <f>B48+B61+B65</f>
        <v>788.45</v>
      </c>
      <c r="C47" s="273">
        <f>C48+C61+C65</f>
        <v>1378</v>
      </c>
      <c r="D47" s="95">
        <f>D48+D61+D65</f>
        <v>589.54999999999984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5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Jan!I49+Feb!I49+Mar!I49+Apr!I49+May!I49+Jun!I49+July!I49+Aug!I49+Sep!I49+Oct!I49</f>
        <v>0</v>
      </c>
      <c r="K49" s="84"/>
      <c r="L49" s="41"/>
      <c r="M49" s="42"/>
      <c r="N49" s="42"/>
    </row>
    <row r="50" spans="1:15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Jan!I50+Feb!I50+Mar!I50+Apr!I50+May!I50+Jun!I50+July!I50+Aug!I50+Sep!I50+Oct!I50</f>
        <v>1000</v>
      </c>
      <c r="K50" s="84"/>
      <c r="L50" s="41"/>
      <c r="M50" s="42"/>
      <c r="N50" s="42"/>
      <c r="O50" s="127"/>
    </row>
    <row r="51" spans="1:15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Jan!I51+Feb!I51+Mar!I51+Apr!I51+May!I51+Jun!I51+July!I51+Aug!I51+Sep!I51+Oct!I51</f>
        <v>990.36</v>
      </c>
      <c r="K51" s="84"/>
      <c r="L51" s="41"/>
      <c r="M51" s="42"/>
      <c r="N51" s="42"/>
    </row>
    <row r="52" spans="1:15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Jan!I52+Feb!I52+Mar!I52+Apr!I52+May!I52+Jun!I52+July!I52+Aug!I52+Sep!I52+Oct!I52</f>
        <v>1000</v>
      </c>
      <c r="K52" s="84"/>
      <c r="L52" s="41"/>
      <c r="M52" s="42"/>
      <c r="N52" s="42"/>
    </row>
    <row r="53" spans="1:15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Jan!I53+Feb!I53+Mar!I53+Apr!I53+May!I53+Jun!I53+July!I53+Aug!I53+Sep!I53+Oct!I53</f>
        <v>0.3999999999996362</v>
      </c>
      <c r="K53" s="84"/>
      <c r="L53" s="41">
        <v>553.96</v>
      </c>
      <c r="M53" s="42"/>
      <c r="N53" s="42"/>
    </row>
    <row r="54" spans="1:15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Jan!I54+Feb!I54+Mar!I54+Apr!I54+May!I54+Jun!I54+July!I54+Aug!I54+Sep!I54+Oct!I54</f>
        <v>-110</v>
      </c>
      <c r="K54" s="84"/>
      <c r="L54" s="41"/>
      <c r="M54" s="42"/>
      <c r="N54" s="42"/>
    </row>
    <row r="55" spans="1:15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Jan!I55+Feb!I55+Mar!I55+Apr!I55+May!I55+Jun!I55+July!I55+Aug!I55+Sep!I55+Oct!I55</f>
        <v>-39.960000000000491</v>
      </c>
      <c r="K55" s="84"/>
      <c r="L55" s="41">
        <v>1694.15</v>
      </c>
      <c r="M55" s="42"/>
      <c r="N55" s="42"/>
    </row>
    <row r="56" spans="1:15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Jan!I56+Feb!I56+Mar!I56+Apr!I56+May!I56+Jun!I56+July!I56+Aug!I56+Sep!I56+Oct!I56</f>
        <v>39.959999999999809</v>
      </c>
      <c r="K56" s="84"/>
      <c r="L56" s="41">
        <v>305.85000000000002</v>
      </c>
      <c r="M56" s="42"/>
      <c r="N56" s="42"/>
    </row>
    <row r="57" spans="1:15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Jan!I57+Feb!I57+Mar!I57+Apr!I57+May!I57+Jun!I57+July!I57+Aug!I57+Sep!I57+Oct!I57</f>
        <v>240</v>
      </c>
      <c r="K57" s="84"/>
      <c r="L57" s="41">
        <v>-2060</v>
      </c>
      <c r="M57" s="42"/>
      <c r="N57" s="42"/>
    </row>
    <row r="58" spans="1:15" s="54" customFormat="1" ht="13.5">
      <c r="H58" s="54">
        <v>2000</v>
      </c>
      <c r="I58" s="63"/>
      <c r="J58" s="97"/>
      <c r="K58" s="84"/>
      <c r="L58" s="41"/>
      <c r="M58" s="42"/>
      <c r="N58" s="42"/>
    </row>
    <row r="59" spans="1:15" s="54" customFormat="1" ht="13.5">
      <c r="I59" s="63"/>
      <c r="J59" s="97"/>
      <c r="K59" s="84"/>
      <c r="L59" s="41"/>
      <c r="M59" s="42"/>
      <c r="N59" s="42"/>
    </row>
    <row r="60" spans="1:15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5" s="54" customFormat="1" ht="13.5">
      <c r="A61" s="60"/>
      <c r="B61" s="60">
        <f>SUM(G62:G63)</f>
        <v>143.68</v>
      </c>
      <c r="C61" s="60">
        <f>SUM(H62:H63)</f>
        <v>167</v>
      </c>
      <c r="D61" s="60">
        <f>C61-B61</f>
        <v>23.319999999999993</v>
      </c>
      <c r="I61" s="63"/>
      <c r="J61" s="97"/>
      <c r="K61" s="84"/>
      <c r="L61" s="41"/>
      <c r="M61" s="42"/>
      <c r="N61" s="42"/>
    </row>
    <row r="62" spans="1:15" s="54" customFormat="1" ht="13.5">
      <c r="A62" s="60"/>
      <c r="B62" s="54" t="s">
        <v>489</v>
      </c>
      <c r="G62" s="54">
        <f t="shared" ref="G62:G119" si="3">SUM(L62:N62)</f>
        <v>69.16</v>
      </c>
      <c r="H62" s="54">
        <v>67</v>
      </c>
      <c r="I62" s="63">
        <f t="shared" ref="I62:I123" si="4">H62-G62</f>
        <v>-2.1599999999999966</v>
      </c>
      <c r="J62" s="97">
        <f>Jan!I62+Feb!I62+Mar!I62+Apr!I62+May!I62+Jun!I62+July!I62+Aug!I62+Sep!I62+Oct!I62</f>
        <v>-17.560000000000002</v>
      </c>
      <c r="K62" s="84"/>
      <c r="L62" s="41"/>
      <c r="M62" s="42">
        <v>69.16</v>
      </c>
      <c r="N62" s="42"/>
    </row>
    <row r="63" spans="1:15" s="54" customFormat="1" ht="13.5">
      <c r="A63" s="60"/>
      <c r="B63" s="54" t="s">
        <v>490</v>
      </c>
      <c r="D63" s="67"/>
      <c r="G63" s="54">
        <f t="shared" si="3"/>
        <v>74.52</v>
      </c>
      <c r="H63" s="54">
        <v>100</v>
      </c>
      <c r="I63" s="63">
        <f t="shared" si="4"/>
        <v>25.480000000000004</v>
      </c>
      <c r="J63" s="97">
        <f>Jan!I63+Feb!I63+Mar!I63+Apr!I63+May!I63+Jun!I63+July!I63+Aug!I63+Sep!I63+Oct!I63</f>
        <v>43.739999999999981</v>
      </c>
      <c r="K63" s="84"/>
      <c r="L63" s="41"/>
      <c r="M63" s="42">
        <v>74.52</v>
      </c>
      <c r="N63" s="42"/>
    </row>
    <row r="64" spans="1:15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150.81</v>
      </c>
      <c r="C65" s="60">
        <f>SUM(H66:H74)</f>
        <v>300</v>
      </c>
      <c r="D65" s="60">
        <f>C65-B65</f>
        <v>149.19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67.069999999999993</v>
      </c>
      <c r="H66" s="54">
        <v>60</v>
      </c>
      <c r="I66" s="63">
        <f t="shared" si="4"/>
        <v>-7.0699999999999932</v>
      </c>
      <c r="J66" s="97">
        <f>Jan!I66+Feb!I66+Mar!I66+Apr!I66+May!I66+Jun!I66+July!I66+Aug!I66+Sep!I66+Oct!I66</f>
        <v>76.34</v>
      </c>
      <c r="K66" s="84"/>
      <c r="L66" s="41"/>
      <c r="M66" s="42">
        <v>67.069999999999993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46.5</v>
      </c>
      <c r="H67" s="54">
        <v>130</v>
      </c>
      <c r="I67" s="63">
        <f t="shared" si="4"/>
        <v>83.5</v>
      </c>
      <c r="J67" s="97">
        <f>Jan!I67+Feb!I67+Mar!I67+Apr!I67+May!I67+Jun!I67+July!I67+Aug!I67+Sep!I67+Oct!I67</f>
        <v>3.0400000000000063</v>
      </c>
      <c r="K67" s="84"/>
      <c r="L67" s="41"/>
      <c r="M67" s="42">
        <v>46.5</v>
      </c>
      <c r="N67" s="42"/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0</v>
      </c>
      <c r="H70" s="54">
        <v>25</v>
      </c>
      <c r="I70" s="63">
        <f t="shared" si="4"/>
        <v>25</v>
      </c>
      <c r="J70" s="97">
        <f>Jan!I70+Feb!I70+Mar!I70+Apr!I70+May!I70+Jun!I70+July!I70+Aug!I70+Sep!I70+Oct!I70</f>
        <v>-14.100000000000009</v>
      </c>
      <c r="K70" s="84"/>
      <c r="L70" s="41"/>
      <c r="M70" s="42"/>
      <c r="N70" s="42"/>
    </row>
    <row r="71" spans="1:15" s="54" customFormat="1" ht="13.5">
      <c r="A71" s="60"/>
      <c r="B71" s="54" t="s">
        <v>483</v>
      </c>
      <c r="G71" s="54">
        <f t="shared" si="3"/>
        <v>14.99</v>
      </c>
      <c r="H71" s="54">
        <v>30</v>
      </c>
      <c r="I71" s="63">
        <f t="shared" si="4"/>
        <v>15.01</v>
      </c>
      <c r="J71" s="97">
        <f>Jan!I71+Feb!I71+Mar!I71+Apr!I71+May!I71+Jun!I71+July!I71+Aug!I71+Sep!I71+Oct!I71</f>
        <v>-739.84</v>
      </c>
      <c r="K71" s="84"/>
      <c r="L71" s="41"/>
      <c r="M71" s="42">
        <v>14.99</v>
      </c>
      <c r="N71" s="42"/>
    </row>
    <row r="72" spans="1:15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Jan!I72+Feb!I72+Mar!I72+Apr!I72+May!I72+Jun!I72+July!I72+Aug!I72+Sep!I72+Oct!I72</f>
        <v>53.610000000000007</v>
      </c>
      <c r="K72" s="84"/>
      <c r="L72" s="41"/>
      <c r="M72" s="42"/>
      <c r="N72" s="42"/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22.25</v>
      </c>
      <c r="H74" s="54">
        <v>35</v>
      </c>
      <c r="I74" s="63">
        <f t="shared" si="4"/>
        <v>12.75</v>
      </c>
      <c r="J74" s="97">
        <f>Jan!I74+Feb!I74+Mar!I74+Apr!I74+May!I74+Jun!I74+July!I74+Aug!I74+Sep!I74+Oct!I74</f>
        <v>163.72999999999999</v>
      </c>
      <c r="K74" s="84"/>
      <c r="L74" s="41"/>
      <c r="M74" s="42">
        <v>22.25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8895.2099999999991</v>
      </c>
      <c r="C76" s="151">
        <f>C78+C82+C88+C93+C102+C107+C112+C117+C130+C133+C138+C141</f>
        <v>2885</v>
      </c>
      <c r="D76" s="151">
        <f>D78+D82+D88+D93+D102+D107+D112+D117+D130+D133+D138+D141</f>
        <v>881.12000000000012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1033</v>
      </c>
      <c r="B78" s="60">
        <f>SUM(G79:G80)</f>
        <v>6891.33</v>
      </c>
      <c r="C78" s="60">
        <f>SUM(H79:H80)</f>
        <v>0</v>
      </c>
      <c r="D78" s="60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5" s="54" customFormat="1" ht="13.5">
      <c r="A80" s="60"/>
      <c r="B80" s="54" t="s">
        <v>479</v>
      </c>
      <c r="G80" s="54">
        <f>SUM(L80:N80)</f>
        <v>6891.33</v>
      </c>
      <c r="I80" s="63"/>
      <c r="J80" s="97"/>
      <c r="K80" s="84"/>
      <c r="L80" s="41">
        <f>3400+3500</f>
        <v>6900</v>
      </c>
      <c r="M80" s="42">
        <v>-8.67</v>
      </c>
      <c r="N80" s="42"/>
      <c r="O80" s="54" t="s">
        <v>1099</v>
      </c>
    </row>
    <row r="81" spans="1:15" s="54" customFormat="1" ht="13.5">
      <c r="A81" s="60"/>
      <c r="B81" s="54" t="s">
        <v>1098</v>
      </c>
      <c r="G81" s="54">
        <f>SUM(L81:N81)</f>
        <v>213</v>
      </c>
      <c r="I81" s="63"/>
      <c r="J81" s="97"/>
      <c r="K81" s="84"/>
      <c r="L81" s="41">
        <v>111.22</v>
      </c>
      <c r="M81" s="42">
        <v>101.78</v>
      </c>
      <c r="N81" s="42"/>
      <c r="O81" s="54" t="s">
        <v>1100</v>
      </c>
    </row>
    <row r="82" spans="1:15" s="54" customFormat="1" ht="13.5">
      <c r="A82" s="60" t="s">
        <v>42</v>
      </c>
      <c r="B82" s="60">
        <f>SUM(G83:G86)</f>
        <v>89.19</v>
      </c>
      <c r="C82" s="60">
        <f>SUM(H83:H86)</f>
        <v>395</v>
      </c>
      <c r="D82" s="60">
        <f>C82-B82</f>
        <v>305.81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89.19</v>
      </c>
      <c r="H83" s="54">
        <v>125</v>
      </c>
      <c r="I83" s="63">
        <f t="shared" si="4"/>
        <v>35.81</v>
      </c>
      <c r="J83" s="97">
        <f>Jan!I83+Feb!I83+Mar!I83+Apr!I83+May!I83+Jun!I83+July!I83+Aug!I83+Sep!I83+Oct!I83</f>
        <v>38.819999999999993</v>
      </c>
      <c r="K83" s="84"/>
      <c r="L83" s="41">
        <v>89.19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Jan!I84+Feb!I84+Mar!I84+Apr!I84+May!I84+Jun!I84+July!I84+Aug!I84+Sep!I84+Oct!I84</f>
        <v>223.54999999999998</v>
      </c>
      <c r="K84" s="84"/>
      <c r="L84" s="41"/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Jan!I85+Feb!I85+Mar!I85+Apr!I85+May!I85+Jun!I85+July!I85+Aug!I85+Sep!I85+Oct!I85</f>
        <v>-185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Jan!I86+Feb!I86+Mar!I86+Apr!I86+May!I86+Jun!I86+July!I86+Aug!I86+Sep!I86+Oct!I86</f>
        <v>-213.64999999999998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Jan!I89+Feb!I89+Mar!I89+Apr!I89+May!I89+Jun!I89+July!I89+Aug!I89+Sep!I89+Oct!I89</f>
        <v>-327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Jan!I90+Feb!I90+Mar!I90+Apr!I90+May!I90+Jun!I90+July!I90+Aug!I90+Sep!I90+Oct!I90</f>
        <v>685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Jan!I91+Feb!I91+Mar!I91+Apr!I91+May!I91+Jun!I91+July!I91+Aug!I91+Sep!I91+Oct!I91</f>
        <v>-72.819999999999993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9.9700000000000006</v>
      </c>
      <c r="C93" s="60">
        <f>SUM(H94:H100)</f>
        <v>178</v>
      </c>
      <c r="D93" s="60">
        <f>C93-B93</f>
        <v>168.03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9.9700000000000006</v>
      </c>
      <c r="H94" s="54">
        <v>20</v>
      </c>
      <c r="I94" s="63">
        <f t="shared" si="4"/>
        <v>10.029999999999999</v>
      </c>
      <c r="J94" s="97">
        <f>Jan!I94+Feb!I94+Mar!I94+Apr!I94+May!I94+Jun!I94+July!I94+Aug!I94+Sep!I94+Oct!I94</f>
        <v>57.47</v>
      </c>
      <c r="K94" s="84"/>
      <c r="L94" s="41"/>
      <c r="M94" s="42">
        <v>9.9700000000000006</v>
      </c>
      <c r="N94" s="42"/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Jan!I95+Feb!I95+Mar!I95+Apr!I95+May!I95+Jun!I95+July!I95+Aug!I95+Sep!I95+Oct!I95</f>
        <v>21.6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Jan!I96+Feb!I96+Mar!I96+Apr!I96+May!I96+Jun!I96+July!I96+Aug!I96+Sep!I96+Oct!I96</f>
        <v>132.52999999999997</v>
      </c>
      <c r="K96" s="84"/>
      <c r="L96" s="41"/>
      <c r="M96" s="42"/>
      <c r="N96" s="42"/>
    </row>
    <row r="97" spans="1:14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Jan!I97+Feb!I97+Mar!I97+Apr!I97+May!I97+Jun!I97+July!I97+Aug!I97+Sep!I97+Oct!I97</f>
        <v>37.31</v>
      </c>
      <c r="K97" s="84"/>
      <c r="L97" s="41"/>
      <c r="M97" s="42"/>
      <c r="N97" s="42"/>
    </row>
    <row r="98" spans="1:14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Jan!I98+Feb!I98+Mar!I98+Apr!I98+May!I98+Jun!I98+July!I98+Aug!I98+Sep!I98+Oct!I98</f>
        <v>-323.05</v>
      </c>
      <c r="K98" s="84"/>
      <c r="L98" s="41"/>
      <c r="M98" s="42"/>
      <c r="N98" s="42"/>
    </row>
    <row r="99" spans="1:14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Jan!I99+Feb!I99+Mar!I99+Apr!I99+May!I99+Jun!I99+July!I99+Aug!I99+Sep!I99+Oct!I99</f>
        <v>260</v>
      </c>
      <c r="K99" s="84"/>
      <c r="L99" s="41"/>
      <c r="M99" s="42"/>
      <c r="N99" s="42"/>
    </row>
    <row r="100" spans="1:14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Jan!I100+Feb!I100+Mar!I100+Apr!I100+May!I100+Jun!I100+July!I100+Aug!I100+Sep!I100+Oct!I100</f>
        <v>83.02000000000001</v>
      </c>
      <c r="K100" s="84"/>
      <c r="L100" s="41"/>
      <c r="M100" s="42"/>
      <c r="N100" s="42"/>
    </row>
    <row r="101" spans="1:14" s="54" customFormat="1" ht="13.5">
      <c r="I101" s="63"/>
      <c r="J101" s="97"/>
      <c r="K101" s="84"/>
      <c r="L101" s="41"/>
      <c r="M101" s="42"/>
      <c r="N101" s="42"/>
    </row>
    <row r="102" spans="1:14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/>
      <c r="K102" s="84"/>
      <c r="L102" s="41"/>
      <c r="M102" s="42"/>
      <c r="N102" s="42"/>
    </row>
    <row r="103" spans="1:14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Jan!I103+Feb!I103+Mar!I103+Apr!I103+May!I103+Jun!I103+July!I103+Aug!I103+Sep!I103+Oct!I103</f>
        <v>208.64</v>
      </c>
      <c r="K103" s="84"/>
      <c r="L103" s="41"/>
      <c r="M103" s="42"/>
      <c r="N103" s="42"/>
    </row>
    <row r="104" spans="1:14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Jan!I104+Feb!I104+Mar!I104+Apr!I104+May!I104+Jun!I104+July!I104+Aug!I104+Sep!I104+Oct!I104</f>
        <v>538.80999999999995</v>
      </c>
      <c r="K104" s="84"/>
      <c r="L104" s="41"/>
      <c r="M104" s="42"/>
      <c r="N104" s="42"/>
    </row>
    <row r="105" spans="1:14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Jan!I105+Feb!I105+Mar!I105+Apr!I105+May!I105+Jun!I105+July!I105+Aug!I105+Sep!I105+Oct!I105</f>
        <v>100</v>
      </c>
      <c r="K105" s="84"/>
      <c r="L105" s="41"/>
      <c r="M105" s="42"/>
      <c r="N105" s="42"/>
    </row>
    <row r="106" spans="1:14" s="54" customFormat="1" ht="13.5">
      <c r="I106" s="63"/>
      <c r="J106" s="97"/>
      <c r="K106" s="84"/>
      <c r="L106" s="41"/>
      <c r="M106" s="42"/>
      <c r="N106" s="42"/>
    </row>
    <row r="107" spans="1:14" s="54" customFormat="1" ht="13.5">
      <c r="A107" s="60" t="s">
        <v>56</v>
      </c>
      <c r="B107" s="60">
        <f>SUM(G108:G110)</f>
        <v>107.28</v>
      </c>
      <c r="C107" s="60">
        <f>SUM(H108:H110)</f>
        <v>225</v>
      </c>
      <c r="D107" s="60">
        <f>C107-B107</f>
        <v>117.72</v>
      </c>
      <c r="I107" s="63"/>
      <c r="J107" s="97"/>
      <c r="K107" s="84"/>
      <c r="L107" s="41"/>
      <c r="M107" s="42"/>
      <c r="N107" s="42"/>
    </row>
    <row r="108" spans="1:14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Jan!I108+Feb!I108+Mar!I108+Apr!I108+May!I108+Jun!I108+July!I108+Aug!I108+Sep!I108+Oct!I108</f>
        <v>377.78</v>
      </c>
      <c r="K108" s="84"/>
      <c r="L108" s="41"/>
      <c r="M108" s="42"/>
      <c r="N108" s="42"/>
    </row>
    <row r="109" spans="1:14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Jan!I109+Feb!I109+Mar!I109+Apr!I109+May!I109+Jun!I109+July!I109+Aug!I109+Sep!I109+Oct!I109</f>
        <v>16.600000000000023</v>
      </c>
      <c r="K109" s="84"/>
      <c r="L109" s="41"/>
      <c r="M109" s="42"/>
      <c r="N109" s="42"/>
    </row>
    <row r="110" spans="1:14" s="54" customFormat="1" ht="13.5">
      <c r="B110" s="56" t="s">
        <v>502</v>
      </c>
      <c r="G110" s="54">
        <f t="shared" si="3"/>
        <v>107.28</v>
      </c>
      <c r="H110" s="54">
        <v>110</v>
      </c>
      <c r="I110" s="63">
        <f t="shared" si="4"/>
        <v>2.7199999999999989</v>
      </c>
      <c r="J110" s="97">
        <f>Jan!I110+Feb!I110+Mar!I110+Apr!I110+May!I110+Jun!I110+July!I110+Aug!I110+Sep!I110+Oct!I110</f>
        <v>-52.5</v>
      </c>
      <c r="K110" s="84"/>
      <c r="L110" s="41"/>
      <c r="M110" s="42">
        <v>107.28</v>
      </c>
      <c r="N110" s="42"/>
    </row>
    <row r="111" spans="1:14" s="54" customFormat="1" ht="13.5">
      <c r="I111" s="63"/>
      <c r="J111" s="97"/>
      <c r="K111" s="84"/>
      <c r="L111" s="41"/>
      <c r="M111" s="42"/>
      <c r="N111" s="42"/>
    </row>
    <row r="112" spans="1:14" s="54" customFormat="1" ht="13.5">
      <c r="A112" s="60" t="s">
        <v>62</v>
      </c>
      <c r="B112" s="60">
        <f>SUM(G113:G115)</f>
        <v>283.45</v>
      </c>
      <c r="C112" s="60">
        <f>SUM(H113:H115)</f>
        <v>415</v>
      </c>
      <c r="D112" s="60">
        <f>C112-B112</f>
        <v>131.55000000000001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Jan!I113+Feb!I113+Mar!I113+Apr!I113+May!I113+Jun!I113+July!I113+Aug!I113+Sep!I113+Oct!I113</f>
        <v>1329.6499999999999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170</v>
      </c>
      <c r="H114" s="54">
        <v>215</v>
      </c>
      <c r="I114" s="63">
        <f t="shared" si="4"/>
        <v>45</v>
      </c>
      <c r="J114" s="97">
        <f>Jan!I114+Feb!I114+Mar!I114+Apr!I114+May!I114+Jun!I114+July!I114+Aug!I114+Sep!I114+Oct!I114</f>
        <v>240</v>
      </c>
      <c r="K114" s="84"/>
      <c r="L114" s="41">
        <v>170</v>
      </c>
      <c r="M114" s="42"/>
      <c r="N114" s="42"/>
    </row>
    <row r="115" spans="1:15" s="54" customFormat="1" ht="13.5">
      <c r="A115" s="60"/>
      <c r="B115" s="54" t="s">
        <v>526</v>
      </c>
      <c r="G115" s="54">
        <f t="shared" si="3"/>
        <v>113.45</v>
      </c>
      <c r="H115" s="54">
        <v>50</v>
      </c>
      <c r="I115" s="63">
        <f t="shared" si="4"/>
        <v>-63.45</v>
      </c>
      <c r="J115" s="97">
        <f>Jan!I115+Feb!I115+Mar!I115+Apr!I115+May!I115+Jun!I115+July!I115+Aug!I115+Sep!I115+Oct!I115</f>
        <v>-24.410000000000011</v>
      </c>
      <c r="K115" s="84"/>
      <c r="L115" s="41">
        <v>75</v>
      </c>
      <c r="M115" s="42">
        <v>38.450000000000003</v>
      </c>
      <c r="N115" s="42"/>
      <c r="O115" s="54" t="s">
        <v>1101</v>
      </c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1188.69</v>
      </c>
      <c r="C117" s="60">
        <f>SUM(H118:H128)</f>
        <v>750</v>
      </c>
      <c r="D117" s="60">
        <f>C117-B117</f>
        <v>-438.69000000000005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500</v>
      </c>
      <c r="H118" s="54">
        <v>100</v>
      </c>
      <c r="I118" s="63">
        <f t="shared" si="4"/>
        <v>-400</v>
      </c>
      <c r="J118" s="97">
        <f>Jan!I118+Feb!I118+Mar!I118+Apr!I118+May!I118+Jun!I118+July!I118+Aug!I118+Sep!I118+Oct!I118</f>
        <v>-792</v>
      </c>
      <c r="K118" s="84"/>
      <c r="L118" s="41">
        <f>200+100+200</f>
        <v>500</v>
      </c>
      <c r="M118" s="42"/>
      <c r="N118" s="42"/>
      <c r="O118" s="415" t="s">
        <v>1210</v>
      </c>
    </row>
    <row r="119" spans="1:15" s="54" customFormat="1" ht="14.25" thickBot="1">
      <c r="B119" s="54" t="s">
        <v>511</v>
      </c>
      <c r="G119" s="54">
        <f t="shared" si="3"/>
        <v>439.41999999999996</v>
      </c>
      <c r="H119" s="54">
        <v>500</v>
      </c>
      <c r="I119" s="63">
        <f t="shared" si="4"/>
        <v>60.580000000000041</v>
      </c>
      <c r="J119" s="97">
        <f>Jan!I119+Feb!I119+Mar!I119+Apr!I119+May!I119+Jun!I119+July!I119+Aug!I119+Sep!I119+Oct!I119</f>
        <v>-118.67999999999984</v>
      </c>
      <c r="K119" s="84"/>
      <c r="L119" s="41"/>
      <c r="M119" s="42">
        <v>69.83</v>
      </c>
      <c r="N119" s="42">
        <v>369.59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v>27.06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38.619999999999997</v>
      </c>
      <c r="H122" s="54">
        <v>40</v>
      </c>
      <c r="I122" s="63">
        <f t="shared" si="4"/>
        <v>1.3800000000000026</v>
      </c>
      <c r="J122" s="97">
        <f>Jan!I122+Feb!I122+Mar!I122+Apr!I122+May!I122+Jun!I122+July!I122+Aug!I122+Sep!I122+Oct!I122</f>
        <v>-48.609999999999978</v>
      </c>
      <c r="K122" s="84"/>
      <c r="L122" s="41"/>
      <c r="M122" s="42">
        <v>38.619999999999997</v>
      </c>
      <c r="N122" s="42"/>
    </row>
    <row r="123" spans="1:15" s="54" customFormat="1" ht="14.25" thickBot="1">
      <c r="B123" s="54" t="s">
        <v>55</v>
      </c>
      <c r="G123" s="54">
        <f>SUM(L123:N123)</f>
        <v>210.65</v>
      </c>
      <c r="H123" s="54">
        <v>100</v>
      </c>
      <c r="I123" s="63">
        <f t="shared" si="4"/>
        <v>-110.65</v>
      </c>
      <c r="J123" s="97">
        <f>Jan!I123+Feb!I123+Mar!I123+Apr!I123+May!I123+Jun!I123+July!I123+Aug!I123+Sep!I123+Oct!I123</f>
        <v>285.64</v>
      </c>
      <c r="K123" s="84"/>
      <c r="L123" s="41"/>
      <c r="M123" s="42">
        <v>155.68</v>
      </c>
      <c r="N123" s="42">
        <v>54.97</v>
      </c>
      <c r="O123" s="54" t="s">
        <v>1102</v>
      </c>
    </row>
    <row r="124" spans="1:15" s="54" customFormat="1" ht="14.25" thickBot="1">
      <c r="C124" s="273" t="s">
        <v>506</v>
      </c>
      <c r="D124" s="274"/>
      <c r="E124" s="95">
        <v>81.09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v>79.59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v>25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v>19.97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62" si="5">SUM(L128:N128)</f>
        <v>0</v>
      </c>
      <c r="H128" s="54">
        <v>10</v>
      </c>
      <c r="I128" s="63">
        <f t="shared" ref="I128:I143" si="6">H128-G128</f>
        <v>10</v>
      </c>
      <c r="J128" s="97">
        <f>Jan!I128+Feb!I128+Mar!I128+Apr!I128+May!I128+Jun!I128+July!I128+Aug!I128+Sep!I128+Oct!I128</f>
        <v>-76.17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125.9</v>
      </c>
      <c r="C130" s="60">
        <f>H131</f>
        <v>140</v>
      </c>
      <c r="D130" s="60">
        <f>I131</f>
        <v>14.099999999999994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125.9</v>
      </c>
      <c r="H131" s="54">
        <v>140</v>
      </c>
      <c r="I131" s="63">
        <f t="shared" si="6"/>
        <v>14.099999999999994</v>
      </c>
      <c r="J131" s="97">
        <f>Jan!I131+Feb!I131+Mar!I131+Apr!I131+May!I131+Jun!I131+July!I131+Aug!I131+Sep!I131+Oct!I131</f>
        <v>310.49</v>
      </c>
      <c r="K131" s="84"/>
      <c r="L131" s="41"/>
      <c r="M131" s="41">
        <v>125.9</v>
      </c>
      <c r="N131" s="42"/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42.23</v>
      </c>
      <c r="C133" s="60">
        <f>SUM(H134:H136)</f>
        <v>230</v>
      </c>
      <c r="D133" s="60">
        <f>C133-B133</f>
        <v>187.77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42.23</v>
      </c>
      <c r="H134" s="54">
        <v>100</v>
      </c>
      <c r="I134" s="63">
        <f t="shared" si="6"/>
        <v>57.77</v>
      </c>
      <c r="J134" s="97">
        <f>Jan!I134+Feb!I134+Mar!I134+Apr!I134+May!I134+Jun!I134+July!I134+Aug!I134+Sep!I134+Oct!I134</f>
        <v>84.779999999999973</v>
      </c>
      <c r="K134" s="84"/>
      <c r="L134" s="41"/>
      <c r="M134" s="41">
        <v>42.23</v>
      </c>
      <c r="N134" s="42"/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Jan!I135+Feb!I135+Mar!I135+Apr!I135+May!I135+Jun!I135+July!I135+Aug!I135+Sep!I135+Oct!I135</f>
        <v>1000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Jan!I136+Feb!I136+Mar!I136+Apr!I136+May!I136+Jun!I136+July!I136+Aug!I136+Sep!I136+Oct!I136</f>
        <v>291.02999999999997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Jan!I139+Feb!I139+Mar!I139+Apr!I139+May!I139+Jun!I139+July!I139+Aug!I139+Sep!I139+Oct!I139</f>
        <v>43.949999999999996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157.17000000000002</v>
      </c>
      <c r="C141" s="60">
        <f>SUM(H142:H143)</f>
        <v>250</v>
      </c>
      <c r="D141" s="60">
        <f>C141-B141</f>
        <v>92.829999999999984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36</v>
      </c>
      <c r="H142" s="54">
        <v>150</v>
      </c>
      <c r="I142" s="63">
        <f t="shared" si="6"/>
        <v>114</v>
      </c>
      <c r="J142" s="97">
        <f>Jan!I142+Feb!I142+Mar!I142+Apr!I142+May!I142+Jun!I142+July!I142+Aug!I142+Sep!I142+Oct!I142</f>
        <v>1402.63</v>
      </c>
      <c r="K142" s="84"/>
      <c r="L142" s="41"/>
      <c r="M142" s="41">
        <v>36</v>
      </c>
      <c r="N142" s="42"/>
      <c r="O142" s="54" t="s">
        <v>1103</v>
      </c>
    </row>
    <row r="143" spans="1:15" s="54" customFormat="1" ht="13.5">
      <c r="B143" s="54" t="s">
        <v>67</v>
      </c>
      <c r="D143" s="54" t="s">
        <v>291</v>
      </c>
      <c r="G143" s="54">
        <f t="shared" si="5"/>
        <v>121.17</v>
      </c>
      <c r="H143" s="54">
        <v>100</v>
      </c>
      <c r="I143" s="63">
        <f t="shared" si="6"/>
        <v>-21.17</v>
      </c>
      <c r="J143" s="97">
        <f>Jan!I143+Feb!I143+Mar!I143+Apr!I143+May!I143+Jun!I143+July!I143+Aug!I143+Sep!I143+Oct!I143</f>
        <v>625.69999999999993</v>
      </c>
      <c r="K143" s="89"/>
      <c r="L143" s="41"/>
      <c r="M143" s="41">
        <v>121.17</v>
      </c>
      <c r="N143" s="42"/>
      <c r="O143" s="54" t="s">
        <v>1104</v>
      </c>
    </row>
    <row r="144" spans="1:15" s="54" customFormat="1" ht="13.5">
      <c r="I144" s="63"/>
      <c r="J144" s="97"/>
      <c r="K144" s="89"/>
      <c r="L144" s="41"/>
      <c r="M144" s="41"/>
      <c r="N144" s="42"/>
    </row>
    <row r="145" spans="1:15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5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5" ht="13.5">
      <c r="A147" s="54"/>
      <c r="B147" s="54">
        <f>SUM(G148:G162)</f>
        <v>1319.63</v>
      </c>
      <c r="C147" s="54">
        <f>SUM(H148:H162)</f>
        <v>410</v>
      </c>
      <c r="D147" s="60">
        <f>C147-B147</f>
        <v>-909.63000000000011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5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5" ht="14.25" thickBot="1">
      <c r="A149" s="54"/>
      <c r="B149" s="54" t="s">
        <v>288</v>
      </c>
      <c r="C149" s="54"/>
      <c r="D149" s="54"/>
      <c r="E149" s="54"/>
      <c r="F149" s="54"/>
      <c r="G149" s="54">
        <f t="shared" si="5"/>
        <v>304.89999999999998</v>
      </c>
      <c r="H149" s="54">
        <v>100</v>
      </c>
      <c r="I149" s="63">
        <f t="shared" ref="I149:I162" si="7">H149-G149</f>
        <v>-204.89999999999998</v>
      </c>
      <c r="J149" s="97">
        <f>Jan!I149+Feb!I149+Mar!I149+Apr!I149+May!I149+Jun!I149+July!I149+Aug!I149+Sep!I149+Oct!I149</f>
        <v>190.08000000000004</v>
      </c>
      <c r="L149" s="41"/>
      <c r="M149" s="41">
        <v>304.89999999999998</v>
      </c>
      <c r="N149" s="42"/>
    </row>
    <row r="150" spans="1:15" ht="14.25" thickBot="1">
      <c r="A150" s="95">
        <f>SUM(G149:G153)</f>
        <v>819.63</v>
      </c>
      <c r="B150" s="54" t="s">
        <v>289</v>
      </c>
      <c r="C150" s="54"/>
      <c r="D150" s="54"/>
      <c r="E150" s="54"/>
      <c r="F150" s="54"/>
      <c r="G150" s="54">
        <f t="shared" si="5"/>
        <v>303.81</v>
      </c>
      <c r="H150" s="54">
        <v>100</v>
      </c>
      <c r="I150" s="63">
        <f t="shared" si="7"/>
        <v>-203.81</v>
      </c>
      <c r="J150" s="97">
        <f>Jan!I150+Feb!I150+Mar!I150+Apr!I150+May!I150+Jun!I150+July!I150+Aug!I150+Sep!I150+Oct!I150</f>
        <v>113.23000000000008</v>
      </c>
      <c r="L150" s="41">
        <v>100</v>
      </c>
      <c r="M150" s="41">
        <v>203.81</v>
      </c>
      <c r="N150" s="42"/>
    </row>
    <row r="151" spans="1:15" ht="13.5">
      <c r="A151" s="54"/>
      <c r="B151" s="54" t="s">
        <v>64</v>
      </c>
      <c r="C151" s="54"/>
      <c r="D151" s="54"/>
      <c r="E151" s="54"/>
      <c r="F151" s="54"/>
      <c r="G151" s="54">
        <f t="shared" si="5"/>
        <v>0</v>
      </c>
      <c r="H151" s="54">
        <v>30</v>
      </c>
      <c r="I151" s="63">
        <f t="shared" si="7"/>
        <v>30</v>
      </c>
      <c r="J151" s="97">
        <f>Jan!I151+Feb!I151+Mar!I151+Apr!I151+May!I151+Jun!I151+July!I151+Aug!I151+Sep!I151+Oct!I151</f>
        <v>60.5</v>
      </c>
      <c r="L151" s="41"/>
      <c r="M151" s="41"/>
      <c r="N151" s="42"/>
    </row>
    <row r="152" spans="1:15" ht="13.5">
      <c r="A152" s="54"/>
      <c r="B152" s="54" t="s">
        <v>65</v>
      </c>
      <c r="C152" s="54"/>
      <c r="D152" s="54"/>
      <c r="E152" s="54"/>
      <c r="F152" s="54"/>
      <c r="G152" s="54">
        <f t="shared" si="5"/>
        <v>210.92</v>
      </c>
      <c r="H152" s="54">
        <v>50</v>
      </c>
      <c r="I152" s="63">
        <f t="shared" si="7"/>
        <v>-160.91999999999999</v>
      </c>
      <c r="J152" s="97">
        <f>Jan!I152+Feb!I152+Mar!I152+Apr!I152+May!I152+Jun!I152+July!I152+Aug!I152+Sep!I152+Oct!I152</f>
        <v>169.08</v>
      </c>
      <c r="L152" s="41"/>
      <c r="M152" s="41">
        <v>210.92</v>
      </c>
      <c r="N152" s="42"/>
      <c r="O152" s="67" t="s">
        <v>1106</v>
      </c>
    </row>
    <row r="153" spans="1:15" ht="13.5">
      <c r="A153" s="54"/>
      <c r="B153" s="54" t="s">
        <v>545</v>
      </c>
      <c r="C153" s="54"/>
      <c r="D153" s="54"/>
      <c r="E153" s="54"/>
      <c r="F153" s="54"/>
      <c r="G153" s="54">
        <f t="shared" si="5"/>
        <v>0</v>
      </c>
      <c r="H153" s="54">
        <v>10</v>
      </c>
      <c r="I153" s="63">
        <f t="shared" si="7"/>
        <v>10</v>
      </c>
      <c r="J153" s="97">
        <f>Jan!I153+Feb!I153+Mar!I153+Apr!I153+May!I153+Jun!I153+July!I153+Aug!I153+Sep!I153+Oct!I153</f>
        <v>83.09</v>
      </c>
      <c r="L153" s="41"/>
      <c r="M153" s="41"/>
      <c r="N153" s="42"/>
    </row>
    <row r="154" spans="1:15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5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5" ht="14.25" thickBot="1">
      <c r="A156" s="54"/>
      <c r="B156" s="54" t="s">
        <v>514</v>
      </c>
      <c r="C156" s="54"/>
      <c r="D156" s="54"/>
      <c r="E156" s="54"/>
      <c r="F156" s="54"/>
      <c r="G156" s="54">
        <f t="shared" si="5"/>
        <v>0</v>
      </c>
      <c r="H156" s="54"/>
      <c r="I156" s="63">
        <f t="shared" si="7"/>
        <v>0</v>
      </c>
      <c r="J156" s="97">
        <f>Jan!I156+Feb!I156+Mar!I156+Apr!I156+May!I156+Jun!I156+July!I156+Aug!I156+Sep!I156+Oct!I156</f>
        <v>0</v>
      </c>
      <c r="L156" s="41"/>
      <c r="M156" s="41"/>
      <c r="N156" s="42"/>
    </row>
    <row r="157" spans="1:15" ht="14.25" thickBot="1">
      <c r="A157" s="95">
        <f>SUM(G156:G160)</f>
        <v>500</v>
      </c>
      <c r="B157" s="54" t="s">
        <v>515</v>
      </c>
      <c r="C157" s="54"/>
      <c r="D157" s="54"/>
      <c r="E157" s="54"/>
      <c r="F157" s="54"/>
      <c r="G157" s="54">
        <f t="shared" si="5"/>
        <v>0</v>
      </c>
      <c r="H157" s="54"/>
      <c r="I157" s="63">
        <f t="shared" si="7"/>
        <v>0</v>
      </c>
      <c r="J157" s="97">
        <f>Jan!I157+Feb!I157+Mar!I157+Apr!I157+May!I157+Jun!I157+July!I157+Aug!I157+Sep!I157+Oct!I157</f>
        <v>-5223.6000000000004</v>
      </c>
      <c r="L157" s="41"/>
      <c r="M157" s="41"/>
      <c r="N157" s="42"/>
    </row>
    <row r="158" spans="1:15" ht="13.5">
      <c r="A158" s="54"/>
      <c r="B158" s="54" t="s">
        <v>520</v>
      </c>
      <c r="C158" s="54"/>
      <c r="D158" s="54"/>
      <c r="E158" s="54"/>
      <c r="F158" s="54"/>
      <c r="G158" s="54">
        <f t="shared" si="5"/>
        <v>500</v>
      </c>
      <c r="H158" s="54"/>
      <c r="I158" s="63">
        <f t="shared" si="7"/>
        <v>-500</v>
      </c>
      <c r="J158" s="97">
        <f>Jan!I158+Feb!I158+Mar!I158+Apr!I158+May!I158+Jun!I158+July!I158+Aug!I158+Sep!I158+Oct!I158</f>
        <v>-500</v>
      </c>
      <c r="L158" s="41">
        <v>500</v>
      </c>
      <c r="M158" s="41"/>
      <c r="N158" s="42"/>
      <c r="O158" s="67" t="s">
        <v>1105</v>
      </c>
    </row>
    <row r="159" spans="1:15" ht="13.5">
      <c r="A159" s="54"/>
      <c r="B159" s="54" t="s">
        <v>516</v>
      </c>
      <c r="C159" s="54"/>
      <c r="D159" s="54"/>
      <c r="E159" s="54"/>
      <c r="F159" s="54"/>
      <c r="G159" s="54">
        <f t="shared" si="5"/>
        <v>0</v>
      </c>
      <c r="H159" s="54"/>
      <c r="I159" s="63">
        <f t="shared" si="7"/>
        <v>0</v>
      </c>
      <c r="J159" s="97">
        <f>Jan!I159+Feb!I159+Mar!I159+Apr!I159+May!I159+Jun!I159+July!I159+Aug!I159+Sep!I159+Oct!I159</f>
        <v>0</v>
      </c>
      <c r="L159" s="41"/>
      <c r="M159" s="41"/>
      <c r="N159" s="42"/>
    </row>
    <row r="160" spans="1:15" ht="13.5">
      <c r="A160" s="54"/>
      <c r="B160" s="54" t="s">
        <v>544</v>
      </c>
      <c r="C160" s="54"/>
      <c r="D160" s="54"/>
      <c r="E160" s="54"/>
      <c r="F160" s="54"/>
      <c r="G160" s="54">
        <f t="shared" si="5"/>
        <v>0</v>
      </c>
      <c r="H160" s="54"/>
      <c r="I160" s="63">
        <f t="shared" si="7"/>
        <v>0</v>
      </c>
      <c r="J160" s="97">
        <f>Jan!I160+Feb!I160+Mar!I160+Apr!I160+May!I160+Jun!I160+July!I160+Aug!I160+Sep!I160+Oct!I160</f>
        <v>-210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5"/>
        <v>0</v>
      </c>
      <c r="H162" s="54">
        <v>120</v>
      </c>
      <c r="I162" s="63">
        <f t="shared" si="7"/>
        <v>120</v>
      </c>
      <c r="J162" s="97">
        <f>Jan!I162+Feb!I162+Mar!I162+Apr!I162+May!I162+Jun!I162+July!I162+Aug!I162+Sep!I162+Oct!I162</f>
        <v>900</v>
      </c>
      <c r="L162" s="41">
        <v>-767.9</v>
      </c>
      <c r="M162" s="41">
        <v>710.91</v>
      </c>
      <c r="N162" s="42">
        <v>56.99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zoomScale="84" zoomScaleNormal="84" workbookViewId="0">
      <selection activeCell="L81" sqref="L81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L1" s="75" t="s">
        <v>557</v>
      </c>
    </row>
    <row r="2" spans="1:16">
      <c r="A2" s="73" t="s">
        <v>191</v>
      </c>
      <c r="B2" s="75" t="s">
        <v>17</v>
      </c>
      <c r="C2" s="75"/>
      <c r="M2" s="75" t="s">
        <v>540</v>
      </c>
    </row>
    <row r="3" spans="1:16">
      <c r="M3" s="75" t="s">
        <v>539</v>
      </c>
      <c r="O3" s="77"/>
    </row>
    <row r="4" spans="1:16">
      <c r="A4" s="73" t="s">
        <v>4</v>
      </c>
      <c r="B4" s="78">
        <f>SUM(G5:G8)</f>
        <v>12090.810000000001</v>
      </c>
      <c r="C4" s="78"/>
      <c r="F4" s="100"/>
      <c r="G4" s="67" t="s">
        <v>34</v>
      </c>
      <c r="L4" s="79"/>
      <c r="M4" s="75" t="s">
        <v>1054</v>
      </c>
      <c r="O4" s="77"/>
    </row>
    <row r="5" spans="1:16" ht="12.75">
      <c r="A5" s="67" t="s">
        <v>25</v>
      </c>
      <c r="B5" s="128">
        <v>3801.25</v>
      </c>
      <c r="C5" s="129">
        <v>3801.24</v>
      </c>
      <c r="F5" s="100"/>
      <c r="G5" s="128">
        <f>SUM(B5:E5)</f>
        <v>7602.49</v>
      </c>
      <c r="H5" s="79"/>
      <c r="I5" s="79"/>
      <c r="J5" s="79"/>
      <c r="K5" s="83"/>
      <c r="L5" s="79"/>
      <c r="O5" s="77"/>
    </row>
    <row r="6" spans="1:16" ht="12.75">
      <c r="A6" s="67" t="s">
        <v>251</v>
      </c>
      <c r="B6" s="67">
        <v>1879.76</v>
      </c>
      <c r="C6" s="77">
        <v>1962.11</v>
      </c>
      <c r="F6" s="100"/>
      <c r="G6" s="128">
        <f>SUM(B6:E6)</f>
        <v>3841.87</v>
      </c>
      <c r="H6" s="79"/>
      <c r="I6" s="79"/>
      <c r="J6" s="79"/>
      <c r="K6" s="83"/>
      <c r="L6" s="79"/>
      <c r="O6" s="77"/>
    </row>
    <row r="7" spans="1:16" ht="12.75">
      <c r="A7" s="67" t="s">
        <v>27</v>
      </c>
      <c r="B7" s="67">
        <v>323.22000000000003</v>
      </c>
      <c r="C7" s="67">
        <v>323.23</v>
      </c>
      <c r="F7" s="100"/>
      <c r="G7" s="128">
        <f>SUM(B7:E7)</f>
        <v>646.45000000000005</v>
      </c>
      <c r="H7" s="79"/>
      <c r="I7" s="79"/>
      <c r="J7" s="79"/>
      <c r="K7" s="83"/>
      <c r="L7" s="79"/>
      <c r="O7" s="77"/>
    </row>
    <row r="8" spans="1:16">
      <c r="F8" s="100"/>
      <c r="G8" s="128"/>
      <c r="H8" s="79"/>
      <c r="I8" s="79"/>
      <c r="J8" s="79"/>
      <c r="K8" s="83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1250</v>
      </c>
      <c r="D11" s="54" t="s">
        <v>299</v>
      </c>
      <c r="E11" s="54">
        <f>G11/B4</f>
        <v>0.10338430593152981</v>
      </c>
      <c r="F11" s="275"/>
      <c r="G11" s="55">
        <f>Tithe!D16</f>
        <v>1250</v>
      </c>
      <c r="H11" s="54">
        <v>1200</v>
      </c>
      <c r="I11" s="66">
        <f>H11-G11</f>
        <v>-50</v>
      </c>
      <c r="J11" s="99">
        <f>Jan!I11+Feb!I11+Mar!I11+Apr!I11+May!I11+Jun!I11+July!I11+Aug!I11+Sep!I11+Oct!I11+Nov!I11</f>
        <v>-770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</row>
    <row r="14" spans="1:16" s="54" customFormat="1" ht="13.5">
      <c r="B14" s="60" t="s">
        <v>426</v>
      </c>
      <c r="E14" s="54" t="s">
        <v>524</v>
      </c>
      <c r="F14" s="275"/>
      <c r="G14" s="54">
        <v>800</v>
      </c>
      <c r="H14" s="54">
        <v>800</v>
      </c>
      <c r="I14" s="66">
        <f t="shared" ref="I14:I20" si="0">H14-G14</f>
        <v>0</v>
      </c>
      <c r="J14" s="99">
        <f>Jan!I14+Feb!I14+Mar!I14+Apr!I14+May!I14+Jun!I14+July!I14+Aug!I14+Sep!I14+Oct!I14+Nov!I14</f>
        <v>0</v>
      </c>
      <c r="K14" s="86"/>
    </row>
    <row r="15" spans="1:16" s="54" customFormat="1" ht="13.5">
      <c r="B15" s="60" t="s">
        <v>282</v>
      </c>
      <c r="E15" s="54" t="s">
        <v>524</v>
      </c>
      <c r="F15" s="275"/>
      <c r="G15" s="54">
        <v>200</v>
      </c>
      <c r="H15" s="54">
        <v>200</v>
      </c>
      <c r="I15" s="66">
        <f t="shared" si="0"/>
        <v>0</v>
      </c>
      <c r="J15" s="99">
        <f>Jan!I15+Feb!I15+Mar!I15+Apr!I15+May!I15+Jun!I15+July!I15+Aug!I15+Sep!I15+Oct!I15+Nov!I15</f>
        <v>0</v>
      </c>
      <c r="K15" s="86"/>
    </row>
    <row r="16" spans="1:16" s="54" customFormat="1" ht="13.5">
      <c r="B16" s="60" t="s">
        <v>314</v>
      </c>
      <c r="E16" s="54" t="s">
        <v>524</v>
      </c>
      <c r="F16" s="275"/>
      <c r="G16" s="54">
        <v>300</v>
      </c>
      <c r="H16" s="54">
        <v>300</v>
      </c>
      <c r="I16" s="66">
        <f t="shared" si="0"/>
        <v>0</v>
      </c>
      <c r="J16" s="99">
        <f>Jan!I16+Feb!I16+Mar!I16+Apr!I16+May!I16+Jun!I16+July!I16+Aug!I16+Sep!I16+Oct!I16+Nov!I16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4">
        <v>200</v>
      </c>
      <c r="H17" s="54">
        <v>200</v>
      </c>
      <c r="I17" s="66">
        <f t="shared" si="0"/>
        <v>0</v>
      </c>
      <c r="J17" s="99">
        <f>Jan!I17+Feb!I17+Mar!I17+Apr!I17+May!I17+Jun!I17+July!I17+Aug!I17+Sep!I17+Oct!I17+Nov!I17</f>
        <v>0</v>
      </c>
      <c r="K17" s="86"/>
    </row>
    <row r="18" spans="1:13" s="54" customFormat="1" ht="13.5">
      <c r="B18" s="60" t="s">
        <v>284</v>
      </c>
      <c r="E18" s="54" t="s">
        <v>525</v>
      </c>
      <c r="F18" s="275"/>
      <c r="G18" s="54">
        <v>50</v>
      </c>
      <c r="H18" s="54">
        <v>50</v>
      </c>
      <c r="I18" s="66">
        <f t="shared" si="0"/>
        <v>0</v>
      </c>
      <c r="J18" s="99">
        <f>Jan!I18+Feb!I18+Mar!I18+Apr!I18+May!I18+Jun!I18+July!I18+Aug!I18+Sep!I18+Oct!I18+Nov!I18</f>
        <v>0</v>
      </c>
      <c r="K18" s="86"/>
    </row>
    <row r="19" spans="1:13" s="54" customFormat="1" ht="13.5">
      <c r="B19" s="60" t="s">
        <v>283</v>
      </c>
      <c r="E19" s="54" t="s">
        <v>525</v>
      </c>
      <c r="F19" s="275"/>
      <c r="G19" s="54">
        <v>200</v>
      </c>
      <c r="H19" s="54">
        <v>200</v>
      </c>
      <c r="I19" s="66">
        <f t="shared" si="0"/>
        <v>0</v>
      </c>
      <c r="J19" s="99">
        <f>Jan!I19+Feb!I19+Mar!I19+Apr!I19+May!I19+Jun!I19+July!I19+Aug!I19+Sep!I19+Oct!I19+Nov!I19</f>
        <v>0</v>
      </c>
      <c r="K19" s="86"/>
    </row>
    <row r="20" spans="1:13" s="54" customFormat="1" ht="13.5">
      <c r="B20" s="60" t="s">
        <v>315</v>
      </c>
      <c r="E20" s="54" t="s">
        <v>525</v>
      </c>
      <c r="G20" s="54">
        <v>300</v>
      </c>
      <c r="H20" s="54">
        <v>300</v>
      </c>
      <c r="I20" s="66">
        <f t="shared" si="0"/>
        <v>0</v>
      </c>
      <c r="J20" s="99">
        <f>Jan!I20+Feb!I20+Mar!I20+Apr!I20+May!I20+Jun!I20+July!I20+Aug!I20+Sep!I20+Oct!I20+Nov!I20</f>
        <v>0</v>
      </c>
      <c r="K20" s="86"/>
    </row>
    <row r="21" spans="1:13" s="54" customFormat="1" ht="13.5">
      <c r="A21" s="60"/>
      <c r="F21" s="275"/>
      <c r="I21" s="66"/>
      <c r="J21" s="99"/>
      <c r="K21" s="86"/>
      <c r="L21" s="60" t="s">
        <v>559</v>
      </c>
    </row>
    <row r="22" spans="1:13" s="54" customFormat="1" ht="13.5">
      <c r="A22" s="60" t="s">
        <v>300</v>
      </c>
      <c r="B22" s="278">
        <f>G22</f>
        <v>700</v>
      </c>
      <c r="F22" s="275"/>
      <c r="G22" s="54">
        <v>700</v>
      </c>
      <c r="H22" s="54">
        <v>700</v>
      </c>
      <c r="I22" s="66">
        <f>H22-G22</f>
        <v>0</v>
      </c>
      <c r="J22" s="99">
        <f>Jan!I22+Feb!I22+Mar!I22+Apr!I22+May!I22+Jun!I22+July!I22+Aug!I22+Sep!I22+Oct!I22+Nov!I22</f>
        <v>0</v>
      </c>
      <c r="K22" s="86"/>
    </row>
    <row r="23" spans="1:13" s="54" customFormat="1" ht="13.5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3.5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3.5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Jan!I25+Feb!I25+Mar!I25+Apr!I25+May!I25+Jun!I25+July!I25+Aug!I25+Sep!I25+Oct!I25+Nov!I25</f>
        <v>5500</v>
      </c>
      <c r="K25" s="86"/>
    </row>
    <row r="26" spans="1:13" s="54" customFormat="1" ht="13.5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Jan!I26+Feb!I26+Mar!I26+Apr!I26+May!I26+Jun!I26+July!I26+Aug!I26+Sep!I26+Oct!I26+Nov!I26</f>
        <v>3300</v>
      </c>
      <c r="K26" s="86"/>
    </row>
    <row r="27" spans="1:13" s="54" customFormat="1" ht="13.5">
      <c r="A27" s="60"/>
      <c r="F27" s="275"/>
      <c r="G27" s="68"/>
      <c r="H27" s="68"/>
      <c r="I27" s="70"/>
      <c r="J27" s="81"/>
      <c r="K27" s="81"/>
    </row>
    <row r="28" spans="1:13" s="54" customFormat="1" ht="14.25" thickBot="1">
      <c r="A28" s="60"/>
      <c r="B28" s="60"/>
      <c r="F28" s="275"/>
      <c r="G28" s="69">
        <f>SUM(G11:G26)</f>
        <v>4000</v>
      </c>
      <c r="H28" s="69">
        <f>SUM(H11:H26)</f>
        <v>4750</v>
      </c>
      <c r="I28" s="69">
        <f>SUM(I11:I26)</f>
        <v>750</v>
      </c>
      <c r="J28" s="69">
        <f>SUM(J11:J26)</f>
        <v>8030</v>
      </c>
      <c r="K28" s="87"/>
    </row>
    <row r="29" spans="1:13" s="54" customFormat="1" ht="15" thickTop="1" thickBot="1">
      <c r="H29" s="58"/>
      <c r="I29" s="58"/>
      <c r="J29" s="58"/>
      <c r="K29" s="87"/>
      <c r="L29" s="60" t="s">
        <v>560</v>
      </c>
    </row>
    <row r="30" spans="1:13" s="54" customFormat="1" ht="14.25" thickBot="1">
      <c r="A30" s="60" t="s">
        <v>305</v>
      </c>
      <c r="B30" s="60"/>
      <c r="F30" s="275"/>
      <c r="G30" s="95"/>
      <c r="H30" s="58"/>
      <c r="I30" s="58"/>
      <c r="J30" s="58"/>
      <c r="K30" s="87"/>
      <c r="L30" s="54" t="s">
        <v>1156</v>
      </c>
      <c r="M30" s="54" t="s">
        <v>1157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8090.8100000000013</v>
      </c>
      <c r="H31" s="58"/>
      <c r="I31" s="58"/>
      <c r="J31" s="58"/>
      <c r="K31" s="87"/>
      <c r="L31" s="58" t="s">
        <v>1158</v>
      </c>
      <c r="M31" s="54" t="s">
        <v>1159</v>
      </c>
    </row>
    <row r="32" spans="1:13" s="54" customFormat="1" ht="13.5">
      <c r="A32" s="54" t="s">
        <v>536</v>
      </c>
      <c r="B32" s="106"/>
      <c r="C32" s="56"/>
      <c r="D32" s="56"/>
      <c r="E32" s="56"/>
      <c r="F32" s="280"/>
      <c r="G32" s="282">
        <f>G46</f>
        <v>11866.919999999998</v>
      </c>
      <c r="H32" s="58"/>
      <c r="I32" s="58"/>
      <c r="J32" s="58"/>
      <c r="K32" s="87"/>
      <c r="L32" s="58"/>
    </row>
    <row r="33" spans="1:14" s="54" customFormat="1" ht="13.5">
      <c r="A33" s="60" t="s">
        <v>655</v>
      </c>
      <c r="B33" s="60"/>
      <c r="F33" s="275"/>
      <c r="G33" s="80">
        <f>G31-G32-M42</f>
        <v>-3576.1099999999969</v>
      </c>
      <c r="H33" s="58"/>
      <c r="I33" s="58"/>
      <c r="J33" s="58"/>
      <c r="K33" s="87"/>
      <c r="L33" s="58"/>
    </row>
    <row r="34" spans="1:14" s="54" customFormat="1" ht="13.5">
      <c r="H34" s="58"/>
      <c r="I34" s="58"/>
      <c r="J34" s="58"/>
      <c r="K34" s="87"/>
      <c r="L34" s="58"/>
    </row>
    <row r="35" spans="1:14" s="54" customFormat="1" ht="13.5">
      <c r="A35" s="60" t="s">
        <v>527</v>
      </c>
      <c r="B35" s="60"/>
      <c r="E35" s="54">
        <f>B47</f>
        <v>1373.27</v>
      </c>
      <c r="F35" s="275"/>
      <c r="G35" s="135"/>
      <c r="H35" s="58"/>
      <c r="I35" s="58"/>
      <c r="J35" s="58"/>
      <c r="K35" s="87"/>
      <c r="L35" s="58"/>
    </row>
    <row r="36" spans="1:14" s="54" customFormat="1" ht="13.5">
      <c r="A36" s="60" t="s">
        <v>491</v>
      </c>
      <c r="B36" s="60"/>
      <c r="E36" s="54">
        <f>B76</f>
        <v>10177.799999999999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36.14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129.29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287.22000000000003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189.95</v>
      </c>
      <c r="F41" s="275"/>
      <c r="G41" s="105"/>
      <c r="H41" s="58"/>
      <c r="I41" s="58"/>
      <c r="J41" s="58"/>
      <c r="K41" s="87"/>
      <c r="L41" s="95"/>
      <c r="M41" s="54">
        <f>M46+M44+M43+M42</f>
        <v>4421.5699999999988</v>
      </c>
      <c r="N41" s="54">
        <f>N46-N42</f>
        <v>1263.54</v>
      </c>
    </row>
    <row r="42" spans="1:14" s="54" customFormat="1" ht="13.5">
      <c r="B42" s="60" t="s">
        <v>533</v>
      </c>
      <c r="C42" s="61"/>
      <c r="D42" s="61">
        <f>B130</f>
        <v>0</v>
      </c>
      <c r="F42" s="275"/>
      <c r="G42" s="105"/>
      <c r="H42" s="58"/>
      <c r="I42" s="58"/>
      <c r="J42" s="58"/>
      <c r="K42" s="87"/>
      <c r="L42" s="54" t="s">
        <v>348</v>
      </c>
      <c r="M42" s="54">
        <v>-200</v>
      </c>
    </row>
    <row r="43" spans="1:14" s="54" customFormat="1" ht="13.5">
      <c r="B43" s="60" t="s">
        <v>534</v>
      </c>
      <c r="D43" s="54">
        <f>B117+B133+B138+B141</f>
        <v>988.81</v>
      </c>
      <c r="F43" s="275"/>
      <c r="I43" s="63"/>
      <c r="J43" s="97" t="s">
        <v>302</v>
      </c>
      <c r="K43" s="84"/>
      <c r="L43" s="54" t="s">
        <v>564</v>
      </c>
    </row>
    <row r="44" spans="1:14" s="54" customFormat="1" ht="13.5">
      <c r="A44" s="60" t="s">
        <v>535</v>
      </c>
      <c r="E44" s="54">
        <f>B147</f>
        <v>0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11866.919999999998</v>
      </c>
      <c r="H46" s="101">
        <f>SUM(H48:H162)</f>
        <v>6673</v>
      </c>
      <c r="I46" s="101">
        <f>H46-G46</f>
        <v>-5193.9199999999983</v>
      </c>
      <c r="J46" s="101">
        <f>SUM(J48:J162)</f>
        <v>6371.5299999999988</v>
      </c>
      <c r="K46" s="88"/>
      <c r="L46" s="92">
        <f>SUM(L48:L162)</f>
        <v>6081.81</v>
      </c>
      <c r="M46" s="92">
        <f>SUM(M48:M162)</f>
        <v>4521.5699999999988</v>
      </c>
      <c r="N46" s="92">
        <f>SUM(N48:N162)</f>
        <v>1263.54</v>
      </c>
    </row>
    <row r="47" spans="1:14" s="54" customFormat="1" ht="14.25" thickBot="1">
      <c r="A47" s="106" t="s">
        <v>492</v>
      </c>
      <c r="B47" s="273">
        <f>B48+B61+B65</f>
        <v>1373.27</v>
      </c>
      <c r="C47" s="273">
        <f>C48+C61+C65</f>
        <v>1378</v>
      </c>
      <c r="D47" s="95">
        <f>D48+D61+D65</f>
        <v>4.7299999999998477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4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Jan!I49+Feb!I49+Mar!I49+Apr!I49+May!I49+Jun!I49+July!I49+Aug!I49+Sep!I49+Oct!I49+Nov!I49</f>
        <v>0</v>
      </c>
      <c r="K49" s="84"/>
      <c r="L49" s="41"/>
      <c r="M49" s="42"/>
      <c r="N49" s="42"/>
    </row>
    <row r="50" spans="1:14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Jan!I50+Feb!I50+Mar!I50+Apr!I50+May!I50+Jun!I50+July!I50+Aug!I50+Sep!I50+Oct!I50+Nov!I50</f>
        <v>1100</v>
      </c>
      <c r="K50" s="84"/>
      <c r="L50" s="41"/>
      <c r="M50" s="42"/>
      <c r="N50" s="42"/>
    </row>
    <row r="51" spans="1:14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Jan!I51+Feb!I51+Mar!I51+Apr!I51+May!I51+Jun!I51+July!I51+Aug!I51+Sep!I51+Oct!I51+Nov!I51</f>
        <v>1090.3600000000001</v>
      </c>
      <c r="K51" s="84"/>
      <c r="L51" s="41"/>
      <c r="M51" s="42"/>
      <c r="N51" s="42"/>
    </row>
    <row r="52" spans="1:14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Jan!I52+Feb!I52+Mar!I52+Apr!I52+May!I52+Jun!I52+July!I52+Aug!I52+Sep!I52+Oct!I52+Nov!I52</f>
        <v>1100</v>
      </c>
      <c r="K52" s="84"/>
      <c r="L52" s="41"/>
      <c r="M52" s="42"/>
      <c r="N52" s="42"/>
    </row>
    <row r="53" spans="1:14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Jan!I53+Feb!I53+Mar!I53+Apr!I53+May!I53+Jun!I53+July!I53+Aug!I53+Sep!I53+Oct!I53+Nov!I53</f>
        <v>0.43999999999959982</v>
      </c>
      <c r="K53" s="84"/>
      <c r="L53" s="41">
        <v>553.96</v>
      </c>
      <c r="M53" s="42"/>
      <c r="N53" s="42"/>
    </row>
    <row r="54" spans="1:14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Jan!I54+Feb!I54+Mar!I54+Apr!I54+May!I54+Jun!I54+July!I54+Aug!I54+Sep!I54+Oct!I54+Nov!I54</f>
        <v>-53</v>
      </c>
      <c r="K54" s="84"/>
      <c r="L54" s="41"/>
      <c r="M54" s="42"/>
      <c r="N54" s="42"/>
    </row>
    <row r="55" spans="1:14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Jan!I55+Feb!I55+Mar!I55+Apr!I55+May!I55+Jun!I55+July!I55+Aug!I55+Sep!I55+Oct!I55+Nov!I55</f>
        <v>-46.620000000000573</v>
      </c>
      <c r="K55" s="84"/>
      <c r="L55" s="41">
        <v>1694.15</v>
      </c>
      <c r="M55" s="42"/>
      <c r="N55" s="42"/>
    </row>
    <row r="56" spans="1:14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Jan!I56+Feb!I56+Mar!I56+Apr!I56+May!I56+Jun!I56+July!I56+Aug!I56+Sep!I56+Oct!I56+Nov!I56</f>
        <v>46.619999999999777</v>
      </c>
      <c r="K56" s="84"/>
      <c r="L56" s="41">
        <v>305.85000000000002</v>
      </c>
      <c r="M56" s="42"/>
      <c r="N56" s="42"/>
    </row>
    <row r="57" spans="1:14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Jan!I57+Feb!I57+Mar!I57+Apr!I57+May!I57+Jun!I57+July!I57+Aug!I57+Sep!I57+Oct!I57+Nov!I57</f>
        <v>300</v>
      </c>
      <c r="K57" s="84"/>
      <c r="L57" s="41">
        <v>-2060</v>
      </c>
      <c r="M57" s="42"/>
      <c r="N57" s="42"/>
    </row>
    <row r="58" spans="1:14" s="54" customFormat="1" ht="13.5">
      <c r="A58" s="60" t="s">
        <v>1033</v>
      </c>
      <c r="B58" s="54" t="s">
        <v>1035</v>
      </c>
      <c r="H58" s="54">
        <v>2000</v>
      </c>
      <c r="I58" s="63"/>
      <c r="J58" s="97">
        <f>Jan!I58+Feb!I58+Mar!I58+Apr!I58+May!I58+Jun!I58+July!I58+Aug!I58+Sep!I58+Oct!I58+Nov!I58</f>
        <v>0</v>
      </c>
      <c r="K58" s="84"/>
      <c r="L58" s="41"/>
      <c r="M58" s="42"/>
      <c r="N58" s="42"/>
    </row>
    <row r="59" spans="1:14" s="54" customFormat="1" ht="13.5">
      <c r="A59" s="60"/>
      <c r="B59" s="54" t="s">
        <v>479</v>
      </c>
      <c r="I59" s="63"/>
      <c r="J59" s="97">
        <f>Jan!I59+Feb!I59+Mar!I59+Apr!I59+May!I59+Jun!I59+July!I59+Aug!I59+Sep!I59+Oct!I59+Nov!I59</f>
        <v>0</v>
      </c>
      <c r="K59" s="84"/>
      <c r="L59" s="41"/>
      <c r="M59" s="42"/>
      <c r="N59" s="42"/>
    </row>
    <row r="60" spans="1:14" s="54" customFormat="1" ht="13.5">
      <c r="A60" s="60" t="s">
        <v>485</v>
      </c>
      <c r="I60" s="63"/>
      <c r="J60" s="97">
        <f>Jan!I60+Feb!I60+Mar!I60+Apr!I60+May!I60+Jun!I60+July!I60+Aug!I60+Sep!I60+Oct!I60+Nov!I60</f>
        <v>0</v>
      </c>
      <c r="K60" s="84"/>
      <c r="L60" s="41"/>
      <c r="M60" s="42"/>
      <c r="N60" s="42"/>
    </row>
    <row r="61" spans="1:14" s="54" customFormat="1" ht="13.5">
      <c r="A61" s="60"/>
      <c r="B61" s="60">
        <f>SUM(G62:G63)</f>
        <v>148.82</v>
      </c>
      <c r="C61" s="60">
        <f>SUM(H62:H63)</f>
        <v>167</v>
      </c>
      <c r="D61" s="60">
        <f>C61-B61</f>
        <v>18.180000000000007</v>
      </c>
      <c r="I61" s="63"/>
      <c r="J61" s="97">
        <f>Jan!I61+Feb!I61+Mar!I61+Apr!I61+May!I61+Jun!I61+July!I61+Aug!I61+Sep!I61+Oct!I61+Nov!I61</f>
        <v>0</v>
      </c>
      <c r="K61" s="84"/>
      <c r="L61" s="41"/>
      <c r="M61" s="42"/>
      <c r="N61" s="42"/>
    </row>
    <row r="62" spans="1:14" s="54" customFormat="1" ht="13.5">
      <c r="A62" s="60"/>
      <c r="B62" s="54" t="s">
        <v>489</v>
      </c>
      <c r="G62" s="54">
        <f t="shared" ref="G62:G119" si="3">SUM(L62:N62)</f>
        <v>69.150000000000006</v>
      </c>
      <c r="H62" s="54">
        <v>67</v>
      </c>
      <c r="I62" s="63">
        <f t="shared" ref="I62:I123" si="4">H62-G62</f>
        <v>-2.1500000000000057</v>
      </c>
      <c r="J62" s="97">
        <f>Jan!I62+Feb!I62+Mar!I62+Apr!I62+May!I62+Jun!I62+July!I62+Aug!I62+Sep!I62+Oct!I62+Nov!I62</f>
        <v>-19.710000000000008</v>
      </c>
      <c r="K62" s="84"/>
      <c r="L62" s="41"/>
      <c r="M62" s="42">
        <v>69.150000000000006</v>
      </c>
      <c r="N62" s="42"/>
    </row>
    <row r="63" spans="1:14" s="54" customFormat="1" ht="13.5">
      <c r="A63" s="60"/>
      <c r="B63" s="54" t="s">
        <v>490</v>
      </c>
      <c r="D63" s="67"/>
      <c r="G63" s="54">
        <f t="shared" si="3"/>
        <v>79.67</v>
      </c>
      <c r="H63" s="54">
        <v>100</v>
      </c>
      <c r="I63" s="63">
        <f t="shared" si="4"/>
        <v>20.329999999999998</v>
      </c>
      <c r="J63" s="97">
        <f>Jan!I63+Feb!I63+Mar!I63+Apr!I63+May!I63+Jun!I63+July!I63+Aug!I63+Sep!I63+Oct!I63+Nov!I63</f>
        <v>64.069999999999979</v>
      </c>
      <c r="K63" s="84"/>
      <c r="L63" s="41"/>
      <c r="M63" s="42">
        <v>79.67</v>
      </c>
      <c r="N63" s="42"/>
    </row>
    <row r="64" spans="1:14" s="54" customFormat="1" ht="13.5">
      <c r="A64" s="60"/>
      <c r="I64" s="63"/>
      <c r="J64" s="97">
        <f>Jan!I64+Feb!I64+Mar!I64+Apr!I64+May!I64+Jun!I64+July!I64+Aug!I64+Sep!I64+Oct!I64+Nov!I64</f>
        <v>0</v>
      </c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730.49</v>
      </c>
      <c r="C65" s="60">
        <f>SUM(H66:H74)</f>
        <v>300</v>
      </c>
      <c r="D65" s="60">
        <f>C65-B65</f>
        <v>-430.49</v>
      </c>
      <c r="I65" s="63"/>
      <c r="J65" s="97">
        <f>Jan!I65+Feb!I65+Mar!I65+Apr!I65+May!I65+Jun!I65+July!I65+Aug!I65+Sep!I65+Oct!I65+Nov!I65</f>
        <v>0</v>
      </c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41.9</v>
      </c>
      <c r="H66" s="54">
        <v>60</v>
      </c>
      <c r="I66" s="63">
        <f t="shared" si="4"/>
        <v>18.100000000000001</v>
      </c>
      <c r="J66" s="97">
        <f>Jan!I66+Feb!I66+Mar!I66+Apr!I66+May!I66+Jun!I66+July!I66+Aug!I66+Sep!I66+Oct!I66+Nov!I66</f>
        <v>94.44</v>
      </c>
      <c r="K66" s="84"/>
      <c r="L66" s="41"/>
      <c r="M66" s="42">
        <v>41.9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254.8</v>
      </c>
      <c r="H67" s="54">
        <v>130</v>
      </c>
      <c r="I67" s="63">
        <f t="shared" si="4"/>
        <v>-124.80000000000001</v>
      </c>
      <c r="J67" s="97">
        <f>Jan!I67+Feb!I67+Mar!I67+Apr!I67+May!I67+Jun!I67+July!I67+Aug!I67+Sep!I67+Oct!I67+Nov!I67</f>
        <v>-121.76</v>
      </c>
      <c r="K67" s="84"/>
      <c r="L67" s="41"/>
      <c r="M67" s="42">
        <v>254.8</v>
      </c>
      <c r="N67" s="42"/>
    </row>
    <row r="68" spans="1:15" s="54" customFormat="1" ht="13.5">
      <c r="I68" s="63"/>
      <c r="J68" s="97">
        <f>Jan!I68+Feb!I68+Mar!I68+Apr!I68+May!I68+Jun!I68+July!I68+Aug!I68+Sep!I68+Oct!I68+Nov!I68</f>
        <v>0</v>
      </c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>
        <f>Jan!I69+Feb!I69+Mar!I69+Apr!I69+May!I69+Jun!I69+July!I69+Aug!I69+Sep!I69+Oct!I69+Nov!I69</f>
        <v>0</v>
      </c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0</v>
      </c>
      <c r="H70" s="54">
        <v>25</v>
      </c>
      <c r="I70" s="63">
        <f t="shared" si="4"/>
        <v>25</v>
      </c>
      <c r="J70" s="97">
        <f>Jan!I70+Feb!I70+Mar!I70+Apr!I70+May!I70+Jun!I70+July!I70+Aug!I70+Sep!I70+Oct!I70+Nov!I70</f>
        <v>10.899999999999991</v>
      </c>
      <c r="K70" s="84"/>
      <c r="L70" s="41"/>
      <c r="M70" s="42"/>
      <c r="N70" s="42"/>
    </row>
    <row r="71" spans="1:15" s="54" customFormat="1" ht="13.5">
      <c r="A71" s="60"/>
      <c r="B71" s="54" t="s">
        <v>483</v>
      </c>
      <c r="G71" s="54">
        <f t="shared" si="3"/>
        <v>400</v>
      </c>
      <c r="H71" s="54">
        <v>30</v>
      </c>
      <c r="I71" s="63">
        <f t="shared" si="4"/>
        <v>-370</v>
      </c>
      <c r="J71" s="97">
        <f>Jan!I71+Feb!I71+Mar!I71+Apr!I71+May!I71+Jun!I71+July!I71+Aug!I71+Sep!I71+Oct!I71+Nov!I71</f>
        <v>-1109.8400000000001</v>
      </c>
      <c r="K71" s="84"/>
      <c r="L71" s="41">
        <v>400</v>
      </c>
      <c r="M71" s="42"/>
      <c r="N71" s="42"/>
      <c r="O71" s="54" t="s">
        <v>1107</v>
      </c>
    </row>
    <row r="72" spans="1:15" s="54" customFormat="1" ht="13.5">
      <c r="A72" s="60"/>
      <c r="B72" s="54" t="s">
        <v>488</v>
      </c>
      <c r="G72" s="54">
        <f t="shared" si="3"/>
        <v>0</v>
      </c>
      <c r="H72" s="54">
        <v>20</v>
      </c>
      <c r="I72" s="63">
        <f t="shared" si="4"/>
        <v>20</v>
      </c>
      <c r="J72" s="97">
        <f>Jan!I72+Feb!I72+Mar!I72+Apr!I72+May!I72+Jun!I72+July!I72+Aug!I72+Sep!I72+Oct!I72+Nov!I72</f>
        <v>73.610000000000014</v>
      </c>
      <c r="K72" s="84"/>
      <c r="L72" s="41"/>
      <c r="M72" s="42"/>
      <c r="N72" s="42"/>
    </row>
    <row r="73" spans="1:15" s="54" customFormat="1" ht="13.5">
      <c r="A73" s="60"/>
      <c r="I73" s="63"/>
      <c r="J73" s="97">
        <f>Jan!I73+Feb!I73+Mar!I73+Apr!I73+May!I73+Jun!I73+July!I73+Aug!I73+Sep!I73+Oct!I73+Nov!I73</f>
        <v>0</v>
      </c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33.79</v>
      </c>
      <c r="H74" s="54">
        <v>35</v>
      </c>
      <c r="I74" s="63">
        <f t="shared" si="4"/>
        <v>1.2100000000000009</v>
      </c>
      <c r="J74" s="97">
        <f>Jan!I74+Feb!I74+Mar!I74+Apr!I74+May!I74+Jun!I74+July!I74+Aug!I74+Sep!I74+Oct!I74+Nov!I74</f>
        <v>164.94</v>
      </c>
      <c r="K74" s="84"/>
      <c r="L74" s="41"/>
      <c r="M74" s="42">
        <v>33.79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10177.799999999999</v>
      </c>
      <c r="C76" s="151">
        <f>C78+C82+C88+C93+C102+C107+C112+C117+C130+C133+C138+C141</f>
        <v>2885</v>
      </c>
      <c r="D76" s="151">
        <f>D78+D82+D88+D93+D102+D107+D112+D117+D130+D133+D138+D141</f>
        <v>1253.5900000000001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1033</v>
      </c>
      <c r="B78" s="60">
        <f>SUM(G79:G80)</f>
        <v>8546.39</v>
      </c>
      <c r="C78" s="60">
        <f>SUM(H79:H80)</f>
        <v>0</v>
      </c>
      <c r="D78" s="60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 t="shared" si="3"/>
        <v>2472.71</v>
      </c>
      <c r="I79" s="63"/>
      <c r="J79" s="97">
        <f>Jan!I79+Feb!I79+Mar!I79+Apr!I79+May!I79+Jun!I79+July!I84+Aug!I79+Sep!I79+Oct!I79+Nov!I79</f>
        <v>50</v>
      </c>
      <c r="K79" s="84"/>
      <c r="L79" s="41">
        <v>2472.71</v>
      </c>
      <c r="M79" s="42"/>
      <c r="N79" s="42"/>
    </row>
    <row r="80" spans="1:15" s="54" customFormat="1" ht="13.5">
      <c r="A80" s="60"/>
      <c r="B80" s="54" t="s">
        <v>479</v>
      </c>
      <c r="G80" s="54">
        <f t="shared" si="3"/>
        <v>6073.68</v>
      </c>
      <c r="I80" s="63"/>
      <c r="J80" s="97">
        <f>Jan!I80+Feb!I80+Mar!I80+Apr!I80+May!I80+Jun!I80+July!I85+Aug!I80+Sep!I80+Oct!I80+Nov!I80</f>
        <v>100</v>
      </c>
      <c r="K80" s="84"/>
      <c r="L80" s="41">
        <f>300+670+670+160</f>
        <v>1800</v>
      </c>
      <c r="M80" s="42">
        <v>3317.66</v>
      </c>
      <c r="N80" s="42">
        <v>956.02</v>
      </c>
      <c r="O80" s="54" t="s">
        <v>1108</v>
      </c>
    </row>
    <row r="81" spans="1:15" s="54" customFormat="1" ht="13.5">
      <c r="B81" s="54" t="s">
        <v>1110</v>
      </c>
      <c r="G81" s="54">
        <f t="shared" si="3"/>
        <v>315.85000000000002</v>
      </c>
      <c r="I81" s="63"/>
      <c r="J81" s="97">
        <f>Jan!I81+Feb!I81+Mar!I81+Apr!I81+May!I81+Jun!I81+July!I86+Aug!I81+Sep!I81+Oct!I81+Nov!I81</f>
        <v>120</v>
      </c>
      <c r="K81" s="84"/>
      <c r="L81" s="41">
        <f>(116.85+17.49)+100.26+81.25</f>
        <v>315.85000000000002</v>
      </c>
      <c r="M81" s="42"/>
      <c r="N81" s="42"/>
      <c r="O81" s="54" t="s">
        <v>1109</v>
      </c>
    </row>
    <row r="82" spans="1:15" s="54" customFormat="1" ht="13.5">
      <c r="A82" s="60" t="s">
        <v>42</v>
      </c>
      <c r="B82" s="60">
        <f>SUM(G83:G86)</f>
        <v>129.29</v>
      </c>
      <c r="C82" s="60">
        <f>SUM(H83:H86)</f>
        <v>395</v>
      </c>
      <c r="D82" s="60">
        <f>C82-B82</f>
        <v>265.71000000000004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62.49</v>
      </c>
      <c r="H83" s="54">
        <v>125</v>
      </c>
      <c r="I83" s="63">
        <f t="shared" si="4"/>
        <v>62.51</v>
      </c>
      <c r="J83" s="97">
        <f>Jan!I83+Feb!I83+Mar!I83+Apr!I83+May!I83+Jun!I83+July!I83+Aug!I83+Sep!I83+Oct!I83+Nov!I83</f>
        <v>101.32999999999998</v>
      </c>
      <c r="K83" s="84"/>
      <c r="L83" s="41">
        <v>62.49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66.8</v>
      </c>
      <c r="H84" s="54">
        <v>50</v>
      </c>
      <c r="I84" s="63">
        <f t="shared" si="4"/>
        <v>-16.799999999999997</v>
      </c>
      <c r="J84" s="97">
        <f>Jan!I84+Feb!I84+Mar!I84+Apr!I84+May!I84+Jun!I84+July!I84+Aug!I84+Sep!I84+Oct!I84+Nov!I84</f>
        <v>206.75</v>
      </c>
      <c r="K84" s="84"/>
      <c r="L84" s="41">
        <v>66.8</v>
      </c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Jan!I85+Feb!I85+Mar!I85+Apr!I85+May!I85+Jun!I85+July!I85+Aug!I85+Sep!I85+Oct!I85+Nov!I85</f>
        <v>-85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Jan!I86+Feb!I86+Mar!I86+Apr!I86+May!I86+Jun!I86+July!I86+Aug!I86+Sep!I86+Oct!I86+Nov!I86</f>
        <v>-93.649999999999977</v>
      </c>
      <c r="K86" s="84"/>
      <c r="L86" s="41"/>
      <c r="M86" s="42"/>
      <c r="N86" s="42"/>
    </row>
    <row r="87" spans="1:15" s="54" customFormat="1" ht="13.5">
      <c r="I87" s="63"/>
      <c r="J87" s="97">
        <f>Jan!I87+Feb!I87+Mar!I87+Apr!I87+May!I87+Jun!I87+July!I87+Aug!I87+Sep!I87+Oct!I87+Nov!I87</f>
        <v>0</v>
      </c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>
        <f>Jan!I88+Feb!I88+Mar!I88+Apr!I88+May!I88+Jun!I88+July!I88+Aug!I88+Sep!I88+Oct!I88+Nov!I88</f>
        <v>0</v>
      </c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Jan!I89+Feb!I89+Mar!I89+Apr!I89+May!I89+Jun!I89+July!I89+Aug!I89+Sep!I89+Oct!I89+Nov!I89</f>
        <v>-269.5</v>
      </c>
      <c r="K89" s="84"/>
      <c r="L89" s="41"/>
      <c r="M89" s="42"/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Jan!I90+Feb!I90+Mar!I90+Apr!I90+May!I90+Jun!I90+July!I90+Aug!I90+Sep!I90+Oct!I90+Nov!I90</f>
        <v>753.5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Jan!I91+Feb!I91+Mar!I91+Apr!I91+May!I91+Jun!I91+July!I91+Aug!I91+Sep!I91+Oct!I91+Nov!I91</f>
        <v>-36.819999999999993</v>
      </c>
      <c r="K91" s="84"/>
      <c r="L91" s="41"/>
      <c r="M91" s="42"/>
      <c r="N91" s="42"/>
    </row>
    <row r="92" spans="1:15" s="54" customFormat="1" ht="13.5">
      <c r="I92" s="63"/>
      <c r="J92" s="97">
        <f>Jan!I92+Feb!I92+Mar!I92+Apr!I92+May!I92+Jun!I92+July!I92+Aug!I92+Sep!I92+Oct!I92+Nov!I92</f>
        <v>0</v>
      </c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36.14</v>
      </c>
      <c r="C93" s="60">
        <f>SUM(H94:H100)</f>
        <v>178</v>
      </c>
      <c r="D93" s="60">
        <f>C93-B93</f>
        <v>141.86000000000001</v>
      </c>
      <c r="I93" s="63"/>
      <c r="J93" s="97">
        <f>Jan!I93+Feb!I93+Mar!I93+Apr!I93+May!I93+Jun!I93+July!I93+Aug!I93+Sep!I93+Oct!I93+Nov!I93</f>
        <v>0</v>
      </c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36.14</v>
      </c>
      <c r="H94" s="54">
        <v>20</v>
      </c>
      <c r="I94" s="63">
        <f t="shared" si="4"/>
        <v>-16.14</v>
      </c>
      <c r="J94" s="97">
        <f>Jan!I94+Feb!I94+Mar!I94+Apr!I94+May!I94+Jun!I94+July!I94+Aug!I94+Sep!I94+Oct!I94+Nov!I94</f>
        <v>41.33</v>
      </c>
      <c r="K94" s="84"/>
      <c r="L94" s="41"/>
      <c r="M94" s="42">
        <v>36.14</v>
      </c>
      <c r="N94" s="42"/>
      <c r="O94" s="54" t="s">
        <v>1111</v>
      </c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Jan!I95+Feb!I95+Mar!I95+Apr!I95+May!I95+Jun!I95+July!I95+Aug!I95+Sep!I95+Oct!I95+Nov!I95</f>
        <v>26.6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Jan!I96+Feb!I96+Mar!I96+Apr!I96+May!I96+Jun!I96+July!I96+Aug!I96+Sep!I96+Oct!I96+Nov!I96</f>
        <v>197.52999999999997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Jan!I97+Feb!I97+Mar!I97+Apr!I97+May!I97+Jun!I97+July!I97+Aug!I97+Sep!I97+Oct!I97+Nov!I97</f>
        <v>52.31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Jan!I98+Feb!I98+Mar!I98+Apr!I98+May!I98+Jun!I98+July!I98+Aug!I98+Sep!I98+Oct!I98+Nov!I98</f>
        <v>-288.05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Jan!I99+Feb!I99+Mar!I99+Apr!I99+May!I99+Jun!I99+July!I99+Aug!I99+Sep!I99+Oct!I99+Nov!I99</f>
        <v>286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Jan!I100+Feb!I100+Mar!I100+Apr!I100+May!I100+Jun!I100+July!I100+Aug!I100+Sep!I100+Oct!I100+Nov!I100</f>
        <v>95.02000000000001</v>
      </c>
      <c r="K100" s="84"/>
      <c r="L100" s="41"/>
      <c r="M100" s="42"/>
      <c r="N100" s="42"/>
    </row>
    <row r="101" spans="1:15" s="54" customFormat="1" ht="13.5">
      <c r="I101" s="63"/>
      <c r="J101" s="97">
        <f>Jan!I101+Feb!I101+Mar!I101+Apr!I101+May!I101+Jun!I101+July!I101+Aug!I101+Sep!I101+Oct!I101+Nov!I101</f>
        <v>0</v>
      </c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>
        <f>Jan!I102+Feb!I102+Mar!I102+Apr!I102+May!I102+Jun!I102+July!I102+Aug!I102+Sep!I102+Oct!I102+Nov!I102</f>
        <v>0</v>
      </c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Jan!I103+Feb!I103+Mar!I103+Apr!I103+May!I103+Jun!I103+July!I103+Aug!I103+Sep!I103+Oct!I103+Nov!I103</f>
        <v>268.64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Jan!I104+Feb!I104+Mar!I104+Apr!I104+May!I104+Jun!I104+July!I104+Aug!I104+Sep!I104+Oct!I104+Nov!I104</f>
        <v>598.80999999999995</v>
      </c>
      <c r="K104" s="84"/>
      <c r="L104" s="41"/>
      <c r="M104" s="42"/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Jan!I105+Feb!I105+Mar!I105+Apr!I105+May!I105+Jun!I105+July!I105+Aug!I105+Sep!I105+Oct!I105+Nov!I105</f>
        <v>110</v>
      </c>
      <c r="K105" s="84"/>
      <c r="L105" s="41"/>
      <c r="M105" s="42"/>
      <c r="N105" s="42"/>
    </row>
    <row r="106" spans="1:15" s="54" customFormat="1" ht="13.5">
      <c r="I106" s="63"/>
      <c r="J106" s="97">
        <f>Jan!I106+Feb!I106+Mar!I106+Apr!I106+May!I106+Jun!I106+July!I106+Aug!I106+Sep!I106+Oct!I106+Nov!I106</f>
        <v>0</v>
      </c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287.22000000000003</v>
      </c>
      <c r="C107" s="60">
        <f>SUM(H108:H110)</f>
        <v>225</v>
      </c>
      <c r="D107" s="60">
        <f>C107-B107</f>
        <v>-62.220000000000027</v>
      </c>
      <c r="I107" s="63"/>
      <c r="J107" s="97">
        <f>Jan!I107+Feb!I107+Mar!I107+Apr!I107+May!I107+Jun!I107+July!I107+Aug!I107+Sep!I107+Oct!I107+Nov!I107</f>
        <v>0</v>
      </c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Jan!I108+Feb!I108+Mar!I108+Apr!I108+May!I108+Jun!I108+July!I108+Aug!I108+Sep!I108+Oct!I108+Nov!I108</f>
        <v>467.78</v>
      </c>
      <c r="K108" s="84"/>
      <c r="L108" s="41"/>
      <c r="M108" s="42"/>
      <c r="N108" s="42"/>
      <c r="O108" s="127"/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Jan!I109+Feb!I109+Mar!I109+Apr!I109+May!I109+Jun!I109+July!I109+Aug!I109+Sep!I109+Oct!I109+Nov!I109</f>
        <v>41.600000000000023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287.22000000000003</v>
      </c>
      <c r="H110" s="54">
        <v>110</v>
      </c>
      <c r="I110" s="63">
        <f t="shared" si="4"/>
        <v>-177.22000000000003</v>
      </c>
      <c r="J110" s="97">
        <f>Jan!I110+Feb!I110+Mar!I110+Apr!I110+May!I110+Jun!I110+July!I110+Aug!I110+Sep!I110+Oct!I110+Nov!I110</f>
        <v>-229.72000000000003</v>
      </c>
      <c r="K110" s="84"/>
      <c r="L110" s="41"/>
      <c r="M110" s="42">
        <v>287.22000000000003</v>
      </c>
      <c r="N110" s="42"/>
    </row>
    <row r="111" spans="1:15" s="54" customFormat="1" ht="13.5">
      <c r="I111" s="63"/>
      <c r="J111" s="97">
        <f>Jan!I111+Feb!I111+Mar!I111+Apr!I111+May!I111+Jun!I111+July!I111+Aug!I111+Sep!I111+Oct!I111+Nov!I111</f>
        <v>0</v>
      </c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189.95</v>
      </c>
      <c r="C112" s="60">
        <f>SUM(H113:H115)</f>
        <v>415</v>
      </c>
      <c r="D112" s="60">
        <f>C112-B112</f>
        <v>225.05</v>
      </c>
      <c r="I112" s="63"/>
      <c r="J112" s="97">
        <f>Jan!I112+Feb!I112+Mar!I112+Apr!I112+May!I112+Jun!I112+July!I112+Aug!I112+Sep!I112+Oct!I112+Nov!I112</f>
        <v>0</v>
      </c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Jan!I113+Feb!I113+Mar!I113+Apr!I113+May!I113+Jun!I113+July!I113+Aug!I113+Sep!I113+Oct!I113+Nov!I113</f>
        <v>1479.6499999999999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189.95</v>
      </c>
      <c r="H114" s="54">
        <v>215</v>
      </c>
      <c r="I114" s="63">
        <f t="shared" si="4"/>
        <v>25.050000000000011</v>
      </c>
      <c r="J114" s="97">
        <f>Jan!I114+Feb!I114+Mar!I114+Apr!I114+May!I114+Jun!I114+July!I114+Aug!I114+Sep!I114+Oct!I114+Nov!I114</f>
        <v>265.05</v>
      </c>
      <c r="K114" s="84"/>
      <c r="L114" s="41">
        <v>170</v>
      </c>
      <c r="M114" s="42">
        <v>19.95</v>
      </c>
      <c r="N114" s="42"/>
      <c r="O114" s="54" t="s">
        <v>1112</v>
      </c>
    </row>
    <row r="115" spans="1:15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Jan!I115+Feb!I115+Mar!I115+Apr!I115+May!I115+Jun!I115+July!I115+Aug!I115+Sep!I115+Oct!I115+Nov!I115</f>
        <v>25.589999999999989</v>
      </c>
      <c r="K115" s="84"/>
      <c r="L115" s="41"/>
      <c r="M115" s="42"/>
      <c r="N115" s="42"/>
    </row>
    <row r="116" spans="1:15" s="54" customFormat="1" ht="13.5">
      <c r="A116" s="60"/>
      <c r="I116" s="63"/>
      <c r="J116" s="97">
        <f>Jan!I116+Feb!I116+Mar!I116+Apr!I116+May!I116+Jun!I116+July!I116+Aug!I116+Sep!I116+Oct!I116+Nov!I116</f>
        <v>0</v>
      </c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637.5</v>
      </c>
      <c r="C117" s="60">
        <f>SUM(H118:H128)</f>
        <v>750</v>
      </c>
      <c r="D117" s="60">
        <f>C117-B117</f>
        <v>112.5</v>
      </c>
      <c r="I117" s="63"/>
      <c r="J117" s="97">
        <f>Jan!I117+Feb!I117+Mar!I117+Apr!I117+May!I117+Jun!I117+July!I117+Aug!I117+Sep!I117+Oct!I117+Nov!I117</f>
        <v>0</v>
      </c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200</v>
      </c>
      <c r="H118" s="54">
        <v>100</v>
      </c>
      <c r="I118" s="63">
        <f t="shared" si="4"/>
        <v>-100</v>
      </c>
      <c r="J118" s="97">
        <f>Jan!I118+Feb!I118+Mar!I118+Apr!I118+May!I118+Jun!I118+July!I118+Aug!I118+Sep!I118+Oct!I118+Nov!I118</f>
        <v>-892</v>
      </c>
      <c r="K118" s="84"/>
      <c r="L118" s="41">
        <v>200</v>
      </c>
      <c r="M118" s="42"/>
      <c r="N118" s="42"/>
      <c r="O118" s="127">
        <v>41943</v>
      </c>
    </row>
    <row r="119" spans="1:15" s="54" customFormat="1" ht="14.25" thickBot="1">
      <c r="B119" s="54" t="s">
        <v>511</v>
      </c>
      <c r="G119" s="54">
        <f t="shared" si="3"/>
        <v>249.85</v>
      </c>
      <c r="H119" s="54">
        <v>500</v>
      </c>
      <c r="I119" s="63">
        <f t="shared" si="4"/>
        <v>250.15</v>
      </c>
      <c r="J119" s="97">
        <f>Jan!I119+Feb!I119+Mar!I119+Apr!I119+May!I119+Jun!I119+July!I119+Aug!I119+Sep!I119+Oct!I119+Nov!I119</f>
        <v>131.47000000000017</v>
      </c>
      <c r="K119" s="84"/>
      <c r="L119" s="41"/>
      <c r="M119" s="42">
        <v>8.0299999999999994</v>
      </c>
      <c r="N119" s="42">
        <v>241.82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>
        <f>Jan!I120+Feb!I120+Mar!I120+Apr!I120+May!I120+Jun!I120+July!I120+Aug!I120+Sep!I120+Oct!I120+Nov!I120</f>
        <v>0</v>
      </c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f>Jan!F133+Feb!F134+Mar!F134+Apr!F134+May!F134+Jun!F134+July!F134+Aug!F134+Sep!F134+Oct!F134+Nov!F134+Dec!F134</f>
        <v>0</v>
      </c>
      <c r="I121" s="63"/>
      <c r="J121" s="97">
        <f>Jan!I121+Feb!I121+Mar!I121+Apr!I121+May!I121+Jun!I121+July!I121+Aug!I121+Sep!I121+Oct!I121+Nov!I121</f>
        <v>0</v>
      </c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81</v>
      </c>
      <c r="H122" s="54">
        <v>40</v>
      </c>
      <c r="I122" s="63">
        <f t="shared" si="4"/>
        <v>-41</v>
      </c>
      <c r="J122" s="97">
        <f>Jan!I122+Feb!I122+Mar!I122+Apr!I122+May!I122+Jun!I122+July!I122+Aug!I122+Sep!I122+Oct!I122+Nov!I122</f>
        <v>-89.609999999999985</v>
      </c>
      <c r="K122" s="84"/>
      <c r="L122" s="41"/>
      <c r="M122" s="42">
        <v>81</v>
      </c>
      <c r="N122" s="42"/>
      <c r="O122" s="54" t="s">
        <v>1113</v>
      </c>
    </row>
    <row r="123" spans="1:15" s="54" customFormat="1" ht="14.25" thickBot="1">
      <c r="B123" s="54" t="s">
        <v>55</v>
      </c>
      <c r="G123" s="54">
        <f>SUM(L123:N123)</f>
        <v>70.709999999999994</v>
      </c>
      <c r="H123" s="54">
        <v>100</v>
      </c>
      <c r="I123" s="63">
        <f t="shared" si="4"/>
        <v>29.290000000000006</v>
      </c>
      <c r="J123" s="97">
        <f>Jan!I123+Feb!I123+Mar!I123+Apr!I123+May!I123+Jun!I123+July!I123+Aug!I123+Sep!I123+Oct!I123+Nov!I123</f>
        <v>314.93</v>
      </c>
      <c r="K123" s="84"/>
      <c r="L123" s="41"/>
      <c r="M123" s="42">
        <v>16.989999999999998</v>
      </c>
      <c r="N123" s="42">
        <v>53.72</v>
      </c>
      <c r="O123" s="54" t="s">
        <v>1114</v>
      </c>
    </row>
    <row r="124" spans="1:15" s="54" customFormat="1" ht="14.25" thickBot="1">
      <c r="C124" s="273" t="s">
        <v>506</v>
      </c>
      <c r="D124" s="274"/>
      <c r="E124" s="95">
        <v>18.809999999999999</v>
      </c>
      <c r="I124" s="63"/>
      <c r="J124" s="97">
        <f>Jan!I124+Feb!I124+Mar!I124+Apr!I124+May!I124+Jun!I124+July!I124+Aug!I124+Sep!I124+Oct!I124+Nov!I124</f>
        <v>0</v>
      </c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Jan!F137+Feb!F138+Mar!F138+Apr!F138+May!F138+Jun!F138+July!F138+Aug!F138+Sep!F138+Oct!F138+Nov!F138+Dec!F138</f>
        <v>0</v>
      </c>
      <c r="I125" s="63"/>
      <c r="J125" s="97">
        <f>Jan!I125+Feb!I125+Mar!I125+Apr!I125+May!I125+Jun!I125+July!I125+Aug!I125+Sep!I125+Oct!I125+Nov!I125</f>
        <v>0</v>
      </c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v>28.45</v>
      </c>
      <c r="I126" s="63"/>
      <c r="J126" s="97">
        <f>Jan!I126+Feb!I126+Mar!I126+Apr!I126+May!I126+Jun!I126+July!I126+Aug!I126+Sep!I126+Oct!I126+Nov!I126</f>
        <v>0</v>
      </c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v>23.45</v>
      </c>
      <c r="I127" s="63"/>
      <c r="J127" s="97">
        <f>Jan!I127+Feb!I127+Mar!I127+Apr!I127+May!I127+Jun!I127+July!I127+Aug!I127+Sep!I127+Oct!I127+Nov!I127</f>
        <v>0</v>
      </c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62" si="5">SUM(L128:N128)</f>
        <v>35.94</v>
      </c>
      <c r="H128" s="54">
        <v>10</v>
      </c>
      <c r="I128" s="63">
        <f t="shared" ref="I128:I143" si="6">H128-G128</f>
        <v>-25.939999999999998</v>
      </c>
      <c r="J128" s="97">
        <f>Jan!I128+Feb!I128+Mar!I128+Apr!I128+May!I128+Jun!I128+July!I128+Aug!I128+Sep!I128+Oct!I128+Nov!I128</f>
        <v>-102.11</v>
      </c>
      <c r="K128" s="84"/>
      <c r="L128" s="41"/>
      <c r="M128" s="41">
        <v>35.94</v>
      </c>
      <c r="N128" s="42"/>
    </row>
    <row r="129" spans="1:15" s="54" customFormat="1" ht="13.5">
      <c r="I129" s="63"/>
      <c r="J129" s="97">
        <f>Jan!I129+Feb!I129+Mar!I129+Apr!I129+May!I129+Jun!I129+July!I129+Aug!I129+Sep!I129+Oct!I129+Nov!I129</f>
        <v>0</v>
      </c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0</v>
      </c>
      <c r="C130" s="60">
        <f>H131</f>
        <v>140</v>
      </c>
      <c r="D130" s="60">
        <f>I131</f>
        <v>140</v>
      </c>
      <c r="I130" s="63"/>
      <c r="J130" s="97">
        <f>Jan!I130+Feb!I130+Mar!I130+Apr!I130+May!I130+Jun!I130+July!I130+Aug!I130+Sep!I130+Oct!I130+Nov!I130</f>
        <v>0</v>
      </c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0</v>
      </c>
      <c r="H131" s="54">
        <v>140</v>
      </c>
      <c r="I131" s="63">
        <f t="shared" si="6"/>
        <v>140</v>
      </c>
      <c r="J131" s="97">
        <f>Jan!I131+Feb!I131+Mar!I131+Apr!I131+May!I131+Jun!I131+July!I131+Aug!I131+Sep!I131+Oct!I131+Nov!I131</f>
        <v>450.49</v>
      </c>
      <c r="K131" s="84"/>
      <c r="L131" s="41"/>
      <c r="M131" s="41"/>
      <c r="N131" s="42"/>
    </row>
    <row r="132" spans="1:15" s="54" customFormat="1" ht="13.5">
      <c r="I132" s="63"/>
      <c r="J132" s="97">
        <f>Jan!I132+Feb!I132+Mar!I132+Apr!I132+May!I132+Jun!I132+July!I132+Aug!I132+Sep!I132+Oct!I132+Nov!I132</f>
        <v>0</v>
      </c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71.239999999999995</v>
      </c>
      <c r="C133" s="60">
        <f>SUM(H134:H136)</f>
        <v>230</v>
      </c>
      <c r="D133" s="60">
        <f>C133-B133</f>
        <v>158.76</v>
      </c>
      <c r="I133" s="63"/>
      <c r="J133" s="97">
        <f>Jan!I133+Feb!I133+Mar!I133+Apr!I133+May!I133+Jun!I133+July!I133+Aug!I133+Sep!I133+Oct!I133+Nov!I133</f>
        <v>0</v>
      </c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71.239999999999995</v>
      </c>
      <c r="H134" s="54">
        <v>100</v>
      </c>
      <c r="I134" s="63">
        <f t="shared" si="6"/>
        <v>28.760000000000005</v>
      </c>
      <c r="J134" s="97">
        <f>Jan!I134+Feb!I134+Mar!I134+Apr!I134+May!I134+Jun!I134+July!I134+Aug!I134+Sep!I134+Oct!I134+Nov!I134</f>
        <v>113.53999999999998</v>
      </c>
      <c r="K134" s="84"/>
      <c r="L134" s="41"/>
      <c r="M134" s="41">
        <v>59.26</v>
      </c>
      <c r="N134" s="42">
        <v>11.98</v>
      </c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Jan!I135+Feb!I135+Mar!I135+Apr!I135+May!I135+Jun!I135+July!I135+Aug!I135+Sep!I135+Oct!I135+Nov!I135</f>
        <v>1100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Jan!I136+Feb!I136+Mar!I136+Apr!I136+May!I136+Jun!I136+July!I136+Aug!I136+Sep!I136+Oct!I136+Nov!I136</f>
        <v>321.02999999999997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Jan!I139+Feb!I139+Mar!I139+Apr!I139+May!I139+Jun!I139+July!I139+Aug!I139+Sep!I139+Oct!I139+Nov!I139</f>
        <v>53.949999999999996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280.07</v>
      </c>
      <c r="C141" s="60">
        <f>SUM(H142:H143)</f>
        <v>250</v>
      </c>
      <c r="D141" s="60">
        <f>C141-B141</f>
        <v>-30.069999999999993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26.82</v>
      </c>
      <c r="H142" s="54">
        <v>150</v>
      </c>
      <c r="I142" s="63">
        <f t="shared" si="6"/>
        <v>123.18</v>
      </c>
      <c r="J142" s="97">
        <f>Jan!I142+Feb!I142+Mar!I142+Apr!I142+May!I142+Jun!I142+July!I142+Aug!I142+Sep!I142+Oct!I142+Nov!I142</f>
        <v>1525.8100000000002</v>
      </c>
      <c r="K142" s="84"/>
      <c r="L142" s="41"/>
      <c r="M142" s="41">
        <v>26.82</v>
      </c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253.25</v>
      </c>
      <c r="H143" s="54">
        <v>100</v>
      </c>
      <c r="I143" s="63">
        <f t="shared" si="6"/>
        <v>-153.25</v>
      </c>
      <c r="J143" s="97">
        <f>Jan!I143+Feb!I143+Mar!I143+Apr!I143+May!I143+Jun!I143+July!I143+Aug!I143+Sep!I143+Oct!I143+Nov!I143</f>
        <v>472.44999999999993</v>
      </c>
      <c r="K143" s="89"/>
      <c r="L143" s="41">
        <v>100</v>
      </c>
      <c r="M143" s="41">
        <v>153.25</v>
      </c>
      <c r="N143" s="42"/>
      <c r="O143" s="54" t="s">
        <v>1115</v>
      </c>
    </row>
    <row r="144" spans="1:15" s="54" customFormat="1" ht="13.5">
      <c r="I144" s="63"/>
      <c r="J144" s="97"/>
      <c r="K144" s="89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0</v>
      </c>
      <c r="C147" s="54">
        <f>SUM(H148:H162)</f>
        <v>410</v>
      </c>
      <c r="D147" s="60">
        <f>C147-B147</f>
        <v>410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si="5"/>
        <v>0</v>
      </c>
      <c r="H149" s="54">
        <v>100</v>
      </c>
      <c r="I149" s="63">
        <f t="shared" ref="I149:I162" si="7">H149-G149</f>
        <v>100</v>
      </c>
      <c r="J149" s="97">
        <f>Jan!I149+Feb!I149+Mar!I149+Apr!I149+May!I149+Jun!I149+July!I149+Aug!I149+Sep!I149+Oct!I149+Nov!I149</f>
        <v>290.08000000000004</v>
      </c>
      <c r="L149" s="41"/>
      <c r="M149" s="41"/>
      <c r="N149" s="42"/>
    </row>
    <row r="150" spans="1:14" ht="14.25" thickBot="1">
      <c r="A150" s="95">
        <f>SUM(G149:G153)</f>
        <v>0</v>
      </c>
      <c r="B150" s="54" t="s">
        <v>289</v>
      </c>
      <c r="C150" s="54"/>
      <c r="D150" s="54"/>
      <c r="E150" s="54"/>
      <c r="F150" s="54"/>
      <c r="G150" s="54">
        <f t="shared" si="5"/>
        <v>0</v>
      </c>
      <c r="H150" s="54">
        <v>100</v>
      </c>
      <c r="I150" s="63">
        <f t="shared" si="7"/>
        <v>100</v>
      </c>
      <c r="J150" s="97">
        <f>Jan!I150+Feb!I150+Mar!I150+Apr!I150+May!I150+Jun!I150+July!I150+Aug!I150+Sep!I150+Oct!I150+Nov!I150</f>
        <v>213.23000000000008</v>
      </c>
      <c r="L150" s="41"/>
      <c r="M150" s="41"/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5"/>
        <v>0</v>
      </c>
      <c r="H151" s="54">
        <v>30</v>
      </c>
      <c r="I151" s="63">
        <f t="shared" si="7"/>
        <v>30</v>
      </c>
      <c r="J151" s="97">
        <f>Jan!I151+Feb!I151+Mar!I151+Apr!I151+May!I151+Jun!I151+July!I151+Aug!I151+Sep!I151+Oct!I151+Nov!I151</f>
        <v>90.5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5"/>
        <v>0</v>
      </c>
      <c r="H152" s="54">
        <v>50</v>
      </c>
      <c r="I152" s="63">
        <f t="shared" si="7"/>
        <v>50</v>
      </c>
      <c r="J152" s="97">
        <f>Jan!I152+Feb!I152+Mar!I152+Apr!I152+May!I152+Jun!I152+July!I152+Aug!I152+Sep!I152+Oct!I152+Nov!I152</f>
        <v>219.08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5"/>
        <v>0</v>
      </c>
      <c r="H153" s="54">
        <v>10</v>
      </c>
      <c r="I153" s="63">
        <f t="shared" si="7"/>
        <v>10</v>
      </c>
      <c r="J153" s="97">
        <f>Jan!I153+Feb!I153+Mar!I153+Apr!I153+May!I153+Jun!I153+July!I153+Aug!I153+Sep!I153+Oct!I153+Nov!I153</f>
        <v>93.09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5"/>
        <v>0</v>
      </c>
      <c r="H156" s="54"/>
      <c r="I156" s="63">
        <f t="shared" si="7"/>
        <v>0</v>
      </c>
      <c r="J156" s="97">
        <f>Jan!I156+Feb!I156+Mar!I156+Apr!I156+May!I156+Jun!I156+July!I156+Aug!I156+Sep!I156+Oct!I156+Nov!I156</f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5"/>
        <v>0</v>
      </c>
      <c r="H157" s="54"/>
      <c r="I157" s="63">
        <f t="shared" si="7"/>
        <v>0</v>
      </c>
      <c r="J157" s="97">
        <f>Jan!I157+Feb!I157+Mar!I157+Apr!I157+May!I157+Jun!I157+July!I157+Aug!I157+Sep!I157+Oct!I157+Nov!I157</f>
        <v>-5223.6000000000004</v>
      </c>
      <c r="L157" s="41"/>
      <c r="M157" s="41"/>
      <c r="N157" s="42"/>
    </row>
    <row r="158" spans="1:14" ht="13.5">
      <c r="A158" s="54"/>
      <c r="B158" s="54" t="s">
        <v>520</v>
      </c>
      <c r="C158" s="54"/>
      <c r="D158" s="54"/>
      <c r="E158" s="54"/>
      <c r="F158" s="54"/>
      <c r="G158" s="54">
        <f t="shared" si="5"/>
        <v>0</v>
      </c>
      <c r="H158" s="54"/>
      <c r="I158" s="63">
        <f t="shared" si="7"/>
        <v>0</v>
      </c>
      <c r="J158" s="97">
        <f>Jan!I158+Feb!I158+Mar!I158+Apr!I158+May!I158+Jun!I158+July!I158+Aug!I158+Sep!I158+Oct!I158+Nov!I158</f>
        <v>-500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5"/>
        <v>0</v>
      </c>
      <c r="H159" s="54"/>
      <c r="I159" s="63">
        <f t="shared" si="7"/>
        <v>0</v>
      </c>
      <c r="J159" s="97">
        <f>Jan!I159+Feb!I159+Mar!I159+Apr!I159+May!I159+Jun!I159+July!I159+Aug!I159+Sep!I159+Oct!I159+Nov!I159</f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5"/>
        <v>0</v>
      </c>
      <c r="H160" s="54"/>
      <c r="I160" s="63">
        <f t="shared" si="7"/>
        <v>0</v>
      </c>
      <c r="J160" s="97">
        <f>Jan!I160+Feb!I160+Mar!I160+Apr!I160+May!I160+Jun!I160+July!I160+Aug!I160+Sep!I160+Oct!I160+Nov!I160</f>
        <v>-210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5"/>
        <v>0</v>
      </c>
      <c r="H162" s="54">
        <v>120</v>
      </c>
      <c r="I162" s="63">
        <f t="shared" si="7"/>
        <v>120</v>
      </c>
      <c r="J162" s="97">
        <f>Jan!I162+Feb!I162+Mar!I162+Apr!I162+May!I162+Jun!I162+July!I162+Aug!I162+Sep!I162+Oct!I162+Nov!I162</f>
        <v>1020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zoomScale="84" zoomScaleNormal="84" workbookViewId="0">
      <selection activeCell="O79" sqref="O79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5703125" style="67" customWidth="1"/>
    <col min="13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L1" s="75" t="s">
        <v>557</v>
      </c>
    </row>
    <row r="2" spans="1:16">
      <c r="A2" s="73" t="s">
        <v>191</v>
      </c>
      <c r="B2" s="75" t="s">
        <v>18</v>
      </c>
      <c r="C2" s="75"/>
      <c r="M2" s="75" t="s">
        <v>540</v>
      </c>
    </row>
    <row r="3" spans="1:16">
      <c r="M3" s="75" t="s">
        <v>539</v>
      </c>
      <c r="O3" s="77"/>
    </row>
    <row r="4" spans="1:16">
      <c r="A4" s="73" t="s">
        <v>4</v>
      </c>
      <c r="B4" s="78">
        <f>SUM(G5:G8)</f>
        <v>12411.380000000001</v>
      </c>
      <c r="C4" s="78"/>
      <c r="F4" s="100"/>
      <c r="G4" s="67" t="s">
        <v>34</v>
      </c>
      <c r="L4" s="79"/>
      <c r="M4" s="75" t="s">
        <v>1054</v>
      </c>
      <c r="O4" s="77"/>
    </row>
    <row r="5" spans="1:16" ht="12.75">
      <c r="A5" s="67" t="s">
        <v>25</v>
      </c>
      <c r="B5" s="128">
        <v>3801.24</v>
      </c>
      <c r="C5" s="129">
        <v>3801.38</v>
      </c>
      <c r="F5" s="100"/>
      <c r="G5" s="128">
        <f>SUM(B5:E5)</f>
        <v>7602.62</v>
      </c>
      <c r="H5" s="79"/>
      <c r="I5" s="79"/>
      <c r="J5" s="79"/>
      <c r="K5" s="83"/>
      <c r="L5" s="79"/>
      <c r="O5" s="77"/>
    </row>
    <row r="6" spans="1:16" ht="12.75">
      <c r="A6" s="67" t="s">
        <v>251</v>
      </c>
      <c r="B6" s="67">
        <v>2042.48</v>
      </c>
      <c r="C6" s="77">
        <v>2119.83</v>
      </c>
      <c r="F6" s="100"/>
      <c r="G6" s="128">
        <f>SUM(B6:E6)</f>
        <v>4162.3099999999995</v>
      </c>
      <c r="H6" s="79"/>
      <c r="I6" s="79"/>
      <c r="J6" s="79"/>
      <c r="K6" s="83"/>
      <c r="L6" s="79"/>
      <c r="O6" s="77"/>
    </row>
    <row r="7" spans="1:16" ht="12.75">
      <c r="A7" s="67" t="s">
        <v>27</v>
      </c>
      <c r="B7" s="67">
        <v>323.22000000000003</v>
      </c>
      <c r="C7" s="67">
        <v>323.23</v>
      </c>
      <c r="F7" s="100"/>
      <c r="G7" s="128">
        <f>SUM(B7:E7)</f>
        <v>646.45000000000005</v>
      </c>
      <c r="H7" s="79"/>
      <c r="I7" s="79"/>
      <c r="J7" s="79"/>
      <c r="K7" s="83"/>
      <c r="L7" s="79"/>
      <c r="O7" s="77"/>
    </row>
    <row r="8" spans="1:16">
      <c r="F8" s="100"/>
      <c r="G8" s="128"/>
      <c r="H8" s="79"/>
      <c r="I8" s="79"/>
      <c r="J8" s="79"/>
      <c r="K8" s="83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1400</v>
      </c>
      <c r="D11" s="54" t="s">
        <v>299</v>
      </c>
      <c r="E11" s="54">
        <f>G11/B4</f>
        <v>0.11279970478705832</v>
      </c>
      <c r="F11" s="275"/>
      <c r="G11" s="55">
        <f>Tithe!D17</f>
        <v>1400</v>
      </c>
      <c r="H11" s="54">
        <v>1200</v>
      </c>
      <c r="I11" s="66">
        <f>H11-G11</f>
        <v>-200</v>
      </c>
      <c r="J11" s="99">
        <f>Jan!I11+Feb!I11+Mar!I11+Apr!I11+May!I11+Jun!I11+July!I11+Aug!I11+Sep!I11+Oct!I11+Nov!I11+Dec!I11</f>
        <v>-970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500</v>
      </c>
      <c r="F13" s="275"/>
      <c r="G13" s="57"/>
      <c r="I13" s="66"/>
      <c r="J13" s="99"/>
      <c r="K13" s="86"/>
    </row>
    <row r="14" spans="1:16" s="54" customFormat="1" ht="13.5">
      <c r="B14" s="60" t="s">
        <v>426</v>
      </c>
      <c r="E14" s="54" t="s">
        <v>524</v>
      </c>
      <c r="F14" s="275"/>
      <c r="H14" s="54">
        <v>800</v>
      </c>
      <c r="I14" s="66">
        <f t="shared" ref="I14:I20" si="0">H14-G14</f>
        <v>800</v>
      </c>
      <c r="J14" s="99">
        <f>Jan!I14+Feb!I14+Mar!I14+Apr!I14+May!I14+Jun!I14+July!I14+Aug!I14+Sep!I14+Oct!I14+Nov!I14+Dec!I14</f>
        <v>800</v>
      </c>
      <c r="K14" s="86"/>
    </row>
    <row r="15" spans="1:16" s="54" customFormat="1" ht="13.5">
      <c r="B15" s="60" t="s">
        <v>282</v>
      </c>
      <c r="E15" s="54" t="s">
        <v>524</v>
      </c>
      <c r="F15" s="275"/>
      <c r="H15" s="54">
        <v>200</v>
      </c>
      <c r="I15" s="66">
        <f t="shared" si="0"/>
        <v>200</v>
      </c>
      <c r="J15" s="99">
        <f>Jan!I15+Feb!I15+Mar!I15+Apr!I15+May!I15+Jun!I15+July!I15+Aug!I15+Sep!I15+Oct!I15+Nov!I15+Dec!I15</f>
        <v>200</v>
      </c>
      <c r="K15" s="86"/>
    </row>
    <row r="16" spans="1:16" s="54" customFormat="1" ht="13.5">
      <c r="B16" s="60" t="s">
        <v>314</v>
      </c>
      <c r="E16" s="54" t="s">
        <v>524</v>
      </c>
      <c r="F16" s="275"/>
      <c r="H16" s="54">
        <v>300</v>
      </c>
      <c r="I16" s="66">
        <f t="shared" si="0"/>
        <v>300</v>
      </c>
      <c r="J16" s="99">
        <f>Jan!I16+Feb!I16+Mar!I16+Apr!I16+May!I16+Jun!I16+July!I16+Aug!I16+Sep!I16+Oct!I16+Nov!I16+Dec!I16</f>
        <v>300</v>
      </c>
      <c r="K16" s="86"/>
    </row>
    <row r="17" spans="1:14" s="54" customFormat="1" ht="13.5">
      <c r="B17" s="60" t="s">
        <v>522</v>
      </c>
      <c r="E17" s="54" t="s">
        <v>524</v>
      </c>
      <c r="F17" s="275"/>
      <c r="H17" s="54">
        <v>200</v>
      </c>
      <c r="I17" s="66">
        <f t="shared" si="0"/>
        <v>200</v>
      </c>
      <c r="J17" s="99">
        <f>Jan!I17+Feb!I17+Mar!I17+Apr!I17+May!I17+Jun!I17+July!I17+Aug!I17+Sep!I17+Oct!I17+Nov!I17+Dec!I17</f>
        <v>200</v>
      </c>
      <c r="K17" s="86"/>
    </row>
    <row r="18" spans="1:14" s="54" customFormat="1" ht="13.5">
      <c r="B18" s="60" t="s">
        <v>284</v>
      </c>
      <c r="E18" s="54" t="s">
        <v>525</v>
      </c>
      <c r="F18" s="275"/>
      <c r="H18" s="54">
        <v>50</v>
      </c>
      <c r="I18" s="66">
        <f t="shared" si="0"/>
        <v>50</v>
      </c>
      <c r="J18" s="99">
        <f>Jan!I18+Feb!I18+Mar!I18+Apr!I18+May!I18+Jun!I18+July!I18+Aug!I18+Sep!I18+Oct!I18+Nov!I18+Dec!I18</f>
        <v>50</v>
      </c>
      <c r="K18" s="86"/>
    </row>
    <row r="19" spans="1:14" s="54" customFormat="1" ht="13.5">
      <c r="B19" s="60" t="s">
        <v>283</v>
      </c>
      <c r="E19" s="54" t="s">
        <v>525</v>
      </c>
      <c r="F19" s="275"/>
      <c r="G19" s="54">
        <v>200</v>
      </c>
      <c r="H19" s="54">
        <v>200</v>
      </c>
      <c r="I19" s="66">
        <f t="shared" si="0"/>
        <v>0</v>
      </c>
      <c r="J19" s="99">
        <f>Jan!I19+Feb!I19+Mar!I19+Apr!I19+May!I19+Jun!I19+July!I19+Aug!I19+Sep!I19+Oct!I19+Nov!I19+Dec!I19</f>
        <v>0</v>
      </c>
      <c r="K19" s="86"/>
    </row>
    <row r="20" spans="1:14" s="54" customFormat="1" ht="13.5">
      <c r="B20" s="60" t="s">
        <v>315</v>
      </c>
      <c r="E20" s="54" t="s">
        <v>525</v>
      </c>
      <c r="G20" s="54">
        <v>300</v>
      </c>
      <c r="H20" s="54">
        <v>300</v>
      </c>
      <c r="I20" s="66">
        <f t="shared" si="0"/>
        <v>0</v>
      </c>
      <c r="J20" s="99">
        <f>Jan!I20+Feb!I20+Mar!I20+Apr!I20+May!I20+Jun!I20+July!I20+Aug!I20+Sep!I20+Oct!I20+Nov!I20+Dec!I20</f>
        <v>0</v>
      </c>
      <c r="K20" s="86"/>
    </row>
    <row r="21" spans="1:14" s="54" customFormat="1" ht="13.5">
      <c r="A21" s="60"/>
      <c r="F21" s="275"/>
      <c r="I21" s="66"/>
      <c r="J21" s="99"/>
      <c r="K21" s="86"/>
      <c r="L21" s="60" t="s">
        <v>559</v>
      </c>
    </row>
    <row r="22" spans="1:14" s="54" customFormat="1" ht="13.5">
      <c r="A22" s="60" t="s">
        <v>300</v>
      </c>
      <c r="B22" s="278">
        <f>G22</f>
        <v>700</v>
      </c>
      <c r="F22" s="275"/>
      <c r="G22" s="54">
        <v>700</v>
      </c>
      <c r="H22" s="54">
        <v>700</v>
      </c>
      <c r="I22" s="66">
        <f>H22-G22</f>
        <v>0</v>
      </c>
      <c r="J22" s="99">
        <f>Jan!I22+Feb!I22+Mar!I22+Apr!I22+May!I22+Jun!I22+July!I22+Aug!I22+Sep!I22+Oct!I22+Nov!I22+Dec!I22</f>
        <v>0</v>
      </c>
      <c r="K22" s="86"/>
    </row>
    <row r="23" spans="1:14" s="54" customFormat="1" ht="13.5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4" s="54" customFormat="1" ht="13.5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4" s="54" customFormat="1" ht="13.5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Jan!I25+Feb!I25+Mar!I25+Apr!I25+May!I25+Jun!I25+July!I25+Aug!I25+Sep!I25+Oct!I25+Nov!I25+Dec!I25</f>
        <v>6000</v>
      </c>
      <c r="K25" s="86"/>
    </row>
    <row r="26" spans="1:14" s="54" customFormat="1" ht="13.5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Jan!I26+Feb!I26+Mar!I26+Apr!I26+May!I26+Jun!I26+July!I26+Aug!I26+Sep!I26+Oct!I26+Nov!I26+Dec!I26</f>
        <v>3600</v>
      </c>
      <c r="K26" s="86"/>
    </row>
    <row r="27" spans="1:14" s="54" customFormat="1" ht="13.5">
      <c r="A27" s="60"/>
      <c r="F27" s="275"/>
      <c r="G27" s="68"/>
      <c r="H27" s="68"/>
      <c r="I27" s="70"/>
      <c r="J27" s="81"/>
      <c r="K27" s="81"/>
    </row>
    <row r="28" spans="1:14" s="54" customFormat="1" ht="14.25" thickBot="1">
      <c r="A28" s="60"/>
      <c r="B28" s="60"/>
      <c r="F28" s="275"/>
      <c r="G28" s="69">
        <f>SUM(G11:G26)</f>
        <v>2600</v>
      </c>
      <c r="H28" s="69">
        <f>SUM(H11:H26)</f>
        <v>4750</v>
      </c>
      <c r="I28" s="69">
        <f>SUM(I11:I26)</f>
        <v>2150</v>
      </c>
      <c r="J28" s="69">
        <f>SUM(J11:J26)</f>
        <v>10180</v>
      </c>
      <c r="K28" s="87"/>
    </row>
    <row r="29" spans="1:14" s="54" customFormat="1" ht="15" thickTop="1" thickBot="1">
      <c r="H29" s="58"/>
      <c r="I29" s="58"/>
      <c r="J29" s="58"/>
      <c r="K29" s="87"/>
      <c r="L29" s="60" t="s">
        <v>560</v>
      </c>
    </row>
    <row r="30" spans="1:14" s="54" customFormat="1" ht="14.25" thickBot="1">
      <c r="A30" s="60" t="s">
        <v>305</v>
      </c>
      <c r="B30" s="60"/>
      <c r="F30" s="275"/>
      <c r="G30" s="95"/>
      <c r="H30" s="58"/>
      <c r="I30" s="58"/>
      <c r="J30" s="58"/>
      <c r="K30" s="87"/>
      <c r="M30" s="54" t="s">
        <v>1116</v>
      </c>
    </row>
    <row r="31" spans="1:14" s="54" customFormat="1" ht="12.75" customHeight="1">
      <c r="A31" s="106" t="s">
        <v>298</v>
      </c>
      <c r="B31" s="60"/>
      <c r="F31" s="275"/>
      <c r="G31" s="281">
        <f>B4-G28+G30</f>
        <v>9811.380000000001</v>
      </c>
      <c r="H31" s="58"/>
      <c r="I31" s="58"/>
      <c r="J31" s="58"/>
      <c r="K31" s="87"/>
      <c r="L31" s="58"/>
      <c r="M31" s="54" t="s">
        <v>1117</v>
      </c>
    </row>
    <row r="32" spans="1:14" s="54" customFormat="1" ht="13.5">
      <c r="A32" s="54" t="s">
        <v>536</v>
      </c>
      <c r="B32" s="106"/>
      <c r="C32" s="56"/>
      <c r="D32" s="56"/>
      <c r="E32" s="56"/>
      <c r="F32" s="280"/>
      <c r="G32" s="282">
        <f>G46</f>
        <v>7589.2099999999982</v>
      </c>
      <c r="H32" s="58"/>
      <c r="I32" s="58"/>
      <c r="J32" s="58"/>
      <c r="K32" s="87"/>
      <c r="L32" s="58"/>
      <c r="M32" s="54" t="s">
        <v>1118</v>
      </c>
      <c r="N32" s="54" t="s">
        <v>1119</v>
      </c>
    </row>
    <row r="33" spans="1:14" s="54" customFormat="1" ht="13.5">
      <c r="A33" s="60" t="s">
        <v>655</v>
      </c>
      <c r="B33" s="60"/>
      <c r="F33" s="275"/>
      <c r="G33" s="80">
        <f>G31-G32-M42-N42</f>
        <v>2272.1700000000028</v>
      </c>
      <c r="H33" s="58"/>
      <c r="I33" s="58"/>
      <c r="J33" s="58"/>
      <c r="K33" s="87"/>
      <c r="L33" s="58"/>
      <c r="M33" s="54" t="s">
        <v>1120</v>
      </c>
      <c r="N33" s="54" t="s">
        <v>1121</v>
      </c>
    </row>
    <row r="34" spans="1:14" s="54" customFormat="1" ht="13.5">
      <c r="H34" s="58"/>
      <c r="I34" s="58"/>
      <c r="J34" s="58"/>
      <c r="K34" s="87"/>
      <c r="L34" s="58"/>
    </row>
    <row r="35" spans="1:14" s="54" customFormat="1" ht="13.5">
      <c r="A35" s="60" t="s">
        <v>527</v>
      </c>
      <c r="B35" s="60"/>
      <c r="E35" s="54">
        <f>B47</f>
        <v>802.25</v>
      </c>
      <c r="F35" s="275"/>
      <c r="G35" s="135"/>
      <c r="H35" s="58"/>
      <c r="I35" s="58"/>
      <c r="J35" s="58"/>
      <c r="K35" s="87"/>
      <c r="L35" s="58"/>
    </row>
    <row r="36" spans="1:14" s="54" customFormat="1" ht="13.5">
      <c r="A36" s="60" t="s">
        <v>491</v>
      </c>
      <c r="B36" s="60"/>
      <c r="E36" s="54" t="str">
        <f>B81</f>
        <v>Utility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184.95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103.69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221.11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170</v>
      </c>
      <c r="F41" s="275"/>
      <c r="G41" s="105"/>
      <c r="H41" s="58"/>
      <c r="I41" s="58"/>
      <c r="J41" s="58"/>
      <c r="K41" s="87"/>
      <c r="L41" s="95"/>
      <c r="M41" s="54">
        <f>M46+M44+M43-M42</f>
        <v>2592.61</v>
      </c>
      <c r="N41" s="54">
        <f>N46+N42</f>
        <v>458.8</v>
      </c>
    </row>
    <row r="42" spans="1:14" s="54" customFormat="1" ht="13.5">
      <c r="B42" s="60" t="s">
        <v>533</v>
      </c>
      <c r="C42" s="61"/>
      <c r="D42" s="61">
        <f>B130</f>
        <v>0</v>
      </c>
      <c r="F42" s="275"/>
      <c r="G42" s="105"/>
      <c r="H42" s="58"/>
      <c r="I42" s="58"/>
      <c r="J42" s="58"/>
      <c r="K42" s="87"/>
      <c r="L42" s="54" t="s">
        <v>348</v>
      </c>
      <c r="N42" s="54">
        <v>-50</v>
      </c>
    </row>
    <row r="43" spans="1:14" s="54" customFormat="1" ht="13.5">
      <c r="B43" s="60" t="s">
        <v>534</v>
      </c>
      <c r="D43" s="54">
        <f>B117+B133+B138+B141</f>
        <v>1055.6200000000001</v>
      </c>
      <c r="F43" s="275"/>
      <c r="I43" s="63"/>
      <c r="J43" s="97" t="s">
        <v>302</v>
      </c>
      <c r="K43" s="84"/>
      <c r="L43" s="54" t="s">
        <v>564</v>
      </c>
    </row>
    <row r="44" spans="1:14" s="54" customFormat="1" ht="13.5">
      <c r="A44" s="60" t="s">
        <v>535</v>
      </c>
      <c r="E44" s="54">
        <f>B147</f>
        <v>0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7589.2099999999982</v>
      </c>
      <c r="H46" s="101">
        <f>SUM(H48:H162)</f>
        <v>6673</v>
      </c>
      <c r="I46" s="101">
        <f>H46-G46</f>
        <v>-916.20999999999822</v>
      </c>
      <c r="J46" s="101">
        <f>SUM(J48:J162)</f>
        <v>8236.91</v>
      </c>
      <c r="K46" s="88"/>
      <c r="L46" s="92">
        <f>SUM(L48:L162)</f>
        <v>4587.8</v>
      </c>
      <c r="M46" s="92">
        <f>SUM(M48:M162)</f>
        <v>2492.61</v>
      </c>
      <c r="N46" s="92">
        <f>SUM(N48:N162)</f>
        <v>508.8</v>
      </c>
    </row>
    <row r="47" spans="1:14" s="54" customFormat="1" ht="14.25" thickBot="1">
      <c r="A47" s="106" t="s">
        <v>492</v>
      </c>
      <c r="B47" s="273">
        <f>B48+B61+B65</f>
        <v>802.25</v>
      </c>
      <c r="C47" s="273">
        <f>C48+C61+C65</f>
        <v>1378</v>
      </c>
      <c r="D47" s="95">
        <f>D48+D61+D65</f>
        <v>575.74999999999989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493.96000000000004</v>
      </c>
      <c r="C48" s="60">
        <f>SUM(H49:H57)</f>
        <v>911</v>
      </c>
      <c r="D48" s="60">
        <f>SUM(I49:I57)</f>
        <v>417.03999999999985</v>
      </c>
      <c r="I48" s="63"/>
      <c r="J48" s="97"/>
      <c r="K48" s="84"/>
      <c r="L48" s="41"/>
      <c r="M48" s="42"/>
      <c r="N48" s="42"/>
    </row>
    <row r="49" spans="1:15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Jan!I49+Feb!I49+Mar!I49+Apr!I49+May!I49+Jun!I49+July!I49+Aug!I49+Sep!I49+Oct!I49+Nov!I49+Dec!I49</f>
        <v>0</v>
      </c>
      <c r="K49" s="84"/>
      <c r="L49" s="41"/>
      <c r="M49" s="42"/>
      <c r="N49" s="42"/>
    </row>
    <row r="50" spans="1:15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Jan!I50+Feb!I50+Mar!I50+Apr!I50+May!I50+Jun!I50+July!I50+Aug!I50+Sep!I50+Oct!I50+Nov!I50+Dec!I50</f>
        <v>1200</v>
      </c>
      <c r="K50" s="84"/>
      <c r="L50" s="41"/>
      <c r="M50" s="42"/>
      <c r="N50" s="42"/>
    </row>
    <row r="51" spans="1:15" s="54" customFormat="1" ht="13.5">
      <c r="A51" s="60"/>
      <c r="B51" s="54" t="s">
        <v>480</v>
      </c>
      <c r="G51" s="54">
        <f t="shared" si="1"/>
        <v>0</v>
      </c>
      <c r="H51" s="54">
        <v>100</v>
      </c>
      <c r="I51" s="63">
        <f t="shared" si="2"/>
        <v>100</v>
      </c>
      <c r="J51" s="97">
        <f>Jan!I51+Feb!I51+Mar!I51+Apr!I51+May!I51+Jun!I51+July!I51+Aug!I51+Sep!I51+Oct!I51+Nov!I51+Dec!I51</f>
        <v>1190.3600000000001</v>
      </c>
      <c r="K51" s="84"/>
      <c r="L51" s="41"/>
      <c r="M51" s="42"/>
      <c r="N51" s="42"/>
    </row>
    <row r="52" spans="1:15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Jan!I52+Feb!I52+Mar!I52+Apr!I52+May!I52+Jun!I52+July!I52+Aug!I52+Sep!I52+Oct!I52+Nov!I52+Dec!I52</f>
        <v>1200</v>
      </c>
      <c r="K52" s="84"/>
      <c r="L52" s="41"/>
      <c r="M52" s="42"/>
      <c r="N52" s="42"/>
    </row>
    <row r="53" spans="1:15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Jan!I53+Feb!I53+Mar!I53+Apr!I53+May!I53+Jun!I53+July!I53+Aug!I53+Sep!I53+Oct!I53+Nov!I53+Dec!I53</f>
        <v>0.47999999999956344</v>
      </c>
      <c r="K53" s="84"/>
      <c r="L53" s="41">
        <v>553.96</v>
      </c>
      <c r="M53" s="42"/>
      <c r="N53" s="42"/>
    </row>
    <row r="54" spans="1:15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Jan!I54+Feb!I54+Mar!I54+Apr!I54+May!I54+Jun!I54+July!I54+Aug!I54+Sep!I54+Oct!I54+Nov!I54+Dec!I54</f>
        <v>4</v>
      </c>
      <c r="K54" s="84"/>
      <c r="L54" s="41"/>
      <c r="M54" s="42"/>
      <c r="N54" s="42"/>
    </row>
    <row r="55" spans="1:15" s="54" customFormat="1" ht="13.5">
      <c r="A55" s="60"/>
      <c r="B55" s="54" t="s">
        <v>352</v>
      </c>
      <c r="G55" s="54">
        <f t="shared" si="1"/>
        <v>1694.15</v>
      </c>
      <c r="H55" s="54">
        <f>1636.68+50.81</f>
        <v>1687.49</v>
      </c>
      <c r="I55" s="63">
        <f t="shared" si="2"/>
        <v>-6.6600000000000819</v>
      </c>
      <c r="J55" s="97">
        <f>Jan!I55+Feb!I55+Mar!I55+Apr!I55+May!I55+Jun!I55+July!I55+Aug!I55+Sep!I55+Oct!I55+Nov!I55+Dec!I55</f>
        <v>-53.280000000000655</v>
      </c>
      <c r="K55" s="84"/>
      <c r="L55" s="41">
        <v>1694.15</v>
      </c>
      <c r="M55" s="42"/>
      <c r="N55" s="42"/>
    </row>
    <row r="56" spans="1:15" s="54" customFormat="1" ht="13.5">
      <c r="A56" s="60"/>
      <c r="B56" s="54" t="s">
        <v>425</v>
      </c>
      <c r="G56" s="54">
        <f t="shared" si="1"/>
        <v>305.85000000000002</v>
      </c>
      <c r="H56" s="54">
        <v>312.51</v>
      </c>
      <c r="I56" s="63">
        <f t="shared" si="2"/>
        <v>6.6599999999999682</v>
      </c>
      <c r="J56" s="97">
        <f>Jan!I56+Feb!I56+Mar!I56+Apr!I56+May!I56+Jun!I56+July!I56+Aug!I56+Sep!I56+Oct!I56+Nov!I56+Dec!I56</f>
        <v>53.279999999999745</v>
      </c>
      <c r="K56" s="84"/>
      <c r="L56" s="41">
        <v>305.85000000000002</v>
      </c>
      <c r="M56" s="42"/>
      <c r="N56" s="42"/>
    </row>
    <row r="57" spans="1:15" s="54" customFormat="1" ht="13.5">
      <c r="A57" s="60"/>
      <c r="B57" s="54" t="s">
        <v>379</v>
      </c>
      <c r="G57" s="54">
        <f t="shared" si="1"/>
        <v>-2060</v>
      </c>
      <c r="H57" s="54">
        <v>-2000</v>
      </c>
      <c r="I57" s="63">
        <f t="shared" si="2"/>
        <v>60</v>
      </c>
      <c r="J57" s="97">
        <f>Jan!I57+Feb!I57+Mar!I57+Apr!I57+May!I57+Jun!I57+July!I57+Aug!I57+Sep!I57+Oct!I57+Nov!I57+Dec!I57</f>
        <v>360</v>
      </c>
      <c r="K57" s="84"/>
      <c r="L57" s="41">
        <v>-2060</v>
      </c>
      <c r="M57" s="42"/>
      <c r="N57" s="42"/>
    </row>
    <row r="58" spans="1:15" s="54" customFormat="1" ht="13.5">
      <c r="A58" s="60" t="s">
        <v>1033</v>
      </c>
      <c r="B58" s="54" t="s">
        <v>1035</v>
      </c>
      <c r="H58" s="54">
        <v>2000</v>
      </c>
      <c r="I58" s="63"/>
      <c r="J58" s="97"/>
      <c r="K58" s="84"/>
      <c r="L58" s="41"/>
      <c r="M58" s="42"/>
      <c r="N58" s="42"/>
    </row>
    <row r="59" spans="1:15" s="54" customFormat="1" ht="13.5">
      <c r="A59" s="60"/>
      <c r="B59" s="54" t="s">
        <v>479</v>
      </c>
      <c r="I59" s="63"/>
      <c r="J59" s="97"/>
      <c r="K59" s="84"/>
      <c r="L59" s="41"/>
      <c r="M59" s="42"/>
      <c r="N59" s="42"/>
    </row>
    <row r="60" spans="1:15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5" s="54" customFormat="1" ht="13.5">
      <c r="A61" s="60"/>
      <c r="B61" s="60">
        <f>SUM(G62:G63)</f>
        <v>200.28</v>
      </c>
      <c r="C61" s="60">
        <f>SUM(H62:H63)</f>
        <v>167</v>
      </c>
      <c r="D61" s="60">
        <f>C61-B61</f>
        <v>-33.28</v>
      </c>
      <c r="I61" s="63"/>
      <c r="J61" s="97"/>
      <c r="K61" s="84"/>
      <c r="L61" s="41"/>
      <c r="M61" s="42"/>
      <c r="N61" s="42"/>
    </row>
    <row r="62" spans="1:15" s="54" customFormat="1" ht="13.5">
      <c r="A62" s="60"/>
      <c r="B62" s="54" t="s">
        <v>489</v>
      </c>
      <c r="G62" s="54">
        <f t="shared" ref="G62:G119" si="3">SUM(L62:N62)</f>
        <v>69.150000000000006</v>
      </c>
      <c r="H62" s="54">
        <v>67</v>
      </c>
      <c r="I62" s="63">
        <f t="shared" ref="I62:I123" si="4">H62-G62</f>
        <v>-2.1500000000000057</v>
      </c>
      <c r="J62" s="97">
        <f>Jan!I62+Feb!I62+Mar!I62+Apr!I62+May!I62+Jun!I62+July!I62+Aug!I62+Sep!I62+Oct!I62+Nov!I62+Dec!I62</f>
        <v>-21.860000000000014</v>
      </c>
      <c r="K62" s="84"/>
      <c r="L62" s="41"/>
      <c r="M62" s="42">
        <v>69.150000000000006</v>
      </c>
      <c r="N62" s="42"/>
    </row>
    <row r="63" spans="1:15" s="54" customFormat="1" ht="13.5">
      <c r="A63" s="60"/>
      <c r="B63" s="54" t="s">
        <v>490</v>
      </c>
      <c r="D63" s="67"/>
      <c r="G63" s="54">
        <f t="shared" si="3"/>
        <v>131.13</v>
      </c>
      <c r="H63" s="54">
        <v>100</v>
      </c>
      <c r="I63" s="63">
        <f t="shared" si="4"/>
        <v>-31.129999999999995</v>
      </c>
      <c r="J63" s="97">
        <f>Jan!I63+Feb!I63+Mar!I63+Apr!I63+May!I63+Jun!I63+July!I63+Aug!I63+Sep!I63+Oct!I63+Nov!I63+Dec!I63</f>
        <v>32.939999999999984</v>
      </c>
      <c r="K63" s="84"/>
      <c r="L63" s="41"/>
      <c r="M63" s="42">
        <v>131.13</v>
      </c>
      <c r="N63" s="42"/>
      <c r="O63" s="54" t="s">
        <v>1122</v>
      </c>
    </row>
    <row r="64" spans="1:15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108.01</v>
      </c>
      <c r="C65" s="60">
        <f>SUM(H66:H74)</f>
        <v>300</v>
      </c>
      <c r="D65" s="60">
        <f>C65-B65</f>
        <v>191.99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27.98</v>
      </c>
      <c r="H66" s="54">
        <v>60</v>
      </c>
      <c r="I66" s="63">
        <f t="shared" si="4"/>
        <v>32.019999999999996</v>
      </c>
      <c r="J66" s="97">
        <f>Jan!I66+Feb!I66+Mar!I66+Apr!I66+May!I66+Jun!I66+July!I66+Aug!I66+Sep!I66+Oct!I66+Nov!I66+Dec!I66</f>
        <v>126.46</v>
      </c>
      <c r="K66" s="84"/>
      <c r="L66" s="41"/>
      <c r="M66" s="42">
        <v>27.98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43.25</v>
      </c>
      <c r="H67" s="54">
        <v>130</v>
      </c>
      <c r="I67" s="63">
        <f t="shared" si="4"/>
        <v>86.75</v>
      </c>
      <c r="J67" s="97">
        <f>Jan!I67+Feb!I67+Mar!I67+Apr!I67+May!I67+Jun!I67+July!I67+Aug!I67+Sep!I67+Oct!I67+Nov!I67+Dec!I67</f>
        <v>-35.010000000000005</v>
      </c>
      <c r="K67" s="84"/>
      <c r="L67" s="41"/>
      <c r="M67" s="42">
        <v>43.25</v>
      </c>
      <c r="N67" s="42"/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0</v>
      </c>
      <c r="H70" s="54">
        <v>25</v>
      </c>
      <c r="I70" s="63">
        <f t="shared" si="4"/>
        <v>25</v>
      </c>
      <c r="J70" s="97">
        <f>Jan!I70+Feb!I70+Mar!I70+Apr!I70+May!I70+Jun!I70+July!I70+Aug!I70+Sep!I70+Oct!I70+Nov!I70+Dec!I70</f>
        <v>35.899999999999991</v>
      </c>
      <c r="K70" s="84"/>
      <c r="L70" s="41"/>
      <c r="M70" s="42"/>
      <c r="N70" s="42"/>
    </row>
    <row r="71" spans="1:15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Jan!I71+Feb!I71+Mar!I71+Apr!I71+May!I71+Jun!I71+July!I71+Aug!I71+Sep!I71+Oct!I71+Nov!I71+Dec!I71</f>
        <v>-1079.8400000000001</v>
      </c>
      <c r="K71" s="84"/>
      <c r="L71" s="41"/>
      <c r="M71" s="42"/>
      <c r="N71" s="42"/>
    </row>
    <row r="72" spans="1:15" s="54" customFormat="1" ht="13.5">
      <c r="A72" s="60"/>
      <c r="B72" s="54" t="s">
        <v>488</v>
      </c>
      <c r="G72" s="54">
        <f t="shared" si="3"/>
        <v>11.15</v>
      </c>
      <c r="H72" s="54">
        <v>20</v>
      </c>
      <c r="I72" s="63">
        <f t="shared" si="4"/>
        <v>8.85</v>
      </c>
      <c r="J72" s="97">
        <f>Jan!I72+Feb!I72+Mar!I72+Apr!I72+May!I72+Jun!I72+July!I72+Aug!I72+Sep!I72+Oct!I72+Nov!I72+Dec!I72</f>
        <v>82.460000000000008</v>
      </c>
      <c r="K72" s="84"/>
      <c r="L72" s="41">
        <v>11.15</v>
      </c>
      <c r="M72" s="42"/>
      <c r="N72" s="42"/>
      <c r="O72" s="54" t="s">
        <v>1123</v>
      </c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25.63</v>
      </c>
      <c r="H74" s="54">
        <v>35</v>
      </c>
      <c r="I74" s="63">
        <f t="shared" si="4"/>
        <v>9.370000000000001</v>
      </c>
      <c r="J74" s="97">
        <f>Jan!I74+Feb!I74+Mar!I74+Apr!I74+May!I74+Jun!I74+July!I74+Aug!I74+Sep!I74+Oct!I74+Nov!I74+Dec!I74</f>
        <v>174.31</v>
      </c>
      <c r="K74" s="84"/>
      <c r="L74" s="41"/>
      <c r="M74" s="42">
        <v>25.63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6535.62</v>
      </c>
      <c r="C76" s="151">
        <f>C78+C82+C88+C93+C102+C107+C112+C117+C130+C133+C138+C141</f>
        <v>2885</v>
      </c>
      <c r="D76" s="151">
        <f>D78+D82+D88+D93+D102+D107+D112+D117+D130+D133+D138+D141</f>
        <v>1149.6299999999999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1033</v>
      </c>
      <c r="B78" s="60">
        <f>SUM(G79:G80)</f>
        <v>4800.25</v>
      </c>
      <c r="C78" s="60">
        <f>SUM(H79:H80)</f>
        <v>0</v>
      </c>
      <c r="D78" s="60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>SUM(L79:N79)</f>
        <v>2472.71</v>
      </c>
      <c r="I79" s="63"/>
      <c r="J79" s="97"/>
      <c r="K79" s="84"/>
      <c r="L79" s="41">
        <v>2472.71</v>
      </c>
      <c r="M79" s="42"/>
      <c r="N79" s="42"/>
      <c r="O79" s="412"/>
    </row>
    <row r="80" spans="1:15" s="54" customFormat="1" ht="13.5">
      <c r="A80" s="60"/>
      <c r="B80" s="54" t="s">
        <v>479</v>
      </c>
      <c r="G80" s="54">
        <f>SUM(L80:N80)</f>
        <v>2327.54</v>
      </c>
      <c r="I80" s="63"/>
      <c r="J80" s="97"/>
      <c r="K80" s="84"/>
      <c r="L80" s="41">
        <f>710</f>
        <v>710</v>
      </c>
      <c r="M80" s="42">
        <v>1617.54</v>
      </c>
      <c r="N80" s="42"/>
      <c r="O80" s="54" t="s">
        <v>1124</v>
      </c>
    </row>
    <row r="81" spans="1:14" s="54" customFormat="1" ht="13.5">
      <c r="B81" s="54" t="s">
        <v>1110</v>
      </c>
      <c r="G81" s="54">
        <f>SUM(L81:N81)</f>
        <v>251.33999999999997</v>
      </c>
      <c r="I81" s="63"/>
      <c r="J81" s="97"/>
      <c r="K81" s="84"/>
      <c r="L81" s="41">
        <f>(18.95+212.06)+20.33</f>
        <v>251.33999999999997</v>
      </c>
      <c r="M81" s="42"/>
      <c r="N81" s="42"/>
    </row>
    <row r="82" spans="1:14" s="54" customFormat="1" ht="13.5">
      <c r="A82" s="60" t="s">
        <v>42</v>
      </c>
      <c r="B82" s="60">
        <f>SUM(G83:G86)</f>
        <v>103.69</v>
      </c>
      <c r="C82" s="60">
        <f>SUM(H83:H86)</f>
        <v>395</v>
      </c>
      <c r="D82" s="60">
        <f>C82-B82</f>
        <v>291.31</v>
      </c>
      <c r="I82" s="63"/>
      <c r="J82" s="97"/>
      <c r="K82" s="84"/>
      <c r="L82" s="41"/>
      <c r="M82" s="42"/>
      <c r="N82" s="42"/>
    </row>
    <row r="83" spans="1:14" s="54" customFormat="1" ht="13.5">
      <c r="B83" s="54" t="s">
        <v>29</v>
      </c>
      <c r="C83" s="54" t="s">
        <v>30</v>
      </c>
      <c r="G83" s="54">
        <f t="shared" si="3"/>
        <v>103.69</v>
      </c>
      <c r="H83" s="54">
        <v>125</v>
      </c>
      <c r="I83" s="63">
        <f t="shared" si="4"/>
        <v>21.310000000000002</v>
      </c>
      <c r="J83" s="97">
        <f>Jan!I83+Feb!I83+Mar!I83+Apr!I83+May!I83+Jun!I83+July!I83+Aug!I83+Sep!I83+Oct!I83+Nov!I83+Dec!I83</f>
        <v>122.63999999999999</v>
      </c>
      <c r="K83" s="84"/>
      <c r="L83" s="41">
        <v>103.69</v>
      </c>
      <c r="M83" s="42"/>
      <c r="N83" s="42"/>
    </row>
    <row r="84" spans="1:14" s="54" customFormat="1" ht="13.5">
      <c r="B84" s="54" t="s">
        <v>31</v>
      </c>
      <c r="C84" s="54" t="s">
        <v>32</v>
      </c>
      <c r="G84" s="54">
        <f t="shared" si="3"/>
        <v>0</v>
      </c>
      <c r="H84" s="54">
        <v>50</v>
      </c>
      <c r="I84" s="63">
        <f t="shared" si="4"/>
        <v>50</v>
      </c>
      <c r="J84" s="97">
        <f>Jan!I84+Feb!I84+Mar!I84+Apr!I84+May!I84+Jun!I84+July!I84+Aug!I84+Sep!I84+Oct!I84+Nov!I84+Dec!I84</f>
        <v>256.75</v>
      </c>
      <c r="K84" s="84"/>
      <c r="L84" s="41"/>
      <c r="M84" s="42"/>
      <c r="N84" s="42"/>
    </row>
    <row r="85" spans="1:14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Jan!I85+Feb!I85+Mar!I85+Apr!I85+May!I85+Jun!I85+July!I85+Aug!I85+Sep!I85+Oct!I85+Nov!I85+Dec!I85</f>
        <v>15</v>
      </c>
      <c r="K85" s="84"/>
      <c r="L85" s="41"/>
      <c r="M85" s="42"/>
      <c r="N85" s="42"/>
    </row>
    <row r="86" spans="1:14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Jan!I86+Feb!I86+Mar!I86+Apr!I86+May!I86+Jun!I86+July!I86+Aug!I86+Sep!I86+Oct!I86+Nov!I86+Dec!I86</f>
        <v>26.350000000000023</v>
      </c>
      <c r="K86" s="84"/>
      <c r="L86" s="41"/>
      <c r="M86" s="42"/>
      <c r="N86" s="42"/>
    </row>
    <row r="87" spans="1:14" s="54" customFormat="1" ht="13.5">
      <c r="I87" s="63"/>
      <c r="J87" s="97"/>
      <c r="K87" s="84"/>
      <c r="L87" s="41"/>
      <c r="M87" s="42"/>
      <c r="N87" s="42"/>
    </row>
    <row r="88" spans="1:14" s="54" customFormat="1" ht="13.5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4" s="54" customFormat="1" ht="13.5">
      <c r="B89" s="54" t="s">
        <v>49</v>
      </c>
      <c r="D89" s="54" t="s">
        <v>495</v>
      </c>
      <c r="G89" s="54">
        <f t="shared" si="3"/>
        <v>0</v>
      </c>
      <c r="H89" s="54">
        <v>57.5</v>
      </c>
      <c r="I89" s="63">
        <f t="shared" si="4"/>
        <v>57.5</v>
      </c>
      <c r="J89" s="97">
        <f>Jan!I89+Feb!I89+Mar!I89+Apr!I89+May!I89+Jun!I89+July!I89+Aug!I89+Sep!I89+Oct!I89+Nov!I89+Dec!I89</f>
        <v>-212</v>
      </c>
      <c r="K89" s="84"/>
      <c r="L89" s="41"/>
      <c r="M89" s="42"/>
      <c r="N89" s="42"/>
    </row>
    <row r="90" spans="1:14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Jan!I90+Feb!I90+Mar!I90+Apr!I90+May!I90+Jun!I90+July!I90+Aug!I90+Sep!I90+Oct!I90+Nov!I90+Dec!I90</f>
        <v>822</v>
      </c>
      <c r="K90" s="84"/>
      <c r="L90" s="41"/>
      <c r="M90" s="42"/>
      <c r="N90" s="42"/>
    </row>
    <row r="91" spans="1:14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Jan!I91+Feb!I91+Mar!I91+Apr!I91+May!I91+Jun!I91+July!I91+Aug!I91+Sep!I91+Oct!I91+Nov!I91+Dec!I91</f>
        <v>-0.81999999999999318</v>
      </c>
      <c r="K91" s="84"/>
      <c r="L91" s="41"/>
      <c r="M91" s="42"/>
      <c r="N91" s="42"/>
    </row>
    <row r="92" spans="1:14" s="54" customFormat="1" ht="13.5">
      <c r="I92" s="63"/>
      <c r="J92" s="97"/>
      <c r="K92" s="84"/>
      <c r="L92" s="41"/>
      <c r="M92" s="42"/>
      <c r="N92" s="42"/>
    </row>
    <row r="93" spans="1:14" s="54" customFormat="1" ht="13.5">
      <c r="A93" s="60" t="s">
        <v>52</v>
      </c>
      <c r="B93" s="60">
        <f>SUM(G94:G100)</f>
        <v>184.95</v>
      </c>
      <c r="C93" s="60">
        <f>SUM(H94:H100)</f>
        <v>178</v>
      </c>
      <c r="D93" s="60">
        <f>C93-B93</f>
        <v>-6.9499999999999886</v>
      </c>
      <c r="I93" s="63"/>
      <c r="J93" s="97"/>
      <c r="K93" s="84"/>
      <c r="L93" s="41"/>
      <c r="M93" s="42"/>
      <c r="N93" s="42"/>
    </row>
    <row r="94" spans="1:14" s="54" customFormat="1" ht="13.5">
      <c r="B94" s="54" t="s">
        <v>496</v>
      </c>
      <c r="G94" s="54">
        <f t="shared" si="3"/>
        <v>0</v>
      </c>
      <c r="H94" s="54">
        <v>20</v>
      </c>
      <c r="I94" s="63">
        <f t="shared" si="4"/>
        <v>20</v>
      </c>
      <c r="J94" s="97">
        <f>Jan!I94+Feb!I94+Mar!I94+Apr!I94+May!I94+Jun!I94+July!I94+Aug!I94+Sep!I94+Oct!I94+Nov!I94+Dec!I94</f>
        <v>61.33</v>
      </c>
      <c r="K94" s="84"/>
      <c r="L94" s="41"/>
      <c r="M94" s="42"/>
      <c r="N94" s="42"/>
    </row>
    <row r="95" spans="1:14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Jan!I95+Feb!I95+Mar!I95+Apr!I95+May!I95+Jun!I95+July!I95+Aug!I95+Sep!I95+Oct!I95+Nov!I95+Dec!I95</f>
        <v>31.6</v>
      </c>
      <c r="K95" s="84"/>
      <c r="L95" s="41"/>
      <c r="M95" s="42"/>
      <c r="N95" s="42"/>
    </row>
    <row r="96" spans="1:14" s="54" customFormat="1" ht="13.5">
      <c r="B96" s="54" t="s">
        <v>325</v>
      </c>
      <c r="G96" s="54">
        <f t="shared" si="3"/>
        <v>0</v>
      </c>
      <c r="H96" s="54">
        <v>65</v>
      </c>
      <c r="I96" s="63">
        <f t="shared" si="4"/>
        <v>65</v>
      </c>
      <c r="J96" s="97">
        <f>Jan!I96+Feb!I96+Mar!I96+Apr!I96+May!I96+Jun!I96+July!I96+Aug!I96+Sep!I96+Oct!I96+Nov!I96+Dec!I96</f>
        <v>262.52999999999997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Jan!I97+Feb!I97+Mar!I97+Apr!I97+May!I97+Jun!I97+July!I97+Aug!I97+Sep!I97+Oct!I97+Nov!I97+Dec!I97</f>
        <v>67.31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184.95</v>
      </c>
      <c r="H98" s="54">
        <v>35</v>
      </c>
      <c r="I98" s="63">
        <f t="shared" si="4"/>
        <v>-149.94999999999999</v>
      </c>
      <c r="J98" s="97">
        <f>Jan!I98+Feb!I98+Mar!I98+Apr!I98+May!I98+Jun!I98+July!I98+Aug!I98+Sep!I98+Oct!I98+Nov!I98+Dec!I98</f>
        <v>-438</v>
      </c>
      <c r="K98" s="84"/>
      <c r="L98" s="41">
        <v>184.95</v>
      </c>
      <c r="M98" s="42"/>
      <c r="N98" s="42"/>
      <c r="O98" s="54" t="s">
        <v>1126</v>
      </c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Jan!I99+Feb!I99+Mar!I99+Apr!I99+May!I99+Jun!I99+July!I99+Aug!I99+Sep!I99+Oct!I99+Nov!I99+Dec!I99</f>
        <v>312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Jan!I100+Feb!I100+Mar!I100+Apr!I100+May!I100+Jun!I100+July!I100+Aug!I100+Sep!I100+Oct!I100+Nov!I100+Dec!I100</f>
        <v>107.02000000000001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0</v>
      </c>
      <c r="C102" s="60">
        <f>SUM(H103:H105)</f>
        <v>130</v>
      </c>
      <c r="D102" s="60">
        <f>C102-B102</f>
        <v>130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0</v>
      </c>
      <c r="H103" s="54">
        <v>60</v>
      </c>
      <c r="I103" s="63">
        <f t="shared" si="4"/>
        <v>60</v>
      </c>
      <c r="J103" s="97">
        <f>Jan!I103+Feb!I103+Mar!I103+Apr!I103+May!I103+Jun!I103+July!I103+Aug!I103+Sep!I103+Oct!I103+Nov!I103+Dec!I103</f>
        <v>328.64</v>
      </c>
      <c r="K103" s="84"/>
      <c r="L103" s="41"/>
      <c r="M103" s="42"/>
      <c r="N103" s="42"/>
    </row>
    <row r="104" spans="1:15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Jan!I104+Feb!I104+Mar!I104+Apr!I104+May!I104+Jun!I104+July!I104+Aug!I104+Sep!I104+Oct!I104+Nov!I104+Dec!I104</f>
        <v>658.81</v>
      </c>
      <c r="K104" s="84"/>
      <c r="L104" s="41"/>
      <c r="M104" s="42"/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Jan!I105+Feb!I105+Mar!I105+Apr!I105+May!I105+Jun!I105+July!I105+Aug!I105+Sep!I105+Oct!I105+Nov!I105+Dec!I105</f>
        <v>120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221.11</v>
      </c>
      <c r="C107" s="60">
        <f>SUM(H108:H110)</f>
        <v>225</v>
      </c>
      <c r="D107" s="60">
        <f>C107-B107</f>
        <v>3.8899999999999864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0</v>
      </c>
      <c r="H108" s="54">
        <v>90</v>
      </c>
      <c r="I108" s="63">
        <f t="shared" si="4"/>
        <v>90</v>
      </c>
      <c r="J108" s="97">
        <f>Jan!I108+Feb!I108+Mar!I108+Apr!I108+May!I108+Jun!I108+July!I108+Aug!I108+Sep!I108+Oct!I108+Nov!I108+Dec!I108</f>
        <v>557.78</v>
      </c>
      <c r="K108" s="84"/>
      <c r="L108" s="41"/>
      <c r="M108" s="42"/>
      <c r="N108" s="42"/>
    </row>
    <row r="109" spans="1:15" s="54" customFormat="1" ht="13.5">
      <c r="B109" s="54" t="s">
        <v>57</v>
      </c>
      <c r="G109" s="54">
        <f t="shared" si="3"/>
        <v>0</v>
      </c>
      <c r="H109" s="54">
        <v>25</v>
      </c>
      <c r="I109" s="63">
        <f t="shared" si="4"/>
        <v>25</v>
      </c>
      <c r="J109" s="97">
        <f>Jan!I109+Feb!I109+Mar!I109+Apr!I109+May!I109+Jun!I109+July!I109+Aug!I109+Sep!I109+Oct!I109+Nov!I109+Dec!I109</f>
        <v>66.600000000000023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3"/>
        <v>221.11</v>
      </c>
      <c r="H110" s="54">
        <v>110</v>
      </c>
      <c r="I110" s="63">
        <f t="shared" si="4"/>
        <v>-111.11000000000001</v>
      </c>
      <c r="J110" s="97">
        <f>Jan!I110+Feb!I110+Mar!I110+Apr!I110+May!I110+Jun!I110+July!I110+Aug!I110+Sep!I110+Oct!I110+Nov!I110+Dec!I110</f>
        <v>-340.83000000000004</v>
      </c>
      <c r="K110" s="84"/>
      <c r="L110" s="41"/>
      <c r="M110" s="42">
        <v>221.11</v>
      </c>
      <c r="N110" s="42"/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170</v>
      </c>
      <c r="C112" s="60">
        <f>SUM(H113:H115)</f>
        <v>415</v>
      </c>
      <c r="D112" s="60">
        <f>C112-B112</f>
        <v>245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Jan!I113+Feb!I113+Mar!I113+Apr!I113+May!I113+Jun!I113+July!I113+Aug!I113+Sep!I113+Oct!I113+Nov!I113+Dec!I113</f>
        <v>1629.6499999999999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170</v>
      </c>
      <c r="H114" s="54">
        <v>215</v>
      </c>
      <c r="I114" s="63">
        <f t="shared" si="4"/>
        <v>45</v>
      </c>
      <c r="J114" s="97">
        <f>Jan!I114+Feb!I114+Mar!I114+Apr!I114+May!I114+Jun!I114+July!I114+Aug!I114+Sep!I114+Oct!I114+Nov!I114+Dec!I114</f>
        <v>310.05</v>
      </c>
      <c r="K114" s="84"/>
      <c r="L114" s="41">
        <v>170</v>
      </c>
      <c r="M114" s="42"/>
      <c r="N114" s="42"/>
    </row>
    <row r="115" spans="1:15" s="54" customFormat="1" ht="13.5">
      <c r="A115" s="60"/>
      <c r="B115" s="54" t="s">
        <v>526</v>
      </c>
      <c r="G115" s="54">
        <f t="shared" si="3"/>
        <v>0</v>
      </c>
      <c r="H115" s="54">
        <v>50</v>
      </c>
      <c r="I115" s="63">
        <f t="shared" si="4"/>
        <v>50</v>
      </c>
      <c r="J115" s="97">
        <f>Jan!I115+Feb!I115+Mar!I115+Apr!I115+May!I115+Jun!I115+July!I115+Aug!I115+Sep!I115+Oct!I115+Nov!I115+Dec!I115</f>
        <v>75.589999999999989</v>
      </c>
      <c r="K115" s="84"/>
      <c r="L115" s="41"/>
      <c r="M115" s="42"/>
      <c r="N115" s="42"/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779.3900000000001</v>
      </c>
      <c r="C117" s="60">
        <f>SUM(H118:H128)</f>
        <v>750</v>
      </c>
      <c r="D117" s="60">
        <f>C117-B117</f>
        <v>-29.3900000000001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257.84000000000003</v>
      </c>
      <c r="H118" s="54">
        <v>100</v>
      </c>
      <c r="I118" s="63">
        <f t="shared" si="4"/>
        <v>-157.84000000000003</v>
      </c>
      <c r="J118" s="97">
        <f>Jan!I118+Feb!I118+Mar!I118+Apr!I118+May!I118+Jun!I118+July!I118+Aug!I118+Sep!I118+Oct!I118+Nov!I118+Dec!I118</f>
        <v>-1049.8400000000001</v>
      </c>
      <c r="K118" s="84"/>
      <c r="L118" s="41">
        <f>57.84+200</f>
        <v>257.84000000000003</v>
      </c>
      <c r="M118" s="42"/>
      <c r="N118" s="42"/>
      <c r="O118" s="54" t="s">
        <v>1211</v>
      </c>
    </row>
    <row r="119" spans="1:15" s="54" customFormat="1" ht="14.25" thickBot="1">
      <c r="B119" s="54" t="s">
        <v>511</v>
      </c>
      <c r="G119" s="54">
        <f t="shared" si="3"/>
        <v>402.52</v>
      </c>
      <c r="H119" s="54">
        <v>500</v>
      </c>
      <c r="I119" s="63">
        <f t="shared" si="4"/>
        <v>97.480000000000018</v>
      </c>
      <c r="J119" s="97">
        <f>Jan!I119+Feb!I119+Mar!I119+Apr!I119+May!I119+Jun!I119+July!I119+Aug!I119+Sep!I119+Oct!I119+Nov!I119+Dec!I119</f>
        <v>228.95000000000019</v>
      </c>
      <c r="K119" s="84"/>
      <c r="L119" s="41">
        <v>-67.84</v>
      </c>
      <c r="M119" s="42">
        <v>24.94</v>
      </c>
      <c r="N119" s="42">
        <v>445.42</v>
      </c>
      <c r="O119" s="54" t="s">
        <v>1125</v>
      </c>
    </row>
    <row r="120" spans="1:15" s="54" customFormat="1" ht="14.25" thickBot="1">
      <c r="C120" s="54" t="s">
        <v>504</v>
      </c>
      <c r="E120" s="95">
        <f>Jan!F132+Feb!F133+Mar!F133+Apr!F133+May!F133+Jun!F133+July!F133+Aug!F133+Sep!F133+Oct!F133+Nov!F133+Dec!F133</f>
        <v>0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>
        <f>Jan!F133+Feb!F134+Mar!F134+Apr!F134+May!F134+Jun!F134+July!F134+Aug!F134+Sep!F134+Oct!F134+Nov!F134+Dec!F134</f>
        <v>0</v>
      </c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108.08</v>
      </c>
      <c r="H122" s="54">
        <v>40</v>
      </c>
      <c r="I122" s="63">
        <f t="shared" si="4"/>
        <v>-68.08</v>
      </c>
      <c r="J122" s="97">
        <f>Jan!I122+Feb!I122+Mar!I122+Apr!I122+May!I122+Jun!I122+July!I122+Aug!I122+Sep!I122+Oct!I122+Nov!I122+Dec!I122</f>
        <v>-157.69</v>
      </c>
      <c r="K122" s="84"/>
      <c r="L122" s="41"/>
      <c r="M122" s="42">
        <v>108.08</v>
      </c>
      <c r="N122" s="42"/>
      <c r="O122" s="54" t="s">
        <v>1127</v>
      </c>
    </row>
    <row r="123" spans="1:15" s="54" customFormat="1" ht="14.25" thickBot="1">
      <c r="B123" s="54" t="s">
        <v>55</v>
      </c>
      <c r="G123" s="54">
        <f>SUM(L123:N123)</f>
        <v>10.95</v>
      </c>
      <c r="H123" s="54">
        <v>100</v>
      </c>
      <c r="I123" s="63">
        <f t="shared" si="4"/>
        <v>89.05</v>
      </c>
      <c r="J123" s="97">
        <f>Jan!I123+Feb!I123+Mar!I123+Apr!I123+May!I123+Jun!I123+July!I123+Aug!I123+Sep!I123+Oct!I123+Nov!I123+Dec!I123</f>
        <v>403.98</v>
      </c>
      <c r="K123" s="84"/>
      <c r="L123" s="41"/>
      <c r="M123" s="42">
        <v>7.96</v>
      </c>
      <c r="N123" s="42">
        <v>2.99</v>
      </c>
      <c r="O123" s="54" t="s">
        <v>1128</v>
      </c>
    </row>
    <row r="124" spans="1:15" s="54" customFormat="1" ht="14.25" thickBot="1">
      <c r="C124" s="273" t="s">
        <v>506</v>
      </c>
      <c r="D124" s="274"/>
      <c r="E124" s="95">
        <f>Jan!F136+Feb!F137+Mar!F137+Apr!F137+May!F137+Jun!F137+July!F137+Aug!F137+Sep!F137+Oct!F137+Nov!F137+Dec!F137</f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v>2.99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v>1.98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v>5.98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62" si="5">SUM(L128:N128)</f>
        <v>0</v>
      </c>
      <c r="H128" s="54">
        <v>10</v>
      </c>
      <c r="I128" s="63">
        <f t="shared" ref="I128:I143" si="6">H128-G128</f>
        <v>10</v>
      </c>
      <c r="J128" s="97">
        <f>Jan!I128+Feb!I128+Mar!I128+Apr!I128+May!I128+Jun!I128+July!I128+Aug!I128+Sep!I128+Oct!I128+Nov!I128+Dec!I128</f>
        <v>-92.11</v>
      </c>
      <c r="K128" s="84"/>
      <c r="L128" s="41"/>
      <c r="M128" s="41"/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0</v>
      </c>
      <c r="C130" s="60">
        <f>H131</f>
        <v>140</v>
      </c>
      <c r="D130" s="60">
        <f>I131</f>
        <v>140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0</v>
      </c>
      <c r="H131" s="54">
        <v>140</v>
      </c>
      <c r="I131" s="63">
        <f t="shared" si="6"/>
        <v>140</v>
      </c>
      <c r="J131" s="97">
        <f>Jan!I131+Feb!I131+Mar!I131+Apr!I131+May!I131+Jun!I131+July!I131+Aug!I131+Sep!I131+Oct!I131+Nov!I131+Dec!I131</f>
        <v>590.49</v>
      </c>
      <c r="K131" s="84"/>
      <c r="L131" s="41"/>
      <c r="M131" s="41"/>
      <c r="N131" s="42"/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187.26999999999998</v>
      </c>
      <c r="C133" s="60">
        <f>SUM(H134:H136)</f>
        <v>230</v>
      </c>
      <c r="D133" s="60">
        <f>C133-B133</f>
        <v>42.730000000000018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187.26999999999998</v>
      </c>
      <c r="H134" s="54">
        <v>100</v>
      </c>
      <c r="I134" s="63">
        <f t="shared" si="6"/>
        <v>-87.269999999999982</v>
      </c>
      <c r="J134" s="97">
        <f>Jan!I134+Feb!I134+Mar!I134+Apr!I134+May!I134+Jun!I134+July!I134+Aug!I134+Sep!I134+Oct!I134+Nov!I134+Dec!I134</f>
        <v>26.269999999999996</v>
      </c>
      <c r="K134" s="84"/>
      <c r="L134" s="41"/>
      <c r="M134" s="41">
        <f>73.52+20.14+93.61</f>
        <v>187.26999999999998</v>
      </c>
      <c r="N134" s="42"/>
      <c r="O134" s="54" t="s">
        <v>1129</v>
      </c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Jan!I135+Feb!I135+Mar!I135+Apr!I135+May!I135+Jun!I135+July!I135+Aug!I135+Sep!I135+Oct!I135+Nov!I135+Dec!I135</f>
        <v>1200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Jan!I136+Feb!I136+Mar!I136+Apr!I136+May!I136+Jun!I136+July!I136+Aug!I136+Sep!I136+Oct!I136+Nov!I136+Dec!I136</f>
        <v>351.03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4.84</v>
      </c>
      <c r="C138" s="60">
        <f>H139</f>
        <v>10</v>
      </c>
      <c r="D138" s="60">
        <f>C138-B138</f>
        <v>5.16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4.84</v>
      </c>
      <c r="H139" s="54">
        <v>10</v>
      </c>
      <c r="I139" s="63">
        <f t="shared" si="6"/>
        <v>5.16</v>
      </c>
      <c r="J139" s="97">
        <f>Jan!I139+Feb!I139+Mar!I139+Apr!I139+May!I139+Jun!I139+July!I139+Aug!I139+Sep!I139+Oct!I139+Nov!I139+Dec!I139</f>
        <v>59.11</v>
      </c>
      <c r="K139" s="84"/>
      <c r="L139" s="41"/>
      <c r="M139" s="41">
        <v>4.84</v>
      </c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84.12</v>
      </c>
      <c r="C141" s="60">
        <f>SUM(H142:H143)</f>
        <v>250</v>
      </c>
      <c r="D141" s="60">
        <f>C141-B141</f>
        <v>165.88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Jan!I142+Feb!I142+Mar!I142+Apr!I142+May!I142+Jun!I142+July!I142+Aug!I142+Sep!I142+Oct!I142+Nov!I142+Dec!I142</f>
        <v>1675.8100000000002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84.12</v>
      </c>
      <c r="H143" s="54">
        <v>100</v>
      </c>
      <c r="I143" s="63">
        <f t="shared" si="6"/>
        <v>15.879999999999995</v>
      </c>
      <c r="J143" s="97">
        <f>Jan!I143+Feb!I143+Mar!I143+Apr!I143+May!I143+Jun!I143+July!I143+Aug!I143+Sep!I143+Oct!I143+Nov!I143+Dec!I143</f>
        <v>488.32999999999993</v>
      </c>
      <c r="K143" s="89"/>
      <c r="L143" s="41"/>
      <c r="M143" s="41">
        <v>23.73</v>
      </c>
      <c r="N143" s="42">
        <v>60.39</v>
      </c>
      <c r="O143" s="54" t="s">
        <v>1130</v>
      </c>
    </row>
    <row r="144" spans="1:15" s="54" customFormat="1" ht="13.5">
      <c r="I144" s="63"/>
      <c r="J144" s="97"/>
      <c r="K144" s="89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0</v>
      </c>
      <c r="C147" s="54">
        <f>SUM(H148:H162)</f>
        <v>410</v>
      </c>
      <c r="D147" s="60">
        <f>C147-B147</f>
        <v>410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si="5"/>
        <v>0</v>
      </c>
      <c r="H149" s="54">
        <v>100</v>
      </c>
      <c r="I149" s="63">
        <f t="shared" ref="I149:I162" si="7">H149-G149</f>
        <v>100</v>
      </c>
      <c r="J149" s="97">
        <f>Jan!I149+Feb!I149+Mar!I149+Apr!I149+May!I149+Jun!I149+July!I149+Aug!I149+Sep!I149+Oct!I149+Nov!I149+Dec!I149</f>
        <v>390.08000000000004</v>
      </c>
      <c r="L149" s="41"/>
      <c r="M149" s="41"/>
      <c r="N149" s="42"/>
    </row>
    <row r="150" spans="1:14" ht="14.25" thickBot="1">
      <c r="A150" s="95">
        <f>SUM(G149:G153)</f>
        <v>0</v>
      </c>
      <c r="B150" s="54" t="s">
        <v>289</v>
      </c>
      <c r="C150" s="54"/>
      <c r="D150" s="54"/>
      <c r="E150" s="54"/>
      <c r="F150" s="54"/>
      <c r="G150" s="54">
        <f t="shared" si="5"/>
        <v>0</v>
      </c>
      <c r="H150" s="54">
        <v>100</v>
      </c>
      <c r="I150" s="63">
        <f t="shared" si="7"/>
        <v>100</v>
      </c>
      <c r="J150" s="97">
        <f>Jan!I150+Feb!I150+Mar!I150+Apr!I150+May!I150+Jun!I150+July!I150+Aug!I150+Sep!I150+Oct!I150+Nov!I150+Dec!I150</f>
        <v>313.23000000000008</v>
      </c>
      <c r="L150" s="41"/>
      <c r="M150" s="41"/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5"/>
        <v>0</v>
      </c>
      <c r="H151" s="54">
        <v>30</v>
      </c>
      <c r="I151" s="63">
        <f t="shared" si="7"/>
        <v>30</v>
      </c>
      <c r="J151" s="97">
        <f>Jan!I151+Feb!I151+Mar!I151+Apr!I151+May!I151+Jun!I151+July!I151+Aug!I151+Sep!I151+Oct!I151+Nov!I151+Dec!I151</f>
        <v>120.5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5"/>
        <v>0</v>
      </c>
      <c r="H152" s="54">
        <v>50</v>
      </c>
      <c r="I152" s="63">
        <f t="shared" si="7"/>
        <v>50</v>
      </c>
      <c r="J152" s="97">
        <f>Jan!I152+Feb!I152+Mar!I152+Apr!I152+May!I152+Jun!I152+July!I152+Aug!I152+Sep!I152+Oct!I152+Nov!I152+Dec!I152</f>
        <v>269.08000000000004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5"/>
        <v>0</v>
      </c>
      <c r="H153" s="54">
        <v>10</v>
      </c>
      <c r="I153" s="63">
        <f t="shared" si="7"/>
        <v>10</v>
      </c>
      <c r="J153" s="97">
        <f>Jan!I153+Feb!I153+Mar!I153+Apr!I153+May!I153+Jun!I153+July!I153+Aug!I153+Sep!I153+Oct!I153+Nov!I153+Dec!I153</f>
        <v>103.09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5"/>
        <v>0</v>
      </c>
      <c r="H156" s="54"/>
      <c r="I156" s="63">
        <f t="shared" si="7"/>
        <v>0</v>
      </c>
      <c r="J156" s="97">
        <f>Jan!I156+Feb!I156+Mar!I156+Apr!I156+May!I156+Jun!I156+July!I156+Aug!I156+Sep!I156+Oct!I156+Nov!I156+Dec!I156</f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5"/>
        <v>0</v>
      </c>
      <c r="H157" s="54"/>
      <c r="I157" s="63">
        <f t="shared" si="7"/>
        <v>0</v>
      </c>
      <c r="J157" s="97">
        <f>Jan!I157+Feb!I157+Mar!I157+Apr!I157+May!I157+Jun!I157+July!I157+Aug!I157+Sep!I157+Oct!I157+Nov!I157+Dec!I157</f>
        <v>-5223.6000000000004</v>
      </c>
      <c r="L157" s="41"/>
      <c r="M157" s="41"/>
      <c r="N157" s="42"/>
    </row>
    <row r="158" spans="1:14" ht="13.5">
      <c r="A158" s="54"/>
      <c r="B158" s="54" t="s">
        <v>520</v>
      </c>
      <c r="C158" s="54"/>
      <c r="D158" s="54"/>
      <c r="E158" s="54"/>
      <c r="F158" s="54"/>
      <c r="G158" s="54">
        <f t="shared" si="5"/>
        <v>0</v>
      </c>
      <c r="H158" s="54"/>
      <c r="I158" s="63">
        <f t="shared" si="7"/>
        <v>0</v>
      </c>
      <c r="J158" s="97">
        <f>Jan!I158+Feb!I158+Mar!I158+Apr!I158+May!I158+Jun!I158+July!I158+Aug!I158+Sep!I158+Oct!I158+Nov!I158+Dec!I158</f>
        <v>-500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5"/>
        <v>0</v>
      </c>
      <c r="H159" s="54"/>
      <c r="I159" s="63">
        <f t="shared" si="7"/>
        <v>0</v>
      </c>
      <c r="J159" s="97">
        <f>Jan!I159+Feb!I159+Mar!I159+Apr!I159+May!I159+Jun!I159+July!I159+Aug!I159+Sep!I159+Oct!I159+Nov!I159+Dec!I159</f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5"/>
        <v>0</v>
      </c>
      <c r="H160" s="54"/>
      <c r="I160" s="63">
        <f t="shared" si="7"/>
        <v>0</v>
      </c>
      <c r="J160" s="97">
        <f>Jan!I160+Feb!I160+Mar!I160+Apr!I160+May!I160+Jun!I160+July!I160+Aug!I160+Sep!I160+Oct!I160+Nov!I160+Dec!I160</f>
        <v>-210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5"/>
        <v>0</v>
      </c>
      <c r="H162" s="54">
        <v>120</v>
      </c>
      <c r="I162" s="63">
        <f t="shared" si="7"/>
        <v>120</v>
      </c>
      <c r="J162" s="97">
        <f>Jan!I162+Feb!I162+Mar!I162+Apr!I162+May!I162+Jun!I162+July!I162+Aug!I162+Sep!I162+Oct!I162+Nov!I162+Dec!I162</f>
        <v>1140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557"/>
  <sheetViews>
    <sheetView tabSelected="1" topLeftCell="A45" zoomScale="96" zoomScaleNormal="96" workbookViewId="0">
      <selection activeCell="E60" sqref="E60"/>
    </sheetView>
  </sheetViews>
  <sheetFormatPr defaultColWidth="8.5703125" defaultRowHeight="12.75"/>
  <cols>
    <col min="1" max="1" width="21.28515625" style="1" customWidth="1"/>
    <col min="2" max="2" width="3.140625" style="1" customWidth="1"/>
    <col min="3" max="6" width="18.5703125" style="1" customWidth="1"/>
    <col min="7" max="7" width="16.85546875" style="1" customWidth="1"/>
    <col min="8" max="8" width="17.5703125" style="1" customWidth="1"/>
    <col min="9" max="9" width="15.42578125" customWidth="1"/>
    <col min="10" max="10" width="18.28515625" style="1" customWidth="1"/>
    <col min="11" max="256" width="9.42578125" style="1" customWidth="1"/>
  </cols>
  <sheetData>
    <row r="1" spans="1:256" ht="13.5" customHeight="1">
      <c r="A1" s="2" t="s">
        <v>0</v>
      </c>
      <c r="B1" s="2"/>
      <c r="C1" s="3">
        <v>2014</v>
      </c>
      <c r="D1" s="2" t="s">
        <v>1061</v>
      </c>
    </row>
    <row r="2" spans="1:256" ht="13.5" customHeight="1">
      <c r="A2" s="257" t="s">
        <v>798</v>
      </c>
      <c r="B2" s="2"/>
      <c r="C2" s="3"/>
      <c r="D2" s="2"/>
    </row>
    <row r="3" spans="1:256" ht="13.5" customHeight="1">
      <c r="A3" s="257" t="s">
        <v>1060</v>
      </c>
      <c r="B3" s="2"/>
      <c r="C3" s="3"/>
      <c r="D3" s="2"/>
    </row>
    <row r="4" spans="1:256" ht="13.5" customHeight="1">
      <c r="A4" s="257"/>
      <c r="B4" s="2"/>
      <c r="C4" s="3"/>
      <c r="D4" s="2"/>
    </row>
    <row r="5" spans="1:256" ht="13.5" customHeight="1">
      <c r="A5" s="2" t="s">
        <v>459</v>
      </c>
      <c r="B5" s="2"/>
      <c r="C5" s="3"/>
      <c r="D5" s="357">
        <v>133324.93</v>
      </c>
    </row>
    <row r="6" spans="1:256" ht="13.5" customHeight="1">
      <c r="A6" s="2" t="s">
        <v>1062</v>
      </c>
      <c r="B6" s="2"/>
      <c r="D6" s="12">
        <f>E36</f>
        <v>144311.16</v>
      </c>
      <c r="E6" s="2"/>
      <c r="F6" s="2"/>
      <c r="G6" s="12"/>
    </row>
    <row r="7" spans="1:256">
      <c r="A7" s="2" t="s">
        <v>1</v>
      </c>
      <c r="B7" s="4"/>
      <c r="D7" s="2"/>
    </row>
    <row r="8" spans="1:256">
      <c r="A8" s="2"/>
      <c r="B8" s="4"/>
      <c r="C8" s="2" t="s">
        <v>1057</v>
      </c>
      <c r="D8" s="2"/>
    </row>
    <row r="9" spans="1:256">
      <c r="A9" s="2"/>
      <c r="B9" s="4"/>
      <c r="C9" s="405" t="s">
        <v>1058</v>
      </c>
      <c r="D9" s="2"/>
    </row>
    <row r="10" spans="1:256">
      <c r="A10" s="2"/>
      <c r="B10" s="4"/>
      <c r="C10" s="2" t="s">
        <v>453</v>
      </c>
      <c r="D10" s="2"/>
    </row>
    <row r="11" spans="1:256">
      <c r="A11" s="2"/>
      <c r="B11" s="4"/>
      <c r="C11" s="2" t="s">
        <v>695</v>
      </c>
      <c r="D11" s="2"/>
    </row>
    <row r="12" spans="1:256">
      <c r="A12" s="2"/>
      <c r="B12" s="4"/>
      <c r="C12" s="2" t="s">
        <v>451</v>
      </c>
      <c r="D12" s="2"/>
    </row>
    <row r="13" spans="1:256">
      <c r="A13" s="2"/>
      <c r="B13" s="4"/>
      <c r="C13" s="2"/>
      <c r="D13" s="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A14" s="2"/>
      <c r="B14" s="4"/>
      <c r="C14" s="2" t="s">
        <v>454</v>
      </c>
      <c r="D14" s="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>
      <c r="A15" s="2" t="s">
        <v>356</v>
      </c>
      <c r="B15" s="4"/>
      <c r="C15" s="2" t="s">
        <v>357</v>
      </c>
      <c r="D15" s="2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>
      <c r="A16" s="2"/>
      <c r="B16" s="4"/>
      <c r="C16" s="2" t="s">
        <v>452</v>
      </c>
      <c r="D16" s="2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>
      <c r="A17" s="2"/>
      <c r="B17" s="4"/>
      <c r="C17" s="2" t="s">
        <v>358</v>
      </c>
      <c r="D17" s="2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>
      <c r="A18" s="2"/>
      <c r="B18" s="4"/>
      <c r="C18" s="2" t="s">
        <v>1059</v>
      </c>
      <c r="D18" s="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>
      <c r="A19" s="2"/>
      <c r="B19" s="4"/>
      <c r="C19" s="2"/>
      <c r="D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>
      <c r="A20" s="2"/>
      <c r="B20" s="2"/>
      <c r="C20" s="2"/>
      <c r="D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>
      <c r="A21" s="2" t="s">
        <v>666</v>
      </c>
      <c r="B21" s="2"/>
      <c r="J21" t="s">
        <v>694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5" customFormat="1">
      <c r="C22" s="5" t="s">
        <v>2</v>
      </c>
      <c r="D22" s="5" t="s">
        <v>3</v>
      </c>
      <c r="E22" s="5" t="s">
        <v>4</v>
      </c>
      <c r="F22" s="137" t="s">
        <v>350</v>
      </c>
      <c r="G22" s="5" t="s">
        <v>5</v>
      </c>
      <c r="H22" s="137" t="s">
        <v>692</v>
      </c>
      <c r="J22" s="356" t="s">
        <v>693</v>
      </c>
    </row>
    <row r="23" spans="1:256">
      <c r="A23" s="6" t="s">
        <v>6</v>
      </c>
      <c r="B23" s="6"/>
      <c r="C23" s="7">
        <f>Jan!G33</f>
        <v>-131.16999999999962</v>
      </c>
      <c r="D23" s="7">
        <f>Jan!$G$30</f>
        <v>0</v>
      </c>
      <c r="E23" s="7">
        <f>Jan!B4</f>
        <v>6802.05</v>
      </c>
      <c r="F23" s="7">
        <f>Jan!G28-G23</f>
        <v>2750</v>
      </c>
      <c r="G23" s="7">
        <f>Jan!G11</f>
        <v>1230</v>
      </c>
      <c r="H23" s="7">
        <f>Jan!G32</f>
        <v>3053.22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>
      <c r="A24" s="6" t="s">
        <v>7</v>
      </c>
      <c r="B24" s="6"/>
      <c r="C24" s="7">
        <f>Feb!G33</f>
        <v>-319.89000000000124</v>
      </c>
      <c r="D24" s="7">
        <f>Feb!$G$30</f>
        <v>0</v>
      </c>
      <c r="E24" s="7">
        <f>Feb!B4</f>
        <v>7113.74</v>
      </c>
      <c r="F24" s="7">
        <f>Feb!G28-G24</f>
        <v>2750</v>
      </c>
      <c r="G24" s="7">
        <f>Feb!G11</f>
        <v>1050</v>
      </c>
      <c r="H24" s="7">
        <f>Feb!G32</f>
        <v>3633.630000000001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>
      <c r="A25" s="6" t="s">
        <v>8</v>
      </c>
      <c r="B25" s="6"/>
      <c r="C25" s="7">
        <f>Mar!G33</f>
        <v>16111.56</v>
      </c>
      <c r="D25" s="7">
        <f>Mar!$G$30</f>
        <v>0</v>
      </c>
      <c r="E25" s="7">
        <f>Mar!B4</f>
        <v>23361.14</v>
      </c>
      <c r="F25" s="7">
        <f>Mar!G28-G25</f>
        <v>2750</v>
      </c>
      <c r="G25" s="7">
        <f>Mar!G11</f>
        <v>1280</v>
      </c>
      <c r="H25" s="7">
        <f>Mar!G32</f>
        <v>3219.58</v>
      </c>
      <c r="J25" t="s">
        <v>690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>
      <c r="A26" s="6" t="s">
        <v>9</v>
      </c>
      <c r="B26" s="6"/>
      <c r="C26" s="7">
        <f>Apr!G33</f>
        <v>26.090000000001965</v>
      </c>
      <c r="D26" s="7">
        <f>Apr!$G$30</f>
        <v>1099</v>
      </c>
      <c r="E26" s="7">
        <f>Apr!B4</f>
        <v>7563.4700000000012</v>
      </c>
      <c r="F26" s="7">
        <f>Apr!G28-G26</f>
        <v>2750</v>
      </c>
      <c r="G26" s="7">
        <f>Apr!G11</f>
        <v>1350</v>
      </c>
      <c r="H26" s="7">
        <f>Apr!G32</f>
        <v>4536.3799999999992</v>
      </c>
      <c r="J26" t="s">
        <v>691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>
      <c r="A27" s="6" t="s">
        <v>10</v>
      </c>
      <c r="B27" s="6"/>
      <c r="C27" s="7">
        <f>May!G33</f>
        <v>-1609.9499999999989</v>
      </c>
      <c r="D27" s="7">
        <f>May!$G$30</f>
        <v>0</v>
      </c>
      <c r="E27" s="7">
        <f>May!B4</f>
        <v>10875.730000000001</v>
      </c>
      <c r="F27" s="7">
        <f>May!G28-G27</f>
        <v>2750</v>
      </c>
      <c r="G27" s="7">
        <f>May!G11</f>
        <v>1450</v>
      </c>
      <c r="H27" s="7">
        <f>May!G32</f>
        <v>8485.68</v>
      </c>
      <c r="J27" t="s">
        <v>796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>
      <c r="A28" s="6" t="s">
        <v>11</v>
      </c>
      <c r="B28" s="6"/>
      <c r="C28" s="7">
        <f>Jun!G33</f>
        <v>11435.46</v>
      </c>
      <c r="D28" s="7">
        <f>Jun!$G$30</f>
        <v>3429.62</v>
      </c>
      <c r="E28" s="7">
        <f>Jun!B4</f>
        <v>16710.68</v>
      </c>
      <c r="F28" s="7">
        <f>Jun!G28-G28</f>
        <v>2750</v>
      </c>
      <c r="G28" s="7">
        <f>Jun!G11</f>
        <v>1300</v>
      </c>
      <c r="H28" s="7">
        <f>Jun!G32</f>
        <v>4654.84</v>
      </c>
      <c r="J28" t="s">
        <v>924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>
      <c r="A29" s="6" t="s">
        <v>12</v>
      </c>
      <c r="B29" s="6"/>
      <c r="C29" s="7">
        <f>July!G33</f>
        <v>967.91000000000031</v>
      </c>
      <c r="D29" s="7">
        <f>July!$G$30</f>
        <v>0</v>
      </c>
      <c r="E29" s="7">
        <f>July!B4</f>
        <v>8878.8700000000008</v>
      </c>
      <c r="F29" s="7">
        <f>July!G28-G29</f>
        <v>2750</v>
      </c>
      <c r="G29" s="7">
        <f>July!G11</f>
        <v>1230</v>
      </c>
      <c r="H29" s="7">
        <f>July!G32</f>
        <v>3930.9600000000005</v>
      </c>
      <c r="J29" t="s">
        <v>13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>
      <c r="A30" s="6" t="s">
        <v>14</v>
      </c>
      <c r="B30" s="6"/>
      <c r="C30" s="7">
        <f>Aug!G33</f>
        <v>6521.4000000000015</v>
      </c>
      <c r="D30" s="7">
        <f>Aug!$G$30</f>
        <v>0</v>
      </c>
      <c r="E30" s="7">
        <f>Aug!B4</f>
        <v>13830.76</v>
      </c>
      <c r="F30" s="7">
        <f>Aug!G28-G30</f>
        <v>2750</v>
      </c>
      <c r="G30" s="7">
        <f>Aug!G11</f>
        <v>1250</v>
      </c>
      <c r="H30" s="7">
        <f>Aug!G32</f>
        <v>3309.3599999999992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>
      <c r="A31" s="6" t="s">
        <v>15</v>
      </c>
      <c r="B31" s="6"/>
      <c r="C31" s="7">
        <f>Sep!G33</f>
        <v>1888.5300000000007</v>
      </c>
      <c r="D31" s="7">
        <f>Sep!$G$30</f>
        <v>0</v>
      </c>
      <c r="E31" s="7">
        <f>Sep!B4</f>
        <v>12557.92</v>
      </c>
      <c r="F31" s="7">
        <f>Sep!G28-G31</f>
        <v>2750</v>
      </c>
      <c r="G31" s="7">
        <f>Sep!G11</f>
        <v>1250</v>
      </c>
      <c r="H31" s="7">
        <f>Sep!G32</f>
        <v>6669.3899999999994</v>
      </c>
      <c r="J31" s="1" t="s">
        <v>1192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>
      <c r="A32" s="6" t="s">
        <v>16</v>
      </c>
      <c r="B32" s="6"/>
      <c r="C32" s="7">
        <f>Oct!G33</f>
        <v>-3181.6799999999985</v>
      </c>
      <c r="D32" s="7">
        <f>Oct!$G$30</f>
        <v>0</v>
      </c>
      <c r="E32" s="7">
        <f>Oct!B4</f>
        <v>12114.61</v>
      </c>
      <c r="F32" s="7">
        <f>Oct!G28-G32</f>
        <v>2750</v>
      </c>
      <c r="G32" s="7">
        <f>Oct!G11</f>
        <v>1330</v>
      </c>
      <c r="H32" s="7">
        <f>Oct!G32</f>
        <v>11216.289999999999</v>
      </c>
      <c r="J32" s="1" t="s">
        <v>1193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>
      <c r="A33" s="6" t="s">
        <v>17</v>
      </c>
      <c r="B33" s="6"/>
      <c r="C33" s="7">
        <f>Nov!G33</f>
        <v>-3576.1099999999969</v>
      </c>
      <c r="D33" s="7">
        <f>Nov!$G$30</f>
        <v>0</v>
      </c>
      <c r="E33" s="7">
        <f>Nov!B4</f>
        <v>12090.810000000001</v>
      </c>
      <c r="F33" s="7">
        <f>Nov!G28-G33</f>
        <v>2750</v>
      </c>
      <c r="G33" s="7">
        <f>Nov!G11</f>
        <v>1250</v>
      </c>
      <c r="H33" s="7">
        <f>Nov!G32</f>
        <v>11866.919999999998</v>
      </c>
      <c r="J33" s="1" t="s">
        <v>1193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>
      <c r="A34" s="6" t="s">
        <v>18</v>
      </c>
      <c r="B34" s="6"/>
      <c r="C34" s="7">
        <f>Dec!G33</f>
        <v>2272.1700000000028</v>
      </c>
      <c r="D34" s="7">
        <f>Dec!$G$30</f>
        <v>0</v>
      </c>
      <c r="E34" s="7">
        <f>Dec!B4</f>
        <v>12411.380000000001</v>
      </c>
      <c r="F34" s="7">
        <f>Dec!G28-G34</f>
        <v>1200</v>
      </c>
      <c r="G34" s="7">
        <f>Dec!G11</f>
        <v>1400</v>
      </c>
      <c r="H34" s="7">
        <f>Dec!G32</f>
        <v>7589.2099999999982</v>
      </c>
      <c r="J34" s="1" t="s">
        <v>1193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6" spans="1:256" ht="13.5" thickBot="1">
      <c r="A36" s="385" t="s">
        <v>82</v>
      </c>
      <c r="C36" s="8">
        <f t="shared" ref="C36:H36" si="0">SUM(C23:C34)</f>
        <v>30404.320000000007</v>
      </c>
      <c r="D36" s="8">
        <f t="shared" si="0"/>
        <v>4528.62</v>
      </c>
      <c r="E36" s="8">
        <f t="shared" si="0"/>
        <v>144311.16</v>
      </c>
      <c r="F36" s="8">
        <f t="shared" si="0"/>
        <v>31450</v>
      </c>
      <c r="G36" s="8">
        <f t="shared" si="0"/>
        <v>15370</v>
      </c>
      <c r="H36" s="139">
        <f t="shared" si="0"/>
        <v>72165.459999999992</v>
      </c>
      <c r="J36" s="9">
        <f>G36/E36</f>
        <v>0.10650596946209842</v>
      </c>
      <c r="K36" s="1" t="s">
        <v>19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3.5" thickTop="1">
      <c r="C37" s="7"/>
      <c r="G37" t="s">
        <v>1064</v>
      </c>
      <c r="H37" s="10">
        <f>553.96*12</f>
        <v>6647.52</v>
      </c>
      <c r="I37" t="s">
        <v>1063</v>
      </c>
      <c r="J37" s="11">
        <f>H37/E36</f>
        <v>4.6063797145002507E-2</v>
      </c>
      <c r="K37" s="1" t="s">
        <v>20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>
      <c r="A38" s="1" t="s">
        <v>1195</v>
      </c>
      <c r="C38" s="7">
        <v>10389.56</v>
      </c>
      <c r="G38" t="s">
        <v>1065</v>
      </c>
      <c r="H38" s="10">
        <f>2472.71*2</f>
        <v>4945.42</v>
      </c>
      <c r="J38" s="1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>
      <c r="A39" t="s">
        <v>790</v>
      </c>
      <c r="C39" s="1">
        <v>0</v>
      </c>
      <c r="G39" s="1" t="s">
        <v>1187</v>
      </c>
      <c r="H39" s="1">
        <v>19394.27</v>
      </c>
      <c r="J39" s="413">
        <f>H39/H36</f>
        <v>0.26874726496581608</v>
      </c>
      <c r="K39" s="1" t="s">
        <v>1191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>
      <c r="A40" t="s">
        <v>1186</v>
      </c>
      <c r="B40" s="1" t="s">
        <v>194</v>
      </c>
      <c r="C40" s="1">
        <v>-36095.78</v>
      </c>
      <c r="E40" s="138">
        <f>E23-F23-H23</f>
        <v>998.83000000000038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3.5" thickBot="1">
      <c r="A41" s="1" t="s">
        <v>1196</v>
      </c>
      <c r="C41" s="1">
        <f>-7000+10471.94</f>
        <v>3471.9400000000005</v>
      </c>
      <c r="G41" s="1" t="s">
        <v>1189</v>
      </c>
      <c r="H41" s="8">
        <f>H36-SUM(H37:H39)</f>
        <v>41178.249999999993</v>
      </c>
      <c r="J41" s="11">
        <f>H41/E36</f>
        <v>0.28534348972040685</v>
      </c>
      <c r="K41" s="1" t="s">
        <v>21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3.5" thickTop="1">
      <c r="A42" t="s">
        <v>791</v>
      </c>
      <c r="C42" s="1">
        <v>-5000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>
      <c r="C43" s="1">
        <f>150*8</f>
        <v>1200</v>
      </c>
      <c r="G43" s="1" t="s">
        <v>1190</v>
      </c>
      <c r="H43" s="12">
        <f>H41/12</f>
        <v>3431.5208333333326</v>
      </c>
    </row>
    <row r="44" spans="1:256">
      <c r="A44" s="1" t="s">
        <v>1145</v>
      </c>
      <c r="C44" s="1">
        <v>99.22</v>
      </c>
      <c r="G44" s="1" t="s">
        <v>22</v>
      </c>
      <c r="H44" s="7">
        <f>H36/12</f>
        <v>6013.788333333333</v>
      </c>
      <c r="J44"/>
      <c r="K44"/>
    </row>
    <row r="45" spans="1:256" ht="13.5" thickBot="1">
      <c r="A45" s="134" t="s">
        <v>797</v>
      </c>
      <c r="C45" s="386">
        <f>SUM(C36:C44)</f>
        <v>4469.2600000000066</v>
      </c>
    </row>
    <row r="46" spans="1:256" ht="13.5" thickTop="1">
      <c r="A46" s="134"/>
      <c r="C46" s="414"/>
    </row>
    <row r="47" spans="1:256">
      <c r="A47" s="416" t="s">
        <v>1212</v>
      </c>
      <c r="C47" s="414"/>
    </row>
    <row r="48" spans="1:256">
      <c r="A48" s="416"/>
      <c r="C48" s="414"/>
      <c r="I48" s="1"/>
      <c r="J48" t="s">
        <v>1213</v>
      </c>
    </row>
    <row r="49" spans="1:256">
      <c r="A49" s="2" t="s">
        <v>23</v>
      </c>
      <c r="B49" s="2"/>
      <c r="C49" s="153" t="s">
        <v>24</v>
      </c>
      <c r="D49" s="141" t="s">
        <v>1214</v>
      </c>
      <c r="E49" s="141" t="s">
        <v>1215</v>
      </c>
      <c r="F49" s="141" t="s">
        <v>1216</v>
      </c>
      <c r="G49" s="141" t="s">
        <v>1217</v>
      </c>
      <c r="H49" s="141" t="s">
        <v>1218</v>
      </c>
      <c r="I49" s="336" t="s">
        <v>1219</v>
      </c>
      <c r="J49" s="111" t="s">
        <v>1220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>
      <c r="A50" s="1" t="s">
        <v>25</v>
      </c>
      <c r="C50" s="10">
        <f>Jan!G5+Feb!G5+Mar!G5+Apr!G5+May!G5+Jun!G5+July!G5+Aug!G5+Sep!G5+Oct!G5+Nov!G5+Dec!G5</f>
        <v>109354.48</v>
      </c>
      <c r="D50" s="128">
        <v>152824.51</v>
      </c>
      <c r="E50" s="128">
        <v>23947.22</v>
      </c>
      <c r="F50" s="128">
        <v>7254</v>
      </c>
      <c r="G50" s="128">
        <v>2469.71</v>
      </c>
      <c r="H50" s="128">
        <v>7871.77</v>
      </c>
      <c r="I50" s="128">
        <f>D50-E50-F50-G50-H50</f>
        <v>111281.81</v>
      </c>
      <c r="J50" s="128">
        <f>C50-I50</f>
        <v>-1927.3300000000017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>
      <c r="C51" s="10"/>
      <c r="D51" s="128"/>
      <c r="E51" s="128"/>
      <c r="F51" s="128"/>
      <c r="G51" s="128"/>
      <c r="H51" s="128"/>
      <c r="I51" s="128"/>
      <c r="J51" s="128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>
      <c r="A52" t="s">
        <v>26</v>
      </c>
      <c r="B52" s="128"/>
      <c r="D52" s="128"/>
      <c r="E52" s="128"/>
      <c r="F52" s="128"/>
      <c r="G52" s="128"/>
      <c r="H52" s="128"/>
      <c r="I52" s="128"/>
      <c r="J52" s="128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>
      <c r="A53" s="137" t="s">
        <v>427</v>
      </c>
      <c r="B53" s="5"/>
      <c r="C53" s="10">
        <f>Jan!G6+Feb!G6+Mar!G6+Apr!G6+May!G6+Jun!G6+July!G6+Aug!G6+Sep!G6+Oct!G6+Nov!G6+Dec!G6</f>
        <v>29877.46</v>
      </c>
      <c r="D53" s="128">
        <v>33500</v>
      </c>
      <c r="E53" s="128">
        <v>1059.79</v>
      </c>
      <c r="F53" s="128">
        <v>2077</v>
      </c>
      <c r="G53" s="128">
        <v>485.75</v>
      </c>
      <c r="H53" s="128">
        <v>0</v>
      </c>
      <c r="I53" s="128">
        <f>D53-E53-F53-G53-H53</f>
        <v>29877.46</v>
      </c>
      <c r="J53" s="128">
        <f>C53-I53</f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>
      <c r="A54" s="137" t="s">
        <v>27</v>
      </c>
      <c r="B54" s="5"/>
      <c r="C54" s="10">
        <f>Jan!G7+Feb!G7+Mar!G7+Apr!G7+May!G7+Jun!G7+July!G7+Aug!G7+Sep!G7+Oct!G7+Nov!G7+Dec!G7</f>
        <v>5079.2199999999993</v>
      </c>
      <c r="D54" s="128">
        <v>5500</v>
      </c>
      <c r="E54" s="128">
        <v>0</v>
      </c>
      <c r="F54" s="128">
        <v>341</v>
      </c>
      <c r="G54" s="128">
        <v>79.75</v>
      </c>
      <c r="H54" s="128">
        <v>0</v>
      </c>
      <c r="I54" s="128">
        <f>D54-E54-F54-G54-H54</f>
        <v>5079.25</v>
      </c>
      <c r="J54" s="128">
        <f>C54-I54</f>
        <v>-3.0000000000654836E-2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3.5" thickBot="1">
      <c r="A55" s="137" t="s">
        <v>428</v>
      </c>
      <c r="B55" s="5"/>
      <c r="C55" s="177">
        <f>SUM(C53:C54)</f>
        <v>34956.68</v>
      </c>
      <c r="D55" s="128"/>
      <c r="E55" s="128"/>
      <c r="F55" s="128"/>
      <c r="G55" s="128"/>
      <c r="H55" s="128"/>
      <c r="I55" s="128"/>
      <c r="J55" s="128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>
      <c r="A56" s="5"/>
      <c r="B56" s="5"/>
      <c r="C56" s="176"/>
      <c r="D56" s="417"/>
      <c r="E56" s="417"/>
      <c r="F56" s="417"/>
      <c r="G56" s="417"/>
      <c r="H56" s="417"/>
      <c r="I56" s="395"/>
      <c r="J56" s="395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3.5" thickBot="1">
      <c r="A57" s="152" t="s">
        <v>429</v>
      </c>
      <c r="C57" s="175">
        <f>C50+C55</f>
        <v>144311.16</v>
      </c>
      <c r="D57" s="420">
        <f t="shared" ref="D57:J57" si="1">D50+D53+D54</f>
        <v>191824.51</v>
      </c>
      <c r="E57" s="420">
        <f t="shared" si="1"/>
        <v>25007.010000000002</v>
      </c>
      <c r="F57" s="420">
        <f t="shared" si="1"/>
        <v>9672</v>
      </c>
      <c r="G57" s="420">
        <f t="shared" si="1"/>
        <v>3035.21</v>
      </c>
      <c r="H57" s="420">
        <f t="shared" si="1"/>
        <v>7871.77</v>
      </c>
      <c r="I57" s="420">
        <f t="shared" si="1"/>
        <v>146238.51999999999</v>
      </c>
      <c r="J57" s="420">
        <f t="shared" si="1"/>
        <v>-1927.3600000000024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3.5" thickTop="1">
      <c r="F58" s="421">
        <v>-7254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3.5" thickBot="1">
      <c r="E59" s="1" t="s">
        <v>1318</v>
      </c>
      <c r="F59" s="422">
        <f>SUM(F57:F58)</f>
        <v>2418</v>
      </c>
    </row>
    <row r="60" spans="1:256" ht="13.5" thickTop="1"/>
    <row r="62" spans="1:256">
      <c r="A62" s="1" t="s">
        <v>1313</v>
      </c>
    </row>
    <row r="63" spans="1:256">
      <c r="A63" s="1" t="s">
        <v>1244</v>
      </c>
      <c r="C63" s="1">
        <f>9186</f>
        <v>9186</v>
      </c>
    </row>
    <row r="64" spans="1:256">
      <c r="A64" s="1" t="s">
        <v>380</v>
      </c>
      <c r="C64" s="1">
        <v>3696.84</v>
      </c>
    </row>
    <row r="65" spans="1:3">
      <c r="A65" s="1" t="s">
        <v>1314</v>
      </c>
      <c r="C65" s="1">
        <f>1099.1</f>
        <v>1099.0999999999999</v>
      </c>
    </row>
    <row r="66" spans="1:3">
      <c r="A66" s="1" t="s">
        <v>1314</v>
      </c>
      <c r="C66" s="1">
        <v>1103</v>
      </c>
    </row>
    <row r="67" spans="1:3" ht="13.5" thickBot="1">
      <c r="C67" s="107">
        <f>SUM(C63:C66)</f>
        <v>15084.94</v>
      </c>
    </row>
    <row r="68" spans="1:3" ht="13.5" thickTop="1">
      <c r="A68" s="1" t="s">
        <v>1316</v>
      </c>
      <c r="C68" s="1">
        <v>5989.2</v>
      </c>
    </row>
    <row r="69" spans="1:3" ht="13.5" thickBot="1">
      <c r="C69" s="107">
        <f>SUM(C67:C68)</f>
        <v>21074.14</v>
      </c>
    </row>
    <row r="70" spans="1:3" ht="13.5" thickTop="1"/>
    <row r="71" spans="1:3">
      <c r="A71" s="1" t="s">
        <v>1315</v>
      </c>
    </row>
    <row r="72" spans="1:3">
      <c r="A72" s="1" t="s">
        <v>380</v>
      </c>
      <c r="C72" s="1">
        <v>6358.12</v>
      </c>
    </row>
    <row r="73" spans="1:3">
      <c r="A73" s="1" t="s">
        <v>1314</v>
      </c>
      <c r="C73" s="1">
        <f>2892.75</f>
        <v>2892.75</v>
      </c>
    </row>
    <row r="74" spans="1:3" ht="13.5" thickBot="1">
      <c r="C74" s="107">
        <f>SUM(C72:C73)</f>
        <v>9250.869999999999</v>
      </c>
    </row>
    <row r="75" spans="1:3" ht="13.5" thickTop="1"/>
    <row r="65557" spans="1:256" ht="13.5" customHeight="1">
      <c r="A65557"/>
      <c r="B65557"/>
      <c r="C65557"/>
      <c r="D65557"/>
      <c r="E65557"/>
      <c r="F65557"/>
      <c r="G65557"/>
      <c r="H65557"/>
      <c r="J65557"/>
      <c r="K65557"/>
      <c r="L65557"/>
      <c r="M65557"/>
      <c r="N65557"/>
      <c r="O65557"/>
      <c r="P65557"/>
      <c r="Q65557"/>
      <c r="R65557"/>
      <c r="S65557"/>
      <c r="T65557"/>
      <c r="U65557"/>
      <c r="V65557"/>
      <c r="W65557"/>
      <c r="X65557"/>
      <c r="Y65557"/>
      <c r="Z65557"/>
      <c r="AA65557"/>
      <c r="AB65557"/>
      <c r="AC65557"/>
      <c r="AD65557"/>
      <c r="AE65557"/>
      <c r="AF65557"/>
      <c r="AG65557"/>
      <c r="AH65557"/>
      <c r="AI65557"/>
      <c r="AJ65557"/>
      <c r="AK65557"/>
      <c r="AL65557"/>
      <c r="AM65557"/>
      <c r="AN65557"/>
      <c r="AO65557"/>
      <c r="AP65557"/>
      <c r="AQ65557"/>
      <c r="AR65557"/>
      <c r="AS65557"/>
      <c r="AT65557"/>
      <c r="AU65557"/>
      <c r="AV65557"/>
      <c r="AW65557"/>
      <c r="AX65557"/>
      <c r="AY65557"/>
      <c r="AZ65557"/>
      <c r="BA65557"/>
      <c r="BB65557"/>
      <c r="BC65557"/>
      <c r="BD65557"/>
      <c r="BE65557"/>
      <c r="BF65557"/>
      <c r="BG65557"/>
      <c r="BH65557"/>
      <c r="BI65557"/>
      <c r="BJ65557"/>
      <c r="BK65557"/>
      <c r="BL65557"/>
      <c r="BM65557"/>
      <c r="BN65557"/>
      <c r="BO65557"/>
      <c r="BP65557"/>
      <c r="BQ65557"/>
      <c r="BR65557"/>
      <c r="BS65557"/>
      <c r="BT65557"/>
      <c r="BU65557"/>
      <c r="BV65557"/>
      <c r="BW65557"/>
      <c r="BX65557"/>
      <c r="BY65557"/>
      <c r="BZ65557"/>
      <c r="CA65557"/>
      <c r="CB65557"/>
      <c r="CC65557"/>
      <c r="CD65557"/>
      <c r="CE65557"/>
      <c r="CF65557"/>
      <c r="CG65557"/>
      <c r="CH65557"/>
      <c r="CI65557"/>
      <c r="CJ65557"/>
      <c r="CK65557"/>
      <c r="CL65557"/>
      <c r="CM65557"/>
      <c r="CN65557"/>
      <c r="CO65557"/>
      <c r="CP65557"/>
      <c r="CQ65557"/>
      <c r="CR65557"/>
      <c r="CS65557"/>
      <c r="CT65557"/>
      <c r="CU65557"/>
      <c r="CV65557"/>
      <c r="CW65557"/>
      <c r="CX65557"/>
      <c r="CY65557"/>
      <c r="CZ65557"/>
      <c r="DA65557"/>
      <c r="DB65557"/>
      <c r="DC65557"/>
      <c r="DD65557"/>
      <c r="DE65557"/>
      <c r="DF65557"/>
      <c r="DG65557"/>
      <c r="DH65557"/>
      <c r="DI65557"/>
      <c r="DJ65557"/>
      <c r="DK65557"/>
      <c r="DL65557"/>
      <c r="DM65557"/>
      <c r="DN65557"/>
      <c r="DO65557"/>
      <c r="DP65557"/>
      <c r="DQ65557"/>
      <c r="DR65557"/>
      <c r="DS65557"/>
      <c r="DT65557"/>
      <c r="DU65557"/>
      <c r="DV65557"/>
      <c r="DW65557"/>
      <c r="DX65557"/>
      <c r="DY65557"/>
      <c r="DZ65557"/>
      <c r="EA65557"/>
      <c r="EB65557"/>
      <c r="EC65557"/>
      <c r="ED65557"/>
      <c r="EE65557"/>
      <c r="EF65557"/>
      <c r="EG65557"/>
      <c r="EH65557"/>
      <c r="EI65557"/>
      <c r="EJ65557"/>
      <c r="EK65557"/>
      <c r="EL65557"/>
      <c r="EM65557"/>
      <c r="EN65557"/>
      <c r="EO65557"/>
      <c r="EP65557"/>
      <c r="EQ65557"/>
      <c r="ER65557"/>
      <c r="ES65557"/>
      <c r="ET65557"/>
      <c r="EU65557"/>
      <c r="EV65557"/>
      <c r="EW65557"/>
      <c r="EX65557"/>
      <c r="EY65557"/>
      <c r="EZ65557"/>
      <c r="FA65557"/>
      <c r="FB65557"/>
      <c r="FC65557"/>
      <c r="FD65557"/>
      <c r="FE65557"/>
      <c r="FF65557"/>
      <c r="FG65557"/>
      <c r="FH65557"/>
      <c r="FI65557"/>
      <c r="FJ65557"/>
      <c r="FK65557"/>
      <c r="FL65557"/>
      <c r="FM65557"/>
      <c r="FN65557"/>
      <c r="FO65557"/>
      <c r="FP65557"/>
      <c r="FQ65557"/>
      <c r="FR65557"/>
      <c r="FS65557"/>
      <c r="FT65557"/>
      <c r="FU65557"/>
      <c r="FV65557"/>
      <c r="FW65557"/>
      <c r="FX65557"/>
      <c r="FY65557"/>
      <c r="FZ65557"/>
      <c r="GA65557"/>
      <c r="GB65557"/>
      <c r="GC65557"/>
      <c r="GD65557"/>
      <c r="GE65557"/>
      <c r="GF65557"/>
      <c r="GG65557"/>
      <c r="GH65557"/>
      <c r="GI65557"/>
      <c r="GJ65557"/>
      <c r="GK65557"/>
      <c r="GL65557"/>
      <c r="GM65557"/>
      <c r="GN65557"/>
      <c r="GO65557"/>
      <c r="GP65557"/>
      <c r="GQ65557"/>
      <c r="GR65557"/>
      <c r="GS65557"/>
      <c r="GT65557"/>
      <c r="GU65557"/>
      <c r="GV65557"/>
      <c r="GW65557"/>
      <c r="GX65557"/>
      <c r="GY65557"/>
      <c r="GZ65557"/>
      <c r="HA65557"/>
      <c r="HB65557"/>
      <c r="HC65557"/>
      <c r="HD65557"/>
      <c r="HE65557"/>
      <c r="HF65557"/>
      <c r="HG65557"/>
      <c r="HH65557"/>
      <c r="HI65557"/>
      <c r="HJ65557"/>
      <c r="HK65557"/>
      <c r="HL65557"/>
      <c r="HM65557"/>
      <c r="HN65557"/>
      <c r="HO65557"/>
      <c r="HP65557"/>
      <c r="HQ65557"/>
      <c r="HR65557"/>
      <c r="HS65557"/>
      <c r="HT65557"/>
      <c r="HU65557"/>
      <c r="HV65557"/>
      <c r="HW65557"/>
      <c r="HX65557"/>
      <c r="HY65557"/>
      <c r="HZ65557"/>
      <c r="IA65557"/>
      <c r="IB65557"/>
      <c r="IC65557"/>
      <c r="ID65557"/>
      <c r="IE65557"/>
      <c r="IF65557"/>
      <c r="IG65557"/>
      <c r="IH65557"/>
      <c r="II65557"/>
      <c r="IJ65557"/>
      <c r="IK65557"/>
      <c r="IL65557"/>
      <c r="IM65557"/>
      <c r="IN65557"/>
      <c r="IO65557"/>
      <c r="IP65557"/>
      <c r="IQ65557"/>
      <c r="IR65557"/>
      <c r="IS65557"/>
      <c r="IT65557"/>
      <c r="IU65557"/>
      <c r="IV65557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selection activeCell="B8" sqref="B8"/>
    </sheetView>
  </sheetViews>
  <sheetFormatPr defaultRowHeight="12.75"/>
  <cols>
    <col min="1" max="1" width="17" customWidth="1"/>
    <col min="2" max="2" width="20.28515625" customWidth="1"/>
    <col min="3" max="3" width="14.5703125" customWidth="1"/>
    <col min="4" max="4" width="11.7109375" customWidth="1"/>
    <col min="5" max="5" width="13" customWidth="1"/>
    <col min="10" max="10" width="10.5703125" customWidth="1"/>
    <col min="11" max="11" width="10.42578125" customWidth="1"/>
  </cols>
  <sheetData>
    <row r="1" spans="1:8">
      <c r="A1" t="s">
        <v>269</v>
      </c>
      <c r="D1" t="s">
        <v>368</v>
      </c>
    </row>
    <row r="2" spans="1:8">
      <c r="A2" s="2" t="s">
        <v>737</v>
      </c>
    </row>
    <row r="3" spans="1:8">
      <c r="A3" s="2"/>
    </row>
    <row r="4" spans="1:8">
      <c r="A4" t="s">
        <v>270</v>
      </c>
      <c r="C4" t="s">
        <v>271</v>
      </c>
      <c r="D4" t="s">
        <v>421</v>
      </c>
      <c r="E4" t="s">
        <v>272</v>
      </c>
    </row>
    <row r="5" spans="1:8">
      <c r="A5" s="142">
        <v>41793</v>
      </c>
      <c r="B5" t="s">
        <v>1037</v>
      </c>
      <c r="C5" t="s">
        <v>382</v>
      </c>
      <c r="D5">
        <v>70</v>
      </c>
      <c r="E5" t="s">
        <v>422</v>
      </c>
    </row>
    <row r="6" spans="1:8">
      <c r="A6" t="s">
        <v>727</v>
      </c>
      <c r="B6" t="s">
        <v>1037</v>
      </c>
      <c r="C6" t="s">
        <v>382</v>
      </c>
      <c r="D6">
        <v>70</v>
      </c>
      <c r="E6" t="s">
        <v>422</v>
      </c>
    </row>
    <row r="7" spans="1:8">
      <c r="A7" t="s">
        <v>728</v>
      </c>
      <c r="B7" t="s">
        <v>25</v>
      </c>
      <c r="C7" t="s">
        <v>380</v>
      </c>
      <c r="D7">
        <v>120</v>
      </c>
      <c r="E7" t="s">
        <v>822</v>
      </c>
    </row>
    <row r="8" spans="1:8">
      <c r="A8" s="142" t="s">
        <v>819</v>
      </c>
      <c r="B8" t="s">
        <v>381</v>
      </c>
      <c r="C8" t="s">
        <v>382</v>
      </c>
      <c r="D8">
        <v>70</v>
      </c>
      <c r="E8" t="s">
        <v>1039</v>
      </c>
    </row>
    <row r="9" spans="1:8">
      <c r="A9" t="s">
        <v>820</v>
      </c>
      <c r="B9" t="s">
        <v>25</v>
      </c>
      <c r="C9" t="s">
        <v>821</v>
      </c>
      <c r="D9">
        <v>120</v>
      </c>
      <c r="E9" t="s">
        <v>1221</v>
      </c>
    </row>
    <row r="10" spans="1:8">
      <c r="A10" t="s">
        <v>999</v>
      </c>
      <c r="B10" t="s">
        <v>25</v>
      </c>
      <c r="C10" t="s">
        <v>380</v>
      </c>
      <c r="D10">
        <v>120</v>
      </c>
      <c r="E10" t="s">
        <v>1038</v>
      </c>
    </row>
    <row r="11" spans="1:8">
      <c r="A11" t="s">
        <v>1297</v>
      </c>
      <c r="B11" t="s">
        <v>25</v>
      </c>
      <c r="C11" t="s">
        <v>1298</v>
      </c>
      <c r="D11">
        <v>120</v>
      </c>
      <c r="E11" t="s">
        <v>1299</v>
      </c>
    </row>
    <row r="12" spans="1:8">
      <c r="A12" t="s">
        <v>1300</v>
      </c>
      <c r="B12" t="s">
        <v>25</v>
      </c>
      <c r="C12" t="s">
        <v>118</v>
      </c>
      <c r="D12">
        <f>51.7+211+232</f>
        <v>494.7</v>
      </c>
      <c r="E12" t="s">
        <v>1302</v>
      </c>
      <c r="G12" t="s">
        <v>1000</v>
      </c>
      <c r="H12" t="s">
        <v>1222</v>
      </c>
    </row>
    <row r="13" spans="1:8">
      <c r="A13" t="s">
        <v>1301</v>
      </c>
      <c r="B13" t="s">
        <v>25</v>
      </c>
      <c r="C13" t="s">
        <v>118</v>
      </c>
      <c r="D13">
        <v>494.7</v>
      </c>
      <c r="E13" t="s">
        <v>1302</v>
      </c>
      <c r="G13" t="s">
        <v>1000</v>
      </c>
      <c r="H13" t="s">
        <v>1222</v>
      </c>
    </row>
    <row r="14" spans="1:8">
      <c r="A14" t="s">
        <v>1303</v>
      </c>
      <c r="B14" t="s">
        <v>25</v>
      </c>
      <c r="C14" t="s">
        <v>1304</v>
      </c>
      <c r="D14">
        <f>(176+90)*2</f>
        <v>532</v>
      </c>
      <c r="E14" t="s">
        <v>1305</v>
      </c>
      <c r="G14" t="s">
        <v>1000</v>
      </c>
      <c r="H14" t="s">
        <v>1312</v>
      </c>
    </row>
    <row r="15" spans="1:8">
      <c r="A15" t="s">
        <v>1306</v>
      </c>
      <c r="B15" t="s">
        <v>25</v>
      </c>
      <c r="C15" t="s">
        <v>118</v>
      </c>
      <c r="D15">
        <v>494.7</v>
      </c>
      <c r="E15" t="s">
        <v>1302</v>
      </c>
      <c r="G15" t="s">
        <v>1000</v>
      </c>
      <c r="H15" t="s">
        <v>1222</v>
      </c>
    </row>
    <row r="16" spans="1:8">
      <c r="A16" t="s">
        <v>1307</v>
      </c>
      <c r="B16" t="s">
        <v>25</v>
      </c>
      <c r="C16" t="s">
        <v>118</v>
      </c>
      <c r="D16">
        <v>494.7</v>
      </c>
      <c r="E16" t="s">
        <v>1302</v>
      </c>
      <c r="G16" t="s">
        <v>1000</v>
      </c>
      <c r="H16" t="s">
        <v>1222</v>
      </c>
    </row>
    <row r="17" spans="1:13">
      <c r="A17" t="s">
        <v>1308</v>
      </c>
      <c r="B17" t="s">
        <v>25</v>
      </c>
      <c r="C17" t="s">
        <v>118</v>
      </c>
      <c r="D17">
        <v>494.7</v>
      </c>
      <c r="E17" t="s">
        <v>1302</v>
      </c>
      <c r="G17" t="s">
        <v>1000</v>
      </c>
      <c r="H17" t="s">
        <v>1222</v>
      </c>
    </row>
    <row r="18" spans="1:13">
      <c r="A18" t="s">
        <v>1309</v>
      </c>
      <c r="B18" t="s">
        <v>25</v>
      </c>
      <c r="C18" t="s">
        <v>118</v>
      </c>
      <c r="D18">
        <v>494.7</v>
      </c>
      <c r="E18" t="s">
        <v>1302</v>
      </c>
      <c r="G18" t="s">
        <v>1000</v>
      </c>
      <c r="H18" t="s">
        <v>1222</v>
      </c>
    </row>
    <row r="19" spans="1:13">
      <c r="A19" t="s">
        <v>1310</v>
      </c>
      <c r="B19" t="s">
        <v>25</v>
      </c>
      <c r="C19" t="s">
        <v>118</v>
      </c>
      <c r="D19">
        <v>494.7</v>
      </c>
      <c r="E19" t="s">
        <v>1302</v>
      </c>
      <c r="G19" t="s">
        <v>1000</v>
      </c>
      <c r="H19" t="s">
        <v>1222</v>
      </c>
    </row>
    <row r="20" spans="1:13">
      <c r="A20" t="s">
        <v>1311</v>
      </c>
      <c r="B20" t="s">
        <v>25</v>
      </c>
      <c r="C20" t="s">
        <v>118</v>
      </c>
      <c r="D20">
        <f>51.7+211+232</f>
        <v>494.7</v>
      </c>
      <c r="E20" t="s">
        <v>1302</v>
      </c>
      <c r="G20" t="s">
        <v>1000</v>
      </c>
      <c r="H20" t="s">
        <v>1222</v>
      </c>
    </row>
    <row r="21" spans="1:13" ht="13.5" thickBot="1">
      <c r="D21" s="52">
        <f>SUM(D5:D20)</f>
        <v>5179.5999999999995</v>
      </c>
    </row>
    <row r="22" spans="1:13" ht="13.5" thickTop="1">
      <c r="A22" s="2" t="s">
        <v>369</v>
      </c>
    </row>
    <row r="23" spans="1:13">
      <c r="A23" s="146"/>
    </row>
    <row r="24" spans="1:13">
      <c r="A24" s="22" t="s">
        <v>370</v>
      </c>
      <c r="B24" s="148" t="s">
        <v>271</v>
      </c>
      <c r="C24" t="s">
        <v>371</v>
      </c>
      <c r="D24" s="147" t="s">
        <v>372</v>
      </c>
      <c r="E24" s="147" t="s">
        <v>373</v>
      </c>
      <c r="F24" t="s">
        <v>423</v>
      </c>
      <c r="K24" t="s">
        <v>434</v>
      </c>
      <c r="L24" t="s">
        <v>433</v>
      </c>
    </row>
    <row r="25" spans="1:13">
      <c r="A25" t="s">
        <v>374</v>
      </c>
      <c r="B25" t="s">
        <v>375</v>
      </c>
      <c r="C25">
        <v>0</v>
      </c>
      <c r="D25" t="s">
        <v>376</v>
      </c>
      <c r="E25">
        <v>3</v>
      </c>
      <c r="G25" t="s">
        <v>591</v>
      </c>
      <c r="K25" t="s">
        <v>689</v>
      </c>
      <c r="L25">
        <f>6285.73</f>
        <v>6285.73</v>
      </c>
    </row>
    <row r="26" spans="1:13">
      <c r="A26" t="s">
        <v>374</v>
      </c>
      <c r="B26" t="s">
        <v>375</v>
      </c>
      <c r="C26">
        <v>0</v>
      </c>
      <c r="D26" t="s">
        <v>376</v>
      </c>
      <c r="E26">
        <v>5</v>
      </c>
      <c r="G26" t="s">
        <v>685</v>
      </c>
      <c r="K26" t="s">
        <v>922</v>
      </c>
      <c r="L26">
        <f>1879.76*5</f>
        <v>9398.7999999999993</v>
      </c>
    </row>
    <row r="27" spans="1:13">
      <c r="A27" t="s">
        <v>374</v>
      </c>
      <c r="B27" t="s">
        <v>375</v>
      </c>
      <c r="C27">
        <v>0</v>
      </c>
      <c r="D27" t="s">
        <v>376</v>
      </c>
      <c r="E27">
        <v>1</v>
      </c>
      <c r="G27" s="256" t="s">
        <v>823</v>
      </c>
      <c r="K27" t="s">
        <v>1015</v>
      </c>
      <c r="L27">
        <v>1879.76</v>
      </c>
      <c r="M27">
        <f>SUM(L25:L30)</f>
        <v>29877.46</v>
      </c>
    </row>
    <row r="28" spans="1:13">
      <c r="A28" t="s">
        <v>374</v>
      </c>
      <c r="B28" t="s">
        <v>375</v>
      </c>
      <c r="C28">
        <v>0</v>
      </c>
      <c r="D28" t="s">
        <v>376</v>
      </c>
      <c r="E28">
        <v>2</v>
      </c>
      <c r="G28" t="s">
        <v>944</v>
      </c>
      <c r="K28" s="142">
        <v>41897</v>
      </c>
      <c r="L28">
        <f>1879.76+2429.23</f>
        <v>4308.99</v>
      </c>
    </row>
    <row r="29" spans="1:13">
      <c r="A29" t="s">
        <v>374</v>
      </c>
      <c r="B29" t="s">
        <v>375</v>
      </c>
      <c r="C29">
        <v>0</v>
      </c>
      <c r="D29" t="s">
        <v>376</v>
      </c>
      <c r="E29">
        <v>2</v>
      </c>
      <c r="G29" t="s">
        <v>1055</v>
      </c>
      <c r="K29" s="142">
        <v>41957</v>
      </c>
      <c r="L29">
        <f>1879.76+1962.11</f>
        <v>3841.87</v>
      </c>
    </row>
    <row r="30" spans="1:13">
      <c r="A30" t="s">
        <v>374</v>
      </c>
      <c r="B30" t="s">
        <v>375</v>
      </c>
      <c r="C30">
        <v>0</v>
      </c>
      <c r="D30" t="s">
        <v>376</v>
      </c>
      <c r="E30">
        <v>2</v>
      </c>
      <c r="G30" t="s">
        <v>1056</v>
      </c>
      <c r="K30" s="142">
        <v>42004</v>
      </c>
      <c r="L30">
        <f>2042.48+2119.83</f>
        <v>4162.3099999999995</v>
      </c>
    </row>
    <row r="31" spans="1:13">
      <c r="A31" t="s">
        <v>27</v>
      </c>
      <c r="B31" t="s">
        <v>377</v>
      </c>
      <c r="C31">
        <f>64*2</f>
        <v>128</v>
      </c>
      <c r="D31" t="s">
        <v>378</v>
      </c>
      <c r="E31">
        <v>1</v>
      </c>
      <c r="F31">
        <f>C31*16</f>
        <v>2048</v>
      </c>
      <c r="G31" t="s">
        <v>590</v>
      </c>
      <c r="K31" t="s">
        <v>703</v>
      </c>
    </row>
    <row r="32" spans="1:13">
      <c r="A32" t="s">
        <v>27</v>
      </c>
      <c r="B32" t="s">
        <v>377</v>
      </c>
      <c r="C32">
        <f>64*2</f>
        <v>128</v>
      </c>
      <c r="D32" t="s">
        <v>378</v>
      </c>
      <c r="E32">
        <v>1</v>
      </c>
      <c r="F32">
        <f>C32*16</f>
        <v>2048</v>
      </c>
      <c r="G32" t="s">
        <v>1048</v>
      </c>
    </row>
    <row r="33" spans="1:7" ht="13.5" thickBot="1">
      <c r="E33" s="52">
        <f>SUM(E25:E32)</f>
        <v>17</v>
      </c>
      <c r="F33" s="52">
        <f>SUM(F31:F32)</f>
        <v>4096</v>
      </c>
      <c r="G33" t="s">
        <v>703</v>
      </c>
    </row>
    <row r="34" spans="1:7" ht="13.5" thickTop="1">
      <c r="A34" s="2" t="s">
        <v>704</v>
      </c>
    </row>
    <row r="36" spans="1:7">
      <c r="A36" t="s">
        <v>1036</v>
      </c>
      <c r="B36">
        <f>D5+D6+D8</f>
        <v>210</v>
      </c>
    </row>
    <row r="37" spans="1:7">
      <c r="A37" t="s">
        <v>1317</v>
      </c>
      <c r="B37">
        <f>D7+SUM(D9:D20)</f>
        <v>4969.5999999999995</v>
      </c>
    </row>
    <row r="38" spans="1:7">
      <c r="A38" t="s">
        <v>705</v>
      </c>
      <c r="B38">
        <f>F31+F32</f>
        <v>4096</v>
      </c>
    </row>
    <row r="39" spans="1:7" ht="13.5" thickBot="1">
      <c r="B39" s="52">
        <f>SUM(B36:B38)</f>
        <v>9275.5999999999985</v>
      </c>
      <c r="C39" s="359">
        <f>B39*0.56</f>
        <v>5194.3359999999993</v>
      </c>
    </row>
    <row r="40" spans="1:7" ht="13.5" thickTop="1"/>
    <row r="41" spans="1:7">
      <c r="A41" s="2" t="s">
        <v>383</v>
      </c>
    </row>
    <row r="42" spans="1:7">
      <c r="A42" s="142">
        <v>41654</v>
      </c>
      <c r="B42" t="s">
        <v>385</v>
      </c>
      <c r="C42">
        <v>85</v>
      </c>
      <c r="D42" t="s">
        <v>706</v>
      </c>
      <c r="F42" t="s">
        <v>393</v>
      </c>
    </row>
    <row r="43" spans="1:7">
      <c r="A43" s="142">
        <v>41677</v>
      </c>
      <c r="B43" t="s">
        <v>385</v>
      </c>
      <c r="C43">
        <v>85</v>
      </c>
      <c r="D43" t="s">
        <v>706</v>
      </c>
      <c r="F43" t="s">
        <v>393</v>
      </c>
    </row>
    <row r="44" spans="1:7">
      <c r="A44" s="142">
        <v>41690</v>
      </c>
      <c r="B44" t="s">
        <v>707</v>
      </c>
      <c r="C44">
        <v>5</v>
      </c>
      <c r="D44" t="s">
        <v>387</v>
      </c>
      <c r="F44" t="s">
        <v>393</v>
      </c>
    </row>
    <row r="45" spans="1:7">
      <c r="A45" s="142">
        <v>41709</v>
      </c>
      <c r="B45" t="s">
        <v>385</v>
      </c>
      <c r="C45">
        <v>85</v>
      </c>
      <c r="D45" t="s">
        <v>706</v>
      </c>
      <c r="F45" t="s">
        <v>393</v>
      </c>
    </row>
    <row r="46" spans="1:7">
      <c r="A46" s="142">
        <v>41716</v>
      </c>
      <c r="B46" t="s">
        <v>385</v>
      </c>
      <c r="C46">
        <v>85</v>
      </c>
      <c r="D46" t="s">
        <v>706</v>
      </c>
      <c r="F46" t="s">
        <v>393</v>
      </c>
    </row>
    <row r="47" spans="1:7">
      <c r="A47" s="142">
        <v>41740</v>
      </c>
      <c r="B47" t="s">
        <v>385</v>
      </c>
      <c r="C47">
        <v>85</v>
      </c>
      <c r="D47" t="s">
        <v>706</v>
      </c>
      <c r="F47" t="s">
        <v>393</v>
      </c>
    </row>
    <row r="48" spans="1:7">
      <c r="A48" s="142">
        <v>41771</v>
      </c>
      <c r="B48" t="s">
        <v>385</v>
      </c>
      <c r="C48">
        <v>85</v>
      </c>
      <c r="D48" t="s">
        <v>706</v>
      </c>
      <c r="F48" t="s">
        <v>393</v>
      </c>
    </row>
    <row r="49" spans="1:6">
      <c r="A49" s="142">
        <v>41806</v>
      </c>
      <c r="B49" t="s">
        <v>385</v>
      </c>
      <c r="C49">
        <v>85</v>
      </c>
      <c r="D49" t="s">
        <v>706</v>
      </c>
      <c r="F49" t="s">
        <v>393</v>
      </c>
    </row>
    <row r="50" spans="1:6">
      <c r="A50" s="142">
        <v>41812</v>
      </c>
      <c r="B50" t="s">
        <v>1223</v>
      </c>
      <c r="C50">
        <v>20</v>
      </c>
      <c r="D50" t="s">
        <v>387</v>
      </c>
      <c r="F50" t="s">
        <v>393</v>
      </c>
    </row>
    <row r="51" spans="1:6">
      <c r="A51" s="142">
        <v>41831</v>
      </c>
      <c r="B51" t="s">
        <v>385</v>
      </c>
      <c r="C51">
        <v>85</v>
      </c>
      <c r="D51" t="s">
        <v>706</v>
      </c>
      <c r="F51" t="s">
        <v>393</v>
      </c>
    </row>
    <row r="52" spans="1:6">
      <c r="A52" s="142">
        <v>41863</v>
      </c>
      <c r="B52" t="s">
        <v>385</v>
      </c>
      <c r="C52">
        <v>85</v>
      </c>
      <c r="D52" t="s">
        <v>706</v>
      </c>
      <c r="F52" t="s">
        <v>393</v>
      </c>
    </row>
    <row r="53" spans="1:6">
      <c r="A53" s="142">
        <v>41870</v>
      </c>
      <c r="B53" t="s">
        <v>385</v>
      </c>
      <c r="C53">
        <v>85</v>
      </c>
      <c r="D53" t="s">
        <v>706</v>
      </c>
      <c r="F53" t="s">
        <v>393</v>
      </c>
    </row>
    <row r="54" spans="1:6">
      <c r="A54" s="142">
        <v>41898</v>
      </c>
      <c r="B54" t="s">
        <v>1224</v>
      </c>
      <c r="C54">
        <v>85</v>
      </c>
      <c r="D54" t="s">
        <v>706</v>
      </c>
      <c r="F54" t="s">
        <v>393</v>
      </c>
    </row>
    <row r="55" spans="1:6">
      <c r="A55" s="142">
        <v>41909</v>
      </c>
      <c r="B55" t="s">
        <v>1225</v>
      </c>
      <c r="C55">
        <v>20</v>
      </c>
      <c r="D55" t="s">
        <v>387</v>
      </c>
      <c r="F55" t="s">
        <v>393</v>
      </c>
    </row>
    <row r="56" spans="1:6">
      <c r="A56" s="142">
        <v>41909</v>
      </c>
      <c r="B56" t="s">
        <v>1226</v>
      </c>
      <c r="C56">
        <v>20</v>
      </c>
      <c r="D56" t="s">
        <v>387</v>
      </c>
      <c r="F56" t="s">
        <v>393</v>
      </c>
    </row>
    <row r="57" spans="1:6">
      <c r="A57" s="142">
        <v>41943</v>
      </c>
      <c r="B57" t="s">
        <v>1227</v>
      </c>
      <c r="C57">
        <v>20</v>
      </c>
      <c r="D57" t="s">
        <v>387</v>
      </c>
      <c r="F57" t="s">
        <v>393</v>
      </c>
    </row>
    <row r="58" spans="1:6">
      <c r="A58" s="142">
        <v>41946</v>
      </c>
      <c r="B58" t="s">
        <v>385</v>
      </c>
      <c r="C58">
        <v>85</v>
      </c>
      <c r="D58" t="s">
        <v>706</v>
      </c>
      <c r="F58" t="s">
        <v>393</v>
      </c>
    </row>
    <row r="59" spans="1:6">
      <c r="A59" s="142">
        <v>41961</v>
      </c>
      <c r="B59" t="s">
        <v>385</v>
      </c>
      <c r="C59">
        <v>85</v>
      </c>
      <c r="D59" t="s">
        <v>706</v>
      </c>
      <c r="F59" t="s">
        <v>393</v>
      </c>
    </row>
    <row r="60" spans="1:6">
      <c r="A60" s="142">
        <v>41995</v>
      </c>
      <c r="B60" t="s">
        <v>385</v>
      </c>
      <c r="C60">
        <v>12</v>
      </c>
      <c r="D60" t="s">
        <v>706</v>
      </c>
      <c r="F60" t="s">
        <v>393</v>
      </c>
    </row>
    <row r="61" spans="1:6" ht="13.5" thickBot="1">
      <c r="C61" s="359">
        <f>SUM(C42:C60)</f>
        <v>1202</v>
      </c>
    </row>
    <row r="62" spans="1:6" ht="13.5" thickTop="1">
      <c r="A62" t="s">
        <v>708</v>
      </c>
      <c r="B62">
        <f>SUM(C42:C60)</f>
        <v>1202</v>
      </c>
      <c r="D62" t="s">
        <v>709</v>
      </c>
      <c r="E62">
        <f>C68+SUM(C70:C79)</f>
        <v>414.26000000000005</v>
      </c>
    </row>
    <row r="64" spans="1:6">
      <c r="A64" s="2" t="s">
        <v>389</v>
      </c>
    </row>
    <row r="65" spans="1:6">
      <c r="A65" s="24">
        <v>41761</v>
      </c>
      <c r="B65" t="s">
        <v>1255</v>
      </c>
      <c r="C65">
        <v>1433.4</v>
      </c>
      <c r="D65" t="s">
        <v>1228</v>
      </c>
      <c r="F65" t="s">
        <v>393</v>
      </c>
    </row>
    <row r="66" spans="1:6">
      <c r="A66" s="419">
        <v>41750</v>
      </c>
      <c r="B66" t="s">
        <v>1239</v>
      </c>
      <c r="C66">
        <v>160</v>
      </c>
      <c r="D66" t="s">
        <v>1240</v>
      </c>
      <c r="F66" t="s">
        <v>1242</v>
      </c>
    </row>
    <row r="67" spans="1:6">
      <c r="A67" s="24">
        <v>41750</v>
      </c>
      <c r="B67" t="s">
        <v>403</v>
      </c>
      <c r="C67">
        <v>50</v>
      </c>
      <c r="D67" t="s">
        <v>1240</v>
      </c>
      <c r="F67" t="s">
        <v>1241</v>
      </c>
    </row>
    <row r="68" spans="1:6">
      <c r="A68" s="418">
        <v>41754</v>
      </c>
      <c r="B68" t="s">
        <v>1243</v>
      </c>
      <c r="C68">
        <v>1.5</v>
      </c>
      <c r="D68" t="s">
        <v>710</v>
      </c>
      <c r="E68" t="s">
        <v>1244</v>
      </c>
      <c r="F68" t="s">
        <v>1245</v>
      </c>
    </row>
    <row r="69" spans="1:6">
      <c r="A69" s="24">
        <v>41735</v>
      </c>
      <c r="B69" t="s">
        <v>1236</v>
      </c>
      <c r="C69">
        <v>6</v>
      </c>
      <c r="D69" t="s">
        <v>388</v>
      </c>
      <c r="E69" t="s">
        <v>1237</v>
      </c>
      <c r="F69" t="s">
        <v>1238</v>
      </c>
    </row>
    <row r="70" spans="1:6">
      <c r="A70" s="24">
        <v>41892</v>
      </c>
      <c r="B70" t="s">
        <v>1252</v>
      </c>
      <c r="C70">
        <v>103.5</v>
      </c>
      <c r="D70" t="s">
        <v>710</v>
      </c>
      <c r="E70" t="s">
        <v>380</v>
      </c>
      <c r="F70" t="s">
        <v>1253</v>
      </c>
    </row>
    <row r="71" spans="1:6">
      <c r="A71" s="142">
        <v>41743</v>
      </c>
      <c r="B71" t="s">
        <v>384</v>
      </c>
      <c r="C71">
        <v>34.36</v>
      </c>
      <c r="D71" t="s">
        <v>710</v>
      </c>
      <c r="E71" t="s">
        <v>1232</v>
      </c>
      <c r="F71" t="s">
        <v>393</v>
      </c>
    </row>
    <row r="72" spans="1:6">
      <c r="A72" s="142">
        <v>41789</v>
      </c>
      <c r="B72" t="s">
        <v>384</v>
      </c>
      <c r="C72">
        <v>16.41</v>
      </c>
      <c r="D72" t="s">
        <v>710</v>
      </c>
      <c r="E72" t="s">
        <v>1231</v>
      </c>
      <c r="F72" t="s">
        <v>393</v>
      </c>
    </row>
    <row r="73" spans="1:6">
      <c r="A73" s="142">
        <v>41800</v>
      </c>
      <c r="B73" t="s">
        <v>384</v>
      </c>
      <c r="C73">
        <v>15.66</v>
      </c>
      <c r="D73" t="s">
        <v>710</v>
      </c>
      <c r="E73" t="s">
        <v>1231</v>
      </c>
      <c r="F73" t="s">
        <v>393</v>
      </c>
    </row>
    <row r="74" spans="1:6">
      <c r="A74" s="142">
        <v>41807</v>
      </c>
      <c r="B74" t="s">
        <v>384</v>
      </c>
      <c r="C74">
        <v>20.81</v>
      </c>
      <c r="D74" t="s">
        <v>710</v>
      </c>
      <c r="E74" t="s">
        <v>1231</v>
      </c>
      <c r="F74" t="s">
        <v>393</v>
      </c>
    </row>
    <row r="75" spans="1:6">
      <c r="A75" s="142">
        <v>41820</v>
      </c>
      <c r="B75" t="s">
        <v>384</v>
      </c>
      <c r="C75">
        <v>47.65</v>
      </c>
      <c r="D75" t="s">
        <v>710</v>
      </c>
      <c r="E75" t="s">
        <v>1231</v>
      </c>
      <c r="F75" t="s">
        <v>393</v>
      </c>
    </row>
    <row r="76" spans="1:6">
      <c r="A76" s="142">
        <v>41895</v>
      </c>
      <c r="B76" t="s">
        <v>384</v>
      </c>
      <c r="C76">
        <v>45.82</v>
      </c>
      <c r="D76" t="s">
        <v>710</v>
      </c>
      <c r="E76" t="s">
        <v>1231</v>
      </c>
      <c r="F76" t="s">
        <v>393</v>
      </c>
    </row>
    <row r="77" spans="1:6">
      <c r="A77" s="142">
        <v>41915</v>
      </c>
      <c r="B77" t="s">
        <v>384</v>
      </c>
      <c r="C77">
        <v>40.5</v>
      </c>
      <c r="D77" t="s">
        <v>710</v>
      </c>
      <c r="E77" t="s">
        <v>1231</v>
      </c>
      <c r="F77" t="s">
        <v>393</v>
      </c>
    </row>
    <row r="78" spans="1:6">
      <c r="A78" s="142">
        <v>41938</v>
      </c>
      <c r="B78" t="s">
        <v>384</v>
      </c>
      <c r="C78">
        <v>44.8</v>
      </c>
      <c r="D78" t="s">
        <v>710</v>
      </c>
      <c r="E78" t="s">
        <v>1231</v>
      </c>
      <c r="F78" t="s">
        <v>393</v>
      </c>
    </row>
    <row r="79" spans="1:6">
      <c r="A79" s="142">
        <v>41974</v>
      </c>
      <c r="B79" t="s">
        <v>384</v>
      </c>
      <c r="C79">
        <v>43.25</v>
      </c>
      <c r="D79" t="s">
        <v>710</v>
      </c>
      <c r="E79" t="s">
        <v>1231</v>
      </c>
      <c r="F79" t="s">
        <v>393</v>
      </c>
    </row>
    <row r="80" spans="1:6">
      <c r="A80" s="142">
        <v>41896</v>
      </c>
      <c r="B80" t="s">
        <v>711</v>
      </c>
      <c r="C80">
        <v>4</v>
      </c>
      <c r="D80" t="s">
        <v>388</v>
      </c>
      <c r="E80" t="s">
        <v>377</v>
      </c>
      <c r="F80" t="s">
        <v>393</v>
      </c>
    </row>
    <row r="81" spans="1:6">
      <c r="A81" s="142">
        <v>41902</v>
      </c>
      <c r="B81" t="s">
        <v>1234</v>
      </c>
      <c r="C81">
        <v>14.58</v>
      </c>
      <c r="D81" t="s">
        <v>388</v>
      </c>
      <c r="E81" t="s">
        <v>1235</v>
      </c>
      <c r="F81" t="s">
        <v>393</v>
      </c>
    </row>
    <row r="82" spans="1:6">
      <c r="A82" s="142">
        <v>41903</v>
      </c>
      <c r="B82" t="s">
        <v>1229</v>
      </c>
      <c r="C82">
        <v>105.46</v>
      </c>
      <c r="D82" t="s">
        <v>1254</v>
      </c>
      <c r="E82" t="s">
        <v>1230</v>
      </c>
      <c r="F82" t="s">
        <v>393</v>
      </c>
    </row>
    <row r="83" spans="1:6">
      <c r="A83" s="142">
        <v>41923</v>
      </c>
      <c r="B83" t="s">
        <v>711</v>
      </c>
      <c r="C83">
        <v>6</v>
      </c>
      <c r="D83" t="s">
        <v>388</v>
      </c>
      <c r="E83" t="s">
        <v>377</v>
      </c>
      <c r="F83" t="s">
        <v>393</v>
      </c>
    </row>
    <row r="84" spans="1:6">
      <c r="A84" s="142">
        <v>41956</v>
      </c>
      <c r="B84" s="362" t="s">
        <v>1233</v>
      </c>
      <c r="C84">
        <v>20</v>
      </c>
      <c r="D84" t="s">
        <v>388</v>
      </c>
      <c r="E84" t="s">
        <v>380</v>
      </c>
      <c r="F84" t="s">
        <v>393</v>
      </c>
    </row>
    <row r="85" spans="1:6" ht="13.5" thickBot="1">
      <c r="C85" s="359">
        <f>SUM(C65:C84)</f>
        <v>2213.6999999999998</v>
      </c>
    </row>
    <row r="86" spans="1:6" ht="13.5" thickTop="1"/>
    <row r="87" spans="1:6">
      <c r="A87" s="2" t="s">
        <v>390</v>
      </c>
    </row>
    <row r="88" spans="1:6" ht="13.5" thickBot="1">
      <c r="B88" s="2" t="s">
        <v>391</v>
      </c>
      <c r="C88" s="359">
        <f>E89+E105+E123+E153+E164</f>
        <v>4325.26333333</v>
      </c>
    </row>
    <row r="89" spans="1:6" ht="13.5" thickTop="1">
      <c r="A89" s="2" t="s">
        <v>392</v>
      </c>
      <c r="E89">
        <f>SUM(C90:C103)</f>
        <v>1187.06</v>
      </c>
    </row>
    <row r="90" spans="1:6">
      <c r="A90" s="142">
        <v>41642</v>
      </c>
      <c r="B90" t="s">
        <v>278</v>
      </c>
      <c r="C90">
        <v>74.760000000000005</v>
      </c>
      <c r="D90" t="s">
        <v>47</v>
      </c>
      <c r="F90" t="s">
        <v>393</v>
      </c>
    </row>
    <row r="91" spans="1:6">
      <c r="A91" s="142">
        <v>41673</v>
      </c>
      <c r="B91" t="s">
        <v>278</v>
      </c>
      <c r="C91">
        <v>145.16</v>
      </c>
      <c r="D91" t="s">
        <v>47</v>
      </c>
      <c r="F91" t="s">
        <v>393</v>
      </c>
    </row>
    <row r="92" spans="1:6">
      <c r="A92" s="142">
        <v>41701</v>
      </c>
      <c r="B92" t="s">
        <v>278</v>
      </c>
      <c r="C92">
        <v>95.62</v>
      </c>
      <c r="D92" t="s">
        <v>47</v>
      </c>
      <c r="F92" t="s">
        <v>393</v>
      </c>
    </row>
    <row r="93" spans="1:6">
      <c r="A93" s="142">
        <v>41732</v>
      </c>
      <c r="B93" t="s">
        <v>278</v>
      </c>
      <c r="C93">
        <v>95.18</v>
      </c>
      <c r="D93" t="s">
        <v>47</v>
      </c>
      <c r="F93" t="s">
        <v>393</v>
      </c>
    </row>
    <row r="94" spans="1:6">
      <c r="A94" s="142">
        <v>41762</v>
      </c>
      <c r="B94" t="s">
        <v>278</v>
      </c>
      <c r="C94">
        <v>93.86</v>
      </c>
      <c r="D94" t="s">
        <v>47</v>
      </c>
      <c r="F94" t="s">
        <v>393</v>
      </c>
    </row>
    <row r="95" spans="1:6">
      <c r="A95" s="142">
        <v>41793</v>
      </c>
      <c r="B95" t="s">
        <v>278</v>
      </c>
      <c r="C95">
        <v>95.86</v>
      </c>
      <c r="D95" t="s">
        <v>47</v>
      </c>
      <c r="F95" t="s">
        <v>393</v>
      </c>
    </row>
    <row r="96" spans="1:6">
      <c r="A96" s="142">
        <v>41823</v>
      </c>
      <c r="B96" t="s">
        <v>278</v>
      </c>
      <c r="C96">
        <v>92.79</v>
      </c>
      <c r="D96" t="s">
        <v>47</v>
      </c>
      <c r="F96" t="s">
        <v>393</v>
      </c>
    </row>
    <row r="97" spans="1:6">
      <c r="A97" s="142">
        <v>41854</v>
      </c>
      <c r="B97" t="s">
        <v>278</v>
      </c>
      <c r="C97">
        <v>97.15</v>
      </c>
      <c r="D97" t="s">
        <v>47</v>
      </c>
      <c r="F97" t="s">
        <v>393</v>
      </c>
    </row>
    <row r="98" spans="1:6">
      <c r="A98" s="142">
        <v>41884</v>
      </c>
      <c r="B98" t="s">
        <v>278</v>
      </c>
      <c r="C98">
        <v>91.36</v>
      </c>
      <c r="D98" t="s">
        <v>47</v>
      </c>
      <c r="F98" t="s">
        <v>393</v>
      </c>
    </row>
    <row r="99" spans="1:6">
      <c r="A99" s="142">
        <v>41915</v>
      </c>
      <c r="B99" t="s">
        <v>278</v>
      </c>
      <c r="C99">
        <v>74.52</v>
      </c>
      <c r="D99" t="s">
        <v>47</v>
      </c>
      <c r="F99" t="s">
        <v>393</v>
      </c>
    </row>
    <row r="100" spans="1:6">
      <c r="A100" s="142">
        <v>41946</v>
      </c>
      <c r="B100" t="s">
        <v>278</v>
      </c>
      <c r="C100">
        <v>79.67</v>
      </c>
      <c r="D100" t="s">
        <v>47</v>
      </c>
      <c r="F100" t="s">
        <v>393</v>
      </c>
    </row>
    <row r="101" spans="1:6">
      <c r="A101" s="142">
        <v>41976</v>
      </c>
      <c r="B101" t="s">
        <v>278</v>
      </c>
      <c r="C101">
        <v>131.13</v>
      </c>
      <c r="D101" t="s">
        <v>47</v>
      </c>
      <c r="F101" t="s">
        <v>393</v>
      </c>
    </row>
    <row r="102" spans="1:6">
      <c r="A102" s="142">
        <v>41797</v>
      </c>
      <c r="B102" t="s">
        <v>397</v>
      </c>
      <c r="C102">
        <v>10</v>
      </c>
      <c r="D102" t="s">
        <v>712</v>
      </c>
      <c r="F102" t="s">
        <v>393</v>
      </c>
    </row>
    <row r="103" spans="1:6">
      <c r="A103" s="142">
        <v>41929</v>
      </c>
      <c r="B103" t="s">
        <v>397</v>
      </c>
      <c r="C103">
        <v>10</v>
      </c>
      <c r="D103" t="s">
        <v>712</v>
      </c>
      <c r="F103" t="s">
        <v>393</v>
      </c>
    </row>
    <row r="104" spans="1:6">
      <c r="A104" s="142"/>
    </row>
    <row r="105" spans="1:6">
      <c r="A105" s="2" t="s">
        <v>394</v>
      </c>
      <c r="E105">
        <f>SUM(C106:C120)</f>
        <v>1093.5299999999997</v>
      </c>
    </row>
    <row r="106" spans="1:6">
      <c r="A106" s="142">
        <v>41641</v>
      </c>
      <c r="B106" t="s">
        <v>395</v>
      </c>
      <c r="C106">
        <v>67.180000000000007</v>
      </c>
      <c r="D106" t="s">
        <v>396</v>
      </c>
      <c r="F106" t="s">
        <v>386</v>
      </c>
    </row>
    <row r="107" spans="1:6">
      <c r="A107" s="142">
        <v>41672</v>
      </c>
      <c r="B107" t="s">
        <v>395</v>
      </c>
      <c r="C107">
        <v>67.180000000000007</v>
      </c>
      <c r="D107" t="s">
        <v>396</v>
      </c>
      <c r="F107" t="s">
        <v>386</v>
      </c>
    </row>
    <row r="108" spans="1:6">
      <c r="A108" s="142">
        <v>41703</v>
      </c>
      <c r="B108" t="s">
        <v>395</v>
      </c>
      <c r="C108">
        <v>69.09</v>
      </c>
      <c r="D108" t="s">
        <v>396</v>
      </c>
      <c r="F108" t="s">
        <v>386</v>
      </c>
    </row>
    <row r="109" spans="1:6">
      <c r="A109" s="142">
        <v>41731</v>
      </c>
      <c r="B109" t="s">
        <v>395</v>
      </c>
      <c r="C109">
        <v>69.150000000000006</v>
      </c>
      <c r="D109" t="s">
        <v>396</v>
      </c>
      <c r="F109" t="s">
        <v>386</v>
      </c>
    </row>
    <row r="110" spans="1:6">
      <c r="A110" s="142">
        <v>41762</v>
      </c>
      <c r="B110" t="s">
        <v>395</v>
      </c>
      <c r="C110">
        <v>69.16</v>
      </c>
      <c r="D110" t="s">
        <v>396</v>
      </c>
      <c r="F110" t="s">
        <v>386</v>
      </c>
    </row>
    <row r="111" spans="1:6">
      <c r="A111" s="142">
        <v>41792</v>
      </c>
      <c r="B111" t="s">
        <v>395</v>
      </c>
      <c r="C111">
        <v>69.16</v>
      </c>
      <c r="D111" t="s">
        <v>396</v>
      </c>
      <c r="F111" t="s">
        <v>386</v>
      </c>
    </row>
    <row r="112" spans="1:6">
      <c r="A112" s="142">
        <v>41823</v>
      </c>
      <c r="B112" t="s">
        <v>395</v>
      </c>
      <c r="C112">
        <v>69.16</v>
      </c>
      <c r="D112" t="s">
        <v>396</v>
      </c>
      <c r="F112" t="s">
        <v>386</v>
      </c>
    </row>
    <row r="113" spans="1:6">
      <c r="A113" s="142">
        <v>41853</v>
      </c>
      <c r="B113" t="s">
        <v>395</v>
      </c>
      <c r="C113">
        <v>69.16</v>
      </c>
      <c r="D113" t="s">
        <v>396</v>
      </c>
      <c r="F113" t="s">
        <v>386</v>
      </c>
    </row>
    <row r="114" spans="1:6">
      <c r="A114" s="142">
        <v>41885</v>
      </c>
      <c r="B114" t="s">
        <v>395</v>
      </c>
      <c r="C114">
        <v>69.16</v>
      </c>
      <c r="D114" t="s">
        <v>396</v>
      </c>
      <c r="F114" t="s">
        <v>386</v>
      </c>
    </row>
    <row r="115" spans="1:6">
      <c r="A115" s="142">
        <v>41915</v>
      </c>
      <c r="B115" t="s">
        <v>395</v>
      </c>
      <c r="C115">
        <v>69.16</v>
      </c>
      <c r="D115" t="s">
        <v>396</v>
      </c>
      <c r="F115" t="s">
        <v>386</v>
      </c>
    </row>
    <row r="116" spans="1:6">
      <c r="A116" s="142">
        <v>41945</v>
      </c>
      <c r="B116" t="s">
        <v>395</v>
      </c>
      <c r="C116">
        <v>69.150000000000006</v>
      </c>
      <c r="D116" t="s">
        <v>396</v>
      </c>
      <c r="F116" t="s">
        <v>386</v>
      </c>
    </row>
    <row r="117" spans="1:6">
      <c r="A117" s="142">
        <v>41976</v>
      </c>
      <c r="B117" t="s">
        <v>395</v>
      </c>
      <c r="C117">
        <v>69.150000000000006</v>
      </c>
      <c r="D117" t="s">
        <v>396</v>
      </c>
      <c r="F117" t="s">
        <v>386</v>
      </c>
    </row>
    <row r="118" spans="1:6">
      <c r="A118" s="142">
        <v>41713</v>
      </c>
      <c r="B118" t="s">
        <v>441</v>
      </c>
      <c r="C118">
        <v>60</v>
      </c>
      <c r="D118" t="s">
        <v>713</v>
      </c>
      <c r="F118" t="s">
        <v>386</v>
      </c>
    </row>
    <row r="119" spans="1:6">
      <c r="A119" s="142">
        <v>41749</v>
      </c>
      <c r="B119" t="s">
        <v>1296</v>
      </c>
      <c r="C119">
        <v>86.5</v>
      </c>
      <c r="D119" t="s">
        <v>713</v>
      </c>
      <c r="F119" t="s">
        <v>386</v>
      </c>
    </row>
    <row r="120" spans="1:6">
      <c r="A120" s="142">
        <v>41903</v>
      </c>
      <c r="B120" t="s">
        <v>1271</v>
      </c>
      <c r="C120">
        <v>121.17</v>
      </c>
      <c r="D120" t="s">
        <v>713</v>
      </c>
      <c r="F120" t="s">
        <v>386</v>
      </c>
    </row>
    <row r="121" spans="1:6">
      <c r="A121" s="142"/>
    </row>
    <row r="122" spans="1:6">
      <c r="A122" s="142"/>
    </row>
    <row r="123" spans="1:6">
      <c r="A123" s="2" t="s">
        <v>715</v>
      </c>
      <c r="E123">
        <f>SUM(C124:C151)</f>
        <v>828.5300000000002</v>
      </c>
    </row>
    <row r="124" spans="1:6">
      <c r="A124" s="24">
        <v>41799</v>
      </c>
      <c r="B124" t="s">
        <v>1246</v>
      </c>
      <c r="C124">
        <v>8.99</v>
      </c>
      <c r="D124" t="s">
        <v>399</v>
      </c>
      <c r="F124" t="s">
        <v>1247</v>
      </c>
    </row>
    <row r="125" spans="1:6">
      <c r="A125" s="24">
        <v>41807</v>
      </c>
      <c r="B125" t="s">
        <v>1248</v>
      </c>
      <c r="C125">
        <v>130.44999999999999</v>
      </c>
      <c r="D125" t="s">
        <v>399</v>
      </c>
      <c r="F125" t="s">
        <v>1249</v>
      </c>
    </row>
    <row r="126" spans="1:6">
      <c r="A126" s="24">
        <v>41835</v>
      </c>
      <c r="B126" t="s">
        <v>1250</v>
      </c>
      <c r="C126">
        <v>19.95</v>
      </c>
      <c r="D126" t="s">
        <v>1251</v>
      </c>
      <c r="F126" t="s">
        <v>1247</v>
      </c>
    </row>
    <row r="127" spans="1:6">
      <c r="A127" s="24">
        <v>41869</v>
      </c>
      <c r="B127" t="s">
        <v>1250</v>
      </c>
      <c r="C127">
        <v>19.95</v>
      </c>
      <c r="D127" t="s">
        <v>1251</v>
      </c>
      <c r="F127" t="s">
        <v>1247</v>
      </c>
    </row>
    <row r="128" spans="1:6">
      <c r="A128" s="24">
        <v>41670</v>
      </c>
      <c r="B128" t="s">
        <v>398</v>
      </c>
      <c r="C128">
        <v>11.84</v>
      </c>
      <c r="D128" t="s">
        <v>399</v>
      </c>
      <c r="F128" t="s">
        <v>393</v>
      </c>
    </row>
    <row r="129" spans="1:6">
      <c r="A129" s="24">
        <v>41690</v>
      </c>
      <c r="B129" t="s">
        <v>398</v>
      </c>
      <c r="C129">
        <v>0.99</v>
      </c>
      <c r="D129" t="s">
        <v>399</v>
      </c>
      <c r="F129" t="s">
        <v>393</v>
      </c>
    </row>
    <row r="130" spans="1:6">
      <c r="A130" s="24">
        <v>41703</v>
      </c>
      <c r="B130" t="s">
        <v>398</v>
      </c>
      <c r="C130">
        <v>6.6</v>
      </c>
      <c r="D130" t="s">
        <v>399</v>
      </c>
      <c r="F130" t="s">
        <v>393</v>
      </c>
    </row>
    <row r="131" spans="1:6">
      <c r="A131" s="24">
        <v>41707</v>
      </c>
      <c r="B131" t="s">
        <v>1256</v>
      </c>
      <c r="C131">
        <v>76.08</v>
      </c>
      <c r="D131" t="s">
        <v>399</v>
      </c>
      <c r="F131" t="s">
        <v>393</v>
      </c>
    </row>
    <row r="132" spans="1:6">
      <c r="A132" s="142">
        <v>41723</v>
      </c>
      <c r="B132" t="s">
        <v>398</v>
      </c>
      <c r="C132">
        <v>7.04</v>
      </c>
      <c r="D132" t="s">
        <v>399</v>
      </c>
      <c r="F132" t="s">
        <v>393</v>
      </c>
    </row>
    <row r="133" spans="1:6">
      <c r="A133" s="142">
        <v>41785</v>
      </c>
      <c r="B133" t="s">
        <v>398</v>
      </c>
      <c r="C133">
        <v>36.18</v>
      </c>
      <c r="D133" t="s">
        <v>399</v>
      </c>
      <c r="F133" t="s">
        <v>393</v>
      </c>
    </row>
    <row r="134" spans="1:6">
      <c r="A134" s="142">
        <v>41787</v>
      </c>
      <c r="B134" t="s">
        <v>398</v>
      </c>
      <c r="C134">
        <v>9.49</v>
      </c>
      <c r="D134" t="s">
        <v>399</v>
      </c>
      <c r="F134" t="s">
        <v>393</v>
      </c>
    </row>
    <row r="135" spans="1:6">
      <c r="A135" s="142">
        <v>41787</v>
      </c>
      <c r="B135" t="s">
        <v>398</v>
      </c>
      <c r="C135">
        <v>9.49</v>
      </c>
      <c r="D135" t="s">
        <v>399</v>
      </c>
      <c r="F135" t="s">
        <v>393</v>
      </c>
    </row>
    <row r="136" spans="1:6">
      <c r="A136" s="142">
        <v>41788</v>
      </c>
      <c r="B136" t="s">
        <v>398</v>
      </c>
      <c r="C136">
        <v>2.99</v>
      </c>
      <c r="D136" t="s">
        <v>399</v>
      </c>
      <c r="F136" t="s">
        <v>393</v>
      </c>
    </row>
    <row r="137" spans="1:6">
      <c r="A137" s="142">
        <v>41800</v>
      </c>
      <c r="B137" t="s">
        <v>398</v>
      </c>
      <c r="C137">
        <v>12.48</v>
      </c>
      <c r="D137" t="s">
        <v>399</v>
      </c>
      <c r="F137" t="s">
        <v>393</v>
      </c>
    </row>
    <row r="138" spans="1:6">
      <c r="A138" s="142">
        <v>41845</v>
      </c>
      <c r="B138" t="s">
        <v>398</v>
      </c>
      <c r="C138">
        <v>36.659999999999997</v>
      </c>
      <c r="D138" t="s">
        <v>399</v>
      </c>
      <c r="F138" t="s">
        <v>393</v>
      </c>
    </row>
    <row r="139" spans="1:6">
      <c r="A139" s="142">
        <v>41907</v>
      </c>
      <c r="B139" t="s">
        <v>398</v>
      </c>
      <c r="C139">
        <v>20.079999999999998</v>
      </c>
      <c r="D139" t="s">
        <v>399</v>
      </c>
      <c r="F139" t="s">
        <v>393</v>
      </c>
    </row>
    <row r="140" spans="1:6">
      <c r="A140" s="142">
        <v>41924</v>
      </c>
      <c r="B140" t="s">
        <v>717</v>
      </c>
      <c r="C140">
        <v>4.99</v>
      </c>
      <c r="D140" t="s">
        <v>399</v>
      </c>
      <c r="F140" t="s">
        <v>393</v>
      </c>
    </row>
    <row r="141" spans="1:6">
      <c r="A141" s="142">
        <v>41961</v>
      </c>
      <c r="B141" t="s">
        <v>716</v>
      </c>
      <c r="C141">
        <v>19.95</v>
      </c>
      <c r="D141" t="s">
        <v>399</v>
      </c>
      <c r="F141" t="s">
        <v>393</v>
      </c>
    </row>
    <row r="142" spans="1:6">
      <c r="A142" s="142">
        <v>41992</v>
      </c>
      <c r="B142" t="s">
        <v>1260</v>
      </c>
      <c r="C142">
        <v>23.73</v>
      </c>
      <c r="D142" t="s">
        <v>1261</v>
      </c>
      <c r="F142" t="s">
        <v>393</v>
      </c>
    </row>
    <row r="143" spans="1:6">
      <c r="A143" s="142">
        <v>41793</v>
      </c>
      <c r="B143" t="s">
        <v>1262</v>
      </c>
      <c r="C143">
        <v>60</v>
      </c>
      <c r="D143" t="s">
        <v>399</v>
      </c>
      <c r="F143" t="s">
        <v>393</v>
      </c>
    </row>
    <row r="144" spans="1:6">
      <c r="A144" s="142">
        <v>41800</v>
      </c>
      <c r="B144" t="s">
        <v>1263</v>
      </c>
      <c r="C144">
        <v>1.29</v>
      </c>
      <c r="D144" t="s">
        <v>399</v>
      </c>
      <c r="F144" t="s">
        <v>393</v>
      </c>
    </row>
    <row r="145" spans="1:6">
      <c r="A145" s="142">
        <v>41811</v>
      </c>
      <c r="B145" t="s">
        <v>1264</v>
      </c>
      <c r="C145">
        <v>103</v>
      </c>
      <c r="D145" t="s">
        <v>399</v>
      </c>
      <c r="F145" t="s">
        <v>393</v>
      </c>
    </row>
    <row r="146" spans="1:6">
      <c r="A146" s="142">
        <v>41820</v>
      </c>
      <c r="B146" t="s">
        <v>1265</v>
      </c>
      <c r="C146">
        <v>1</v>
      </c>
      <c r="D146" t="s">
        <v>1266</v>
      </c>
      <c r="F146" t="s">
        <v>393</v>
      </c>
    </row>
    <row r="147" spans="1:6">
      <c r="A147" s="142">
        <v>41820</v>
      </c>
      <c r="B147" t="s">
        <v>1265</v>
      </c>
      <c r="C147">
        <v>32.950000000000003</v>
      </c>
      <c r="D147" t="s">
        <v>1267</v>
      </c>
      <c r="F147" t="s">
        <v>393</v>
      </c>
    </row>
    <row r="148" spans="1:6">
      <c r="A148" s="142">
        <v>41829</v>
      </c>
      <c r="B148" t="s">
        <v>1265</v>
      </c>
      <c r="C148">
        <v>14.95</v>
      </c>
      <c r="D148" t="s">
        <v>1267</v>
      </c>
      <c r="F148" t="s">
        <v>393</v>
      </c>
    </row>
    <row r="149" spans="1:6">
      <c r="A149" s="142">
        <v>41872</v>
      </c>
      <c r="B149" t="s">
        <v>1268</v>
      </c>
      <c r="C149">
        <v>42.46</v>
      </c>
      <c r="D149" t="s">
        <v>1270</v>
      </c>
      <c r="F149" t="s">
        <v>393</v>
      </c>
    </row>
    <row r="150" spans="1:6">
      <c r="A150" s="142">
        <v>41901</v>
      </c>
      <c r="B150" t="s">
        <v>1269</v>
      </c>
      <c r="C150">
        <v>99.95</v>
      </c>
      <c r="D150" t="s">
        <v>1270</v>
      </c>
      <c r="F150" t="s">
        <v>393</v>
      </c>
    </row>
    <row r="151" spans="1:6" ht="14.25" customHeight="1">
      <c r="A151" s="142">
        <v>41901</v>
      </c>
      <c r="B151" t="s">
        <v>1269</v>
      </c>
      <c r="C151">
        <v>15</v>
      </c>
      <c r="D151" t="s">
        <v>399</v>
      </c>
      <c r="F151" t="s">
        <v>393</v>
      </c>
    </row>
    <row r="152" spans="1:6">
      <c r="A152" s="142"/>
    </row>
    <row r="153" spans="1:6">
      <c r="A153" s="2" t="s">
        <v>400</v>
      </c>
      <c r="E153">
        <f>SUM(C154:C162)</f>
        <v>455.48</v>
      </c>
    </row>
    <row r="154" spans="1:6">
      <c r="A154" s="142">
        <v>41947</v>
      </c>
      <c r="B154" t="s">
        <v>418</v>
      </c>
      <c r="C154">
        <v>9.6300000000000008</v>
      </c>
      <c r="D154" t="s">
        <v>736</v>
      </c>
      <c r="F154" t="s">
        <v>386</v>
      </c>
    </row>
    <row r="155" spans="1:6">
      <c r="A155" s="142">
        <v>41722</v>
      </c>
      <c r="B155" t="s">
        <v>401</v>
      </c>
      <c r="C155">
        <v>58.04</v>
      </c>
      <c r="D155" t="s">
        <v>402</v>
      </c>
      <c r="F155" t="s">
        <v>386</v>
      </c>
    </row>
    <row r="156" spans="1:6">
      <c r="A156" s="142">
        <v>41726</v>
      </c>
      <c r="B156" t="s">
        <v>401</v>
      </c>
      <c r="C156">
        <v>9.8000000000000007</v>
      </c>
      <c r="D156" t="s">
        <v>718</v>
      </c>
      <c r="F156" t="s">
        <v>386</v>
      </c>
    </row>
    <row r="157" spans="1:6">
      <c r="A157" s="142">
        <v>41779</v>
      </c>
      <c r="B157" t="s">
        <v>401</v>
      </c>
      <c r="C157">
        <v>59.98</v>
      </c>
      <c r="D157" t="s">
        <v>402</v>
      </c>
      <c r="F157" t="s">
        <v>386</v>
      </c>
    </row>
    <row r="158" spans="1:6">
      <c r="A158" s="142">
        <v>41879</v>
      </c>
      <c r="B158" t="s">
        <v>1257</v>
      </c>
      <c r="C158">
        <v>184.9</v>
      </c>
      <c r="D158" t="s">
        <v>1258</v>
      </c>
      <c r="F158" t="s">
        <v>386</v>
      </c>
    </row>
    <row r="159" spans="1:6">
      <c r="A159" s="142">
        <v>41882</v>
      </c>
      <c r="B159" t="s">
        <v>418</v>
      </c>
      <c r="C159">
        <v>112.95</v>
      </c>
      <c r="D159" t="s">
        <v>1259</v>
      </c>
      <c r="F159" t="s">
        <v>386</v>
      </c>
    </row>
    <row r="160" spans="1:6">
      <c r="A160" s="142">
        <v>41725</v>
      </c>
      <c r="B160" t="s">
        <v>403</v>
      </c>
      <c r="C160">
        <v>9.8000000000000007</v>
      </c>
      <c r="D160" t="s">
        <v>718</v>
      </c>
      <c r="F160" t="s">
        <v>386</v>
      </c>
    </row>
    <row r="161" spans="1:6">
      <c r="A161" s="142">
        <v>41880</v>
      </c>
      <c r="B161" t="s">
        <v>403</v>
      </c>
      <c r="C161">
        <v>5.54</v>
      </c>
      <c r="D161" t="s">
        <v>718</v>
      </c>
      <c r="F161" t="s">
        <v>386</v>
      </c>
    </row>
    <row r="162" spans="1:6">
      <c r="A162" s="142">
        <v>41984</v>
      </c>
      <c r="B162" t="s">
        <v>403</v>
      </c>
      <c r="C162">
        <v>4.84</v>
      </c>
      <c r="D162" t="s">
        <v>718</v>
      </c>
      <c r="F162" t="s">
        <v>386</v>
      </c>
    </row>
    <row r="163" spans="1:6">
      <c r="A163" s="142"/>
    </row>
    <row r="164" spans="1:6">
      <c r="A164" s="2" t="s">
        <v>735</v>
      </c>
      <c r="E164">
        <f>SUM(C166:C169)+C170</f>
        <v>760.66333333</v>
      </c>
    </row>
    <row r="165" spans="1:6">
      <c r="A165" s="22" t="s">
        <v>719</v>
      </c>
      <c r="C165" s="22" t="s">
        <v>720</v>
      </c>
      <c r="D165" s="22" t="s">
        <v>721</v>
      </c>
    </row>
    <row r="166" spans="1:6">
      <c r="A166" t="s">
        <v>404</v>
      </c>
      <c r="B166" t="s">
        <v>405</v>
      </c>
      <c r="C166">
        <v>65</v>
      </c>
      <c r="D166" t="s">
        <v>406</v>
      </c>
      <c r="F166" t="s">
        <v>386</v>
      </c>
    </row>
    <row r="167" spans="1:6">
      <c r="A167" t="s">
        <v>407</v>
      </c>
      <c r="B167" t="s">
        <v>408</v>
      </c>
      <c r="C167">
        <v>16.66333333</v>
      </c>
      <c r="D167" t="s">
        <v>409</v>
      </c>
      <c r="F167" t="s">
        <v>386</v>
      </c>
    </row>
    <row r="168" spans="1:6">
      <c r="A168" t="s">
        <v>407</v>
      </c>
      <c r="B168" t="s">
        <v>410</v>
      </c>
      <c r="C168">
        <v>146</v>
      </c>
      <c r="D168" t="s">
        <v>411</v>
      </c>
      <c r="F168" t="s">
        <v>386</v>
      </c>
    </row>
    <row r="169" spans="1:6">
      <c r="A169" t="s">
        <v>412</v>
      </c>
      <c r="B169" t="s">
        <v>405</v>
      </c>
      <c r="C169">
        <v>133</v>
      </c>
      <c r="D169" t="s">
        <v>413</v>
      </c>
      <c r="F169" t="s">
        <v>386</v>
      </c>
    </row>
    <row r="170" spans="1:6">
      <c r="A170" s="142">
        <v>41940</v>
      </c>
      <c r="B170" t="s">
        <v>1272</v>
      </c>
      <c r="C170">
        <v>400</v>
      </c>
      <c r="D170" t="s">
        <v>1273</v>
      </c>
      <c r="F170" t="s">
        <v>1274</v>
      </c>
    </row>
    <row r="172" spans="1:6">
      <c r="A172" s="2" t="s">
        <v>414</v>
      </c>
      <c r="C172">
        <f>SUM(C173:C209)</f>
        <v>1466.77</v>
      </c>
      <c r="D172" t="s">
        <v>415</v>
      </c>
      <c r="E172" s="360">
        <f>0.5*C172</f>
        <v>733.38499999999999</v>
      </c>
      <c r="F172" t="s">
        <v>393</v>
      </c>
    </row>
    <row r="173" spans="1:6">
      <c r="A173" s="142">
        <v>41677</v>
      </c>
      <c r="B173" t="s">
        <v>724</v>
      </c>
      <c r="C173">
        <v>25.69</v>
      </c>
      <c r="D173" t="s">
        <v>420</v>
      </c>
      <c r="F173" t="s">
        <v>393</v>
      </c>
    </row>
    <row r="174" spans="1:6">
      <c r="A174" s="142">
        <v>41691</v>
      </c>
      <c r="B174" t="s">
        <v>726</v>
      </c>
      <c r="C174">
        <v>65</v>
      </c>
      <c r="D174" t="s">
        <v>420</v>
      </c>
      <c r="F174" t="s">
        <v>393</v>
      </c>
    </row>
    <row r="175" spans="1:6">
      <c r="A175" s="142">
        <v>41718</v>
      </c>
      <c r="B175" t="s">
        <v>726</v>
      </c>
      <c r="C175">
        <v>50.95</v>
      </c>
      <c r="D175" t="s">
        <v>420</v>
      </c>
      <c r="F175" t="s">
        <v>393</v>
      </c>
    </row>
    <row r="176" spans="1:6">
      <c r="A176" s="142">
        <v>41725</v>
      </c>
      <c r="B176" t="s">
        <v>1275</v>
      </c>
      <c r="C176">
        <v>40</v>
      </c>
      <c r="D176" t="s">
        <v>420</v>
      </c>
      <c r="F176" t="s">
        <v>393</v>
      </c>
    </row>
    <row r="177" spans="1:6">
      <c r="A177" s="142">
        <v>41726</v>
      </c>
      <c r="B177" t="s">
        <v>416</v>
      </c>
      <c r="C177">
        <v>17.399999999999999</v>
      </c>
      <c r="D177" t="s">
        <v>1276</v>
      </c>
      <c r="F177" t="s">
        <v>393</v>
      </c>
    </row>
    <row r="178" spans="1:6">
      <c r="A178" s="142">
        <v>41726</v>
      </c>
      <c r="B178" t="s">
        <v>1277</v>
      </c>
      <c r="C178">
        <v>14.84</v>
      </c>
      <c r="D178" t="s">
        <v>420</v>
      </c>
      <c r="F178" t="s">
        <v>393</v>
      </c>
    </row>
    <row r="179" spans="1:6">
      <c r="A179" s="142">
        <v>41728</v>
      </c>
      <c r="B179" t="s">
        <v>419</v>
      </c>
      <c r="C179">
        <v>46</v>
      </c>
      <c r="D179" t="s">
        <v>417</v>
      </c>
      <c r="F179" t="s">
        <v>393</v>
      </c>
    </row>
    <row r="180" spans="1:6">
      <c r="A180" s="142">
        <v>41738</v>
      </c>
      <c r="B180" t="s">
        <v>1277</v>
      </c>
      <c r="C180">
        <v>14.84</v>
      </c>
      <c r="D180" t="s">
        <v>420</v>
      </c>
      <c r="F180" t="s">
        <v>393</v>
      </c>
    </row>
    <row r="181" spans="1:6">
      <c r="A181" s="142">
        <v>41743</v>
      </c>
      <c r="B181" t="s">
        <v>1282</v>
      </c>
      <c r="C181">
        <v>7</v>
      </c>
      <c r="D181" t="s">
        <v>1283</v>
      </c>
      <c r="F181" t="s">
        <v>393</v>
      </c>
    </row>
    <row r="182" spans="1:6">
      <c r="A182" s="142">
        <v>41757</v>
      </c>
      <c r="B182" t="s">
        <v>1277</v>
      </c>
      <c r="C182">
        <v>14.84</v>
      </c>
      <c r="D182" t="s">
        <v>420</v>
      </c>
      <c r="F182" t="s">
        <v>393</v>
      </c>
    </row>
    <row r="183" spans="1:6">
      <c r="A183" s="142">
        <v>41765</v>
      </c>
      <c r="B183" t="s">
        <v>416</v>
      </c>
      <c r="C183">
        <v>6.99</v>
      </c>
      <c r="D183" t="s">
        <v>420</v>
      </c>
      <c r="F183" t="s">
        <v>393</v>
      </c>
    </row>
    <row r="184" spans="1:6">
      <c r="A184" s="142">
        <v>41768</v>
      </c>
      <c r="B184" t="s">
        <v>1275</v>
      </c>
      <c r="C184">
        <v>91.29</v>
      </c>
      <c r="D184" t="s">
        <v>722</v>
      </c>
      <c r="F184" t="s">
        <v>393</v>
      </c>
    </row>
    <row r="185" spans="1:6">
      <c r="A185" s="142">
        <v>41770</v>
      </c>
      <c r="B185" t="s">
        <v>419</v>
      </c>
      <c r="C185">
        <v>52</v>
      </c>
      <c r="D185" t="s">
        <v>422</v>
      </c>
      <c r="F185" t="s">
        <v>393</v>
      </c>
    </row>
    <row r="186" spans="1:6">
      <c r="A186" s="142">
        <v>41798</v>
      </c>
      <c r="B186" t="s">
        <v>1278</v>
      </c>
      <c r="C186">
        <v>42.29</v>
      </c>
      <c r="D186" t="s">
        <v>417</v>
      </c>
      <c r="F186" t="s">
        <v>393</v>
      </c>
    </row>
    <row r="187" spans="1:6">
      <c r="A187" s="142">
        <v>41817</v>
      </c>
      <c r="B187" t="s">
        <v>1279</v>
      </c>
      <c r="C187">
        <v>21.33</v>
      </c>
      <c r="D187" t="s">
        <v>1276</v>
      </c>
      <c r="F187" t="s">
        <v>393</v>
      </c>
    </row>
    <row r="188" spans="1:6">
      <c r="A188" s="142">
        <v>41828</v>
      </c>
      <c r="B188" t="s">
        <v>1275</v>
      </c>
      <c r="C188">
        <v>39.049999999999997</v>
      </c>
      <c r="D188" t="s">
        <v>420</v>
      </c>
      <c r="F188" t="s">
        <v>393</v>
      </c>
    </row>
    <row r="189" spans="1:6">
      <c r="A189" s="142">
        <v>41833</v>
      </c>
      <c r="B189" t="s">
        <v>1280</v>
      </c>
      <c r="C189">
        <v>65.25</v>
      </c>
      <c r="D189" t="s">
        <v>417</v>
      </c>
      <c r="F189" t="s">
        <v>393</v>
      </c>
    </row>
    <row r="190" spans="1:6">
      <c r="A190" s="142">
        <v>41847</v>
      </c>
      <c r="B190" t="s">
        <v>1281</v>
      </c>
      <c r="C190">
        <v>160</v>
      </c>
      <c r="D190" t="s">
        <v>417</v>
      </c>
      <c r="F190" t="s">
        <v>393</v>
      </c>
    </row>
    <row r="191" spans="1:6">
      <c r="A191" s="142">
        <v>41893</v>
      </c>
      <c r="B191" t="s">
        <v>1277</v>
      </c>
      <c r="C191">
        <v>4.71</v>
      </c>
      <c r="D191" t="s">
        <v>420</v>
      </c>
      <c r="F191" t="s">
        <v>393</v>
      </c>
    </row>
    <row r="192" spans="1:6">
      <c r="A192" s="142">
        <v>41895</v>
      </c>
      <c r="B192" t="s">
        <v>1284</v>
      </c>
      <c r="C192">
        <v>24.75</v>
      </c>
      <c r="D192" t="s">
        <v>1285</v>
      </c>
      <c r="F192" t="s">
        <v>393</v>
      </c>
    </row>
    <row r="193" spans="1:6">
      <c r="A193" s="142">
        <v>41895</v>
      </c>
      <c r="B193" t="s">
        <v>714</v>
      </c>
      <c r="C193">
        <v>9.2899999999999991</v>
      </c>
      <c r="D193" t="s">
        <v>1285</v>
      </c>
      <c r="F193" t="s">
        <v>393</v>
      </c>
    </row>
    <row r="194" spans="1:6">
      <c r="A194" s="142">
        <v>41901</v>
      </c>
      <c r="B194" t="s">
        <v>725</v>
      </c>
      <c r="C194">
        <v>51.41</v>
      </c>
      <c r="D194" t="s">
        <v>723</v>
      </c>
      <c r="F194" t="s">
        <v>393</v>
      </c>
    </row>
    <row r="195" spans="1:6">
      <c r="A195" s="142">
        <v>41901</v>
      </c>
      <c r="B195" t="s">
        <v>1286</v>
      </c>
      <c r="C195">
        <v>56.38</v>
      </c>
      <c r="D195" t="s">
        <v>723</v>
      </c>
      <c r="F195" t="s">
        <v>393</v>
      </c>
    </row>
    <row r="196" spans="1:6">
      <c r="A196" s="142">
        <v>41902</v>
      </c>
      <c r="B196" t="s">
        <v>1287</v>
      </c>
      <c r="C196">
        <v>33</v>
      </c>
      <c r="D196" t="s">
        <v>723</v>
      </c>
      <c r="F196" t="s">
        <v>393</v>
      </c>
    </row>
    <row r="197" spans="1:6">
      <c r="A197" s="142">
        <v>41902</v>
      </c>
      <c r="B197" t="s">
        <v>1288</v>
      </c>
      <c r="C197">
        <v>53.72</v>
      </c>
      <c r="D197" t="s">
        <v>723</v>
      </c>
      <c r="F197" t="s">
        <v>393</v>
      </c>
    </row>
    <row r="198" spans="1:6">
      <c r="A198" s="142">
        <v>41908</v>
      </c>
      <c r="B198" t="s">
        <v>714</v>
      </c>
      <c r="C198">
        <v>29.55</v>
      </c>
      <c r="D198" t="s">
        <v>1285</v>
      </c>
      <c r="F198" t="s">
        <v>393</v>
      </c>
    </row>
    <row r="199" spans="1:6">
      <c r="A199" s="142">
        <v>41910</v>
      </c>
      <c r="B199" t="s">
        <v>1289</v>
      </c>
      <c r="C199">
        <v>68.55</v>
      </c>
      <c r="D199" t="s">
        <v>1285</v>
      </c>
      <c r="F199" t="s">
        <v>393</v>
      </c>
    </row>
    <row r="200" spans="1:6">
      <c r="A200" s="142">
        <v>41936</v>
      </c>
      <c r="B200" t="s">
        <v>1281</v>
      </c>
      <c r="C200">
        <v>25.47</v>
      </c>
      <c r="D200" t="s">
        <v>417</v>
      </c>
      <c r="F200" t="s">
        <v>393</v>
      </c>
    </row>
    <row r="201" spans="1:6">
      <c r="A201" s="142">
        <v>41937</v>
      </c>
      <c r="B201" t="s">
        <v>1290</v>
      </c>
      <c r="C201">
        <v>11.5</v>
      </c>
      <c r="D201" t="s">
        <v>1285</v>
      </c>
      <c r="F201" t="s">
        <v>393</v>
      </c>
    </row>
    <row r="202" spans="1:6">
      <c r="A202" s="142">
        <v>41965</v>
      </c>
      <c r="B202" t="s">
        <v>724</v>
      </c>
      <c r="C202">
        <v>73.52</v>
      </c>
      <c r="D202" t="s">
        <v>1292</v>
      </c>
      <c r="F202" t="s">
        <v>393</v>
      </c>
    </row>
    <row r="203" spans="1:6">
      <c r="A203" s="142">
        <v>41965</v>
      </c>
      <c r="B203" t="s">
        <v>1291</v>
      </c>
      <c r="C203">
        <v>20.14</v>
      </c>
      <c r="D203" t="s">
        <v>417</v>
      </c>
      <c r="F203" t="s">
        <v>393</v>
      </c>
    </row>
    <row r="204" spans="1:6">
      <c r="A204" s="142">
        <v>41979</v>
      </c>
      <c r="B204" t="s">
        <v>726</v>
      </c>
      <c r="C204">
        <v>93.61</v>
      </c>
      <c r="D204" t="s">
        <v>417</v>
      </c>
      <c r="F204" t="s">
        <v>393</v>
      </c>
    </row>
    <row r="205" spans="1:6">
      <c r="A205" s="142">
        <v>41987</v>
      </c>
      <c r="B205" t="s">
        <v>416</v>
      </c>
      <c r="C205">
        <v>3.82</v>
      </c>
      <c r="D205" t="s">
        <v>1285</v>
      </c>
      <c r="F205" t="s">
        <v>393</v>
      </c>
    </row>
    <row r="206" spans="1:6">
      <c r="A206" s="142">
        <v>41993</v>
      </c>
      <c r="B206" t="s">
        <v>1293</v>
      </c>
      <c r="C206">
        <v>18.63</v>
      </c>
      <c r="D206" t="s">
        <v>722</v>
      </c>
      <c r="F206" t="s">
        <v>393</v>
      </c>
    </row>
    <row r="207" spans="1:6">
      <c r="A207" s="142">
        <v>41996</v>
      </c>
      <c r="B207" t="s">
        <v>1294</v>
      </c>
      <c r="C207">
        <v>31.08</v>
      </c>
      <c r="D207" t="s">
        <v>1285</v>
      </c>
      <c r="F207" t="s">
        <v>393</v>
      </c>
    </row>
    <row r="208" spans="1:6">
      <c r="A208" s="142">
        <v>41999</v>
      </c>
      <c r="B208" t="s">
        <v>1295</v>
      </c>
      <c r="C208">
        <v>39.630000000000003</v>
      </c>
      <c r="D208" t="s">
        <v>1285</v>
      </c>
      <c r="F208" t="s">
        <v>393</v>
      </c>
    </row>
    <row r="209" spans="1:6">
      <c r="A209" s="142">
        <v>42000</v>
      </c>
      <c r="B209" t="s">
        <v>1284</v>
      </c>
      <c r="C209">
        <v>43.25</v>
      </c>
      <c r="D209" t="s">
        <v>1285</v>
      </c>
      <c r="F209" t="s">
        <v>393</v>
      </c>
    </row>
  </sheetData>
  <sheetProtection selectLockedCells="1" selectUnlockedCells="1"/>
  <pageMargins left="0.25" right="0.25" top="0.75" bottom="0.75" header="0.3" footer="0.3"/>
  <pageSetup firstPageNumber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34" workbookViewId="0">
      <selection activeCell="H58" sqref="H58"/>
    </sheetView>
  </sheetViews>
  <sheetFormatPr defaultRowHeight="14.25"/>
  <cols>
    <col min="1" max="1" width="13.140625" style="400" customWidth="1"/>
    <col min="2" max="2" width="86.28515625" style="400" customWidth="1"/>
    <col min="3" max="3" width="11.28515625" style="400" customWidth="1"/>
    <col min="4" max="4" width="11.140625" style="400" customWidth="1"/>
    <col min="5" max="5" width="11.5703125" style="400" customWidth="1"/>
    <col min="6" max="16384" width="9.140625" style="400"/>
  </cols>
  <sheetData>
    <row r="1" spans="1:3">
      <c r="A1" s="400" t="s">
        <v>945</v>
      </c>
    </row>
    <row r="2" spans="1:3">
      <c r="B2" s="400" t="s">
        <v>721</v>
      </c>
      <c r="C2" s="400">
        <v>418000</v>
      </c>
    </row>
    <row r="3" spans="1:3">
      <c r="B3" s="400" t="s">
        <v>1001</v>
      </c>
      <c r="C3" s="400">
        <v>-83600</v>
      </c>
    </row>
    <row r="4" spans="1:3">
      <c r="B4" s="400" t="s">
        <v>1002</v>
      </c>
      <c r="C4" s="400">
        <f>SUM(C2:C3)</f>
        <v>334400</v>
      </c>
    </row>
    <row r="6" spans="1:3">
      <c r="A6" s="400" t="s">
        <v>1003</v>
      </c>
      <c r="C6" s="400" t="s">
        <v>1188</v>
      </c>
    </row>
    <row r="7" spans="1:3">
      <c r="A7" s="402">
        <v>41822</v>
      </c>
      <c r="B7" s="402" t="s">
        <v>1004</v>
      </c>
      <c r="C7" s="400">
        <v>475</v>
      </c>
    </row>
    <row r="8" spans="1:3">
      <c r="A8" s="402">
        <v>41853</v>
      </c>
      <c r="B8" s="402" t="s">
        <v>1137</v>
      </c>
      <c r="C8" s="400">
        <v>470</v>
      </c>
    </row>
    <row r="9" spans="1:3">
      <c r="A9" s="402">
        <v>41887</v>
      </c>
      <c r="B9" s="400" t="s">
        <v>1136</v>
      </c>
      <c r="C9" s="400">
        <v>960</v>
      </c>
    </row>
    <row r="10" spans="1:3">
      <c r="A10" s="402">
        <v>41887</v>
      </c>
      <c r="B10" s="400" t="s">
        <v>1138</v>
      </c>
      <c r="C10" s="400">
        <v>45619</v>
      </c>
    </row>
    <row r="11" spans="1:3">
      <c r="A11" s="402">
        <v>41825</v>
      </c>
      <c r="B11" s="400" t="s">
        <v>1138</v>
      </c>
      <c r="C11" s="400">
        <v>41800</v>
      </c>
    </row>
    <row r="12" spans="1:3">
      <c r="A12" s="402">
        <v>41887</v>
      </c>
      <c r="B12" s="400" t="s">
        <v>1139</v>
      </c>
      <c r="C12" s="400">
        <v>11365</v>
      </c>
    </row>
    <row r="13" spans="1:3">
      <c r="A13" s="402">
        <v>41887</v>
      </c>
      <c r="B13" s="400" t="s">
        <v>1208</v>
      </c>
      <c r="C13" s="400">
        <v>-888.22</v>
      </c>
    </row>
    <row r="14" spans="1:3">
      <c r="A14" s="402">
        <v>41903</v>
      </c>
      <c r="B14" s="400" t="s">
        <v>1207</v>
      </c>
      <c r="C14" s="400">
        <v>395</v>
      </c>
    </row>
    <row r="15" spans="1:3" ht="15.75" thickBot="1">
      <c r="A15" s="402"/>
      <c r="B15" s="400" t="s">
        <v>1149</v>
      </c>
      <c r="C15" s="408">
        <f>SUM(C7:C14)</f>
        <v>100195.78</v>
      </c>
    </row>
    <row r="16" spans="1:3" ht="15.75" thickTop="1">
      <c r="B16" s="400" t="s">
        <v>1150</v>
      </c>
      <c r="C16" s="409">
        <v>-83600</v>
      </c>
    </row>
    <row r="17" spans="1:8" ht="15.75" thickBot="1">
      <c r="B17" s="400" t="s">
        <v>1151</v>
      </c>
      <c r="C17" s="408">
        <f>SUM(C15:C16)</f>
        <v>16595.78</v>
      </c>
    </row>
    <row r="18" spans="1:8" ht="15.75" thickTop="1">
      <c r="C18" s="410"/>
    </row>
    <row r="19" spans="1:8" ht="15">
      <c r="C19" s="410" t="s">
        <v>34</v>
      </c>
      <c r="D19" s="411" t="s">
        <v>163</v>
      </c>
      <c r="E19" s="400" t="s">
        <v>165</v>
      </c>
      <c r="F19" s="400" t="s">
        <v>167</v>
      </c>
      <c r="G19" s="400" t="s">
        <v>168</v>
      </c>
      <c r="H19" s="400" t="s">
        <v>1162</v>
      </c>
    </row>
    <row r="20" spans="1:8">
      <c r="A20" s="400" t="s">
        <v>1152</v>
      </c>
      <c r="C20" s="400">
        <f>SUM(C22:C53)</f>
        <v>28556.13</v>
      </c>
    </row>
    <row r="21" spans="1:8">
      <c r="A21" s="400" t="s">
        <v>1153</v>
      </c>
      <c r="C21" s="400">
        <f>SUM(D21:G21)</f>
        <v>5450</v>
      </c>
      <c r="E21" s="400">
        <v>3400</v>
      </c>
      <c r="F21" s="400">
        <f>670+670</f>
        <v>1340</v>
      </c>
      <c r="G21" s="400">
        <v>710</v>
      </c>
    </row>
    <row r="22" spans="1:8">
      <c r="B22" s="400" t="s">
        <v>1165</v>
      </c>
    </row>
    <row r="23" spans="1:8">
      <c r="B23" s="400" t="s">
        <v>1166</v>
      </c>
    </row>
    <row r="24" spans="1:8">
      <c r="B24" s="400" t="s">
        <v>1168</v>
      </c>
    </row>
    <row r="25" spans="1:8">
      <c r="B25" s="400" t="s">
        <v>1167</v>
      </c>
    </row>
    <row r="26" spans="1:8">
      <c r="A26" s="400" t="s">
        <v>1154</v>
      </c>
      <c r="B26" s="401" t="s">
        <v>1155</v>
      </c>
      <c r="C26" s="400">
        <f>3500</f>
        <v>3500</v>
      </c>
      <c r="E26" s="400">
        <v>3500</v>
      </c>
    </row>
    <row r="28" spans="1:8">
      <c r="A28" s="400" t="s">
        <v>1169</v>
      </c>
      <c r="C28" s="400">
        <v>300</v>
      </c>
      <c r="F28" s="400">
        <f>100+200</f>
        <v>300</v>
      </c>
    </row>
    <row r="29" spans="1:8">
      <c r="B29" s="400" t="s">
        <v>1160</v>
      </c>
    </row>
    <row r="31" spans="1:8">
      <c r="A31" s="400" t="s">
        <v>1175</v>
      </c>
      <c r="C31" s="400">
        <f>SUM(D31:G31)</f>
        <v>10144.27</v>
      </c>
      <c r="D31" s="400">
        <f>1008.21</f>
        <v>1008.21</v>
      </c>
      <c r="E31" s="400">
        <v>-8.67</v>
      </c>
      <c r="F31" s="400">
        <f>160+3317.66+956.02</f>
        <v>4433.68</v>
      </c>
      <c r="G31" s="400">
        <f>1617.54+3093.51</f>
        <v>4711.05</v>
      </c>
    </row>
    <row r="32" spans="1:8">
      <c r="B32" s="400" t="s">
        <v>1163</v>
      </c>
    </row>
    <row r="33" spans="1:8">
      <c r="B33" s="400" t="s">
        <v>1172</v>
      </c>
    </row>
    <row r="34" spans="1:8">
      <c r="B34" s="400" t="s">
        <v>1164</v>
      </c>
    </row>
    <row r="35" spans="1:8">
      <c r="B35" s="400" t="s">
        <v>1171</v>
      </c>
    </row>
    <row r="36" spans="1:8">
      <c r="B36" s="400" t="s">
        <v>1170</v>
      </c>
    </row>
    <row r="37" spans="1:8">
      <c r="B37" s="400" t="s">
        <v>1161</v>
      </c>
    </row>
    <row r="38" spans="1:8">
      <c r="B38" s="400" t="s">
        <v>1173</v>
      </c>
    </row>
    <row r="41" spans="1:8">
      <c r="A41" s="400" t="s">
        <v>1198</v>
      </c>
    </row>
    <row r="42" spans="1:8">
      <c r="B42" s="400" t="s">
        <v>1199</v>
      </c>
      <c r="C42" s="400">
        <v>4651.8599999999997</v>
      </c>
      <c r="H42" s="400">
        <v>4651.8599999999997</v>
      </c>
    </row>
    <row r="43" spans="1:8">
      <c r="B43" s="400" t="s">
        <v>1200</v>
      </c>
    </row>
    <row r="44" spans="1:8">
      <c r="B44" s="400" t="s">
        <v>1201</v>
      </c>
    </row>
    <row r="45" spans="1:8">
      <c r="B45" s="400" t="s">
        <v>1202</v>
      </c>
    </row>
    <row r="46" spans="1:8">
      <c r="B46" s="400" t="s">
        <v>1203</v>
      </c>
    </row>
    <row r="47" spans="1:8">
      <c r="B47" s="400" t="s">
        <v>1204</v>
      </c>
    </row>
    <row r="48" spans="1:8">
      <c r="B48" s="400" t="s">
        <v>1205</v>
      </c>
    </row>
    <row r="51" spans="1:8">
      <c r="A51" s="400" t="s">
        <v>1185</v>
      </c>
      <c r="H51" s="400">
        <f>(77+20)+128</f>
        <v>225</v>
      </c>
    </row>
    <row r="53" spans="1:8">
      <c r="A53" s="400" t="s">
        <v>1174</v>
      </c>
      <c r="C53" s="400">
        <f>SUM(H54:H62)</f>
        <v>9960</v>
      </c>
    </row>
    <row r="54" spans="1:8">
      <c r="B54" s="400" t="s">
        <v>1177</v>
      </c>
      <c r="H54" s="400">
        <f>300+460</f>
        <v>760</v>
      </c>
    </row>
    <row r="55" spans="1:8">
      <c r="B55" s="400" t="s">
        <v>1178</v>
      </c>
      <c r="H55" s="400">
        <f>1200+2400</f>
        <v>3600</v>
      </c>
    </row>
    <row r="56" spans="1:8">
      <c r="B56" s="400" t="s">
        <v>1176</v>
      </c>
      <c r="H56" s="400">
        <f>800+2400</f>
        <v>3200</v>
      </c>
    </row>
    <row r="57" spans="1:8">
      <c r="B57" s="400" t="s">
        <v>1179</v>
      </c>
      <c r="H57" s="400">
        <v>2400</v>
      </c>
    </row>
    <row r="58" spans="1:8">
      <c r="B58" s="400" t="s">
        <v>1180</v>
      </c>
    </row>
    <row r="59" spans="1:8">
      <c r="B59" s="400" t="s">
        <v>1181</v>
      </c>
    </row>
    <row r="60" spans="1:8">
      <c r="B60" s="400" t="s">
        <v>1182</v>
      </c>
    </row>
    <row r="61" spans="1:8">
      <c r="B61" s="400" t="s">
        <v>1183</v>
      </c>
    </row>
    <row r="62" spans="1:8">
      <c r="B62" s="400" t="s">
        <v>1184</v>
      </c>
    </row>
    <row r="97" spans="1:5">
      <c r="A97" s="400" t="s">
        <v>947</v>
      </c>
      <c r="B97" s="401" t="s">
        <v>948</v>
      </c>
      <c r="C97" s="400" t="s">
        <v>955</v>
      </c>
    </row>
    <row r="98" spans="1:5">
      <c r="A98" s="400">
        <v>1</v>
      </c>
      <c r="B98" s="401"/>
    </row>
    <row r="99" spans="1:5">
      <c r="A99" s="400">
        <v>2</v>
      </c>
      <c r="B99" s="401" t="s">
        <v>961</v>
      </c>
    </row>
    <row r="100" spans="1:5">
      <c r="A100" s="400">
        <v>3</v>
      </c>
      <c r="B100" s="401" t="s">
        <v>946</v>
      </c>
    </row>
    <row r="101" spans="1:5" ht="28.5">
      <c r="A101" s="400">
        <v>4</v>
      </c>
      <c r="B101" s="401" t="s">
        <v>949</v>
      </c>
    </row>
    <row r="102" spans="1:5">
      <c r="A102" s="400">
        <v>5</v>
      </c>
      <c r="B102" s="401" t="s">
        <v>959</v>
      </c>
    </row>
    <row r="103" spans="1:5" ht="28.5">
      <c r="A103" s="400">
        <v>6</v>
      </c>
      <c r="B103" s="401" t="s">
        <v>960</v>
      </c>
    </row>
    <row r="104" spans="1:5">
      <c r="B104" s="401"/>
    </row>
    <row r="105" spans="1:5">
      <c r="A105" s="400" t="s">
        <v>950</v>
      </c>
      <c r="B105" s="401" t="s">
        <v>951</v>
      </c>
      <c r="C105" s="400" t="s">
        <v>956</v>
      </c>
    </row>
    <row r="107" spans="1:5">
      <c r="B107" s="401"/>
    </row>
    <row r="108" spans="1:5">
      <c r="A108" s="400" t="s">
        <v>952</v>
      </c>
      <c r="B108" s="401" t="s">
        <v>972</v>
      </c>
      <c r="C108" s="400" t="s">
        <v>977</v>
      </c>
    </row>
    <row r="109" spans="1:5">
      <c r="B109" s="401"/>
    </row>
    <row r="110" spans="1:5">
      <c r="A110" s="400" t="s">
        <v>953</v>
      </c>
      <c r="B110" s="401" t="s">
        <v>975</v>
      </c>
      <c r="C110" s="400" t="s">
        <v>976</v>
      </c>
    </row>
    <row r="111" spans="1:5">
      <c r="B111" s="401" t="s">
        <v>992</v>
      </c>
      <c r="E111" s="400" t="s">
        <v>962</v>
      </c>
    </row>
    <row r="112" spans="1:5">
      <c r="B112" s="401"/>
    </row>
    <row r="113" spans="1:5">
      <c r="A113" s="400" t="s">
        <v>954</v>
      </c>
      <c r="B113" s="401" t="s">
        <v>957</v>
      </c>
      <c r="E113" s="400" t="s">
        <v>962</v>
      </c>
    </row>
    <row r="114" spans="1:5">
      <c r="B114" s="401"/>
    </row>
    <row r="115" spans="1:5">
      <c r="A115" s="400" t="s">
        <v>958</v>
      </c>
      <c r="B115" s="401" t="s">
        <v>963</v>
      </c>
      <c r="E115" s="400" t="s">
        <v>964</v>
      </c>
    </row>
    <row r="116" spans="1:5">
      <c r="B116" s="401"/>
    </row>
    <row r="117" spans="1:5">
      <c r="A117" s="400" t="s">
        <v>973</v>
      </c>
      <c r="B117" s="401" t="s">
        <v>985</v>
      </c>
    </row>
    <row r="118" spans="1:5">
      <c r="A118" s="400">
        <v>1</v>
      </c>
      <c r="B118" s="401" t="s">
        <v>984</v>
      </c>
    </row>
    <row r="119" spans="1:5">
      <c r="B119" s="401" t="s">
        <v>966</v>
      </c>
      <c r="E119" s="400" t="s">
        <v>965</v>
      </c>
    </row>
    <row r="120" spans="1:5">
      <c r="B120" s="401" t="s">
        <v>967</v>
      </c>
    </row>
    <row r="121" spans="1:5">
      <c r="B121" s="401" t="s">
        <v>968</v>
      </c>
      <c r="E121" s="400" t="s">
        <v>969</v>
      </c>
    </row>
    <row r="122" spans="1:5">
      <c r="B122" s="401" t="s">
        <v>970</v>
      </c>
      <c r="E122" s="400" t="s">
        <v>971</v>
      </c>
    </row>
    <row r="123" spans="1:5">
      <c r="B123" s="401"/>
    </row>
    <row r="124" spans="1:5">
      <c r="A124" s="400">
        <v>2</v>
      </c>
      <c r="B124" s="400" t="s">
        <v>983</v>
      </c>
    </row>
    <row r="125" spans="1:5">
      <c r="B125" s="400" t="s">
        <v>978</v>
      </c>
    </row>
    <row r="127" spans="1:5">
      <c r="A127" s="400">
        <v>3</v>
      </c>
      <c r="B127" s="400" t="s">
        <v>979</v>
      </c>
      <c r="E127" s="400" t="s">
        <v>982</v>
      </c>
    </row>
    <row r="128" spans="1:5">
      <c r="B128" s="400" t="s">
        <v>980</v>
      </c>
    </row>
    <row r="129" spans="1:5">
      <c r="B129" s="400" t="s">
        <v>981</v>
      </c>
    </row>
    <row r="130" spans="1:5">
      <c r="B130" s="400" t="s">
        <v>1006</v>
      </c>
    </row>
    <row r="132" spans="1:5">
      <c r="A132" s="400">
        <v>4</v>
      </c>
      <c r="B132" s="400" t="s">
        <v>974</v>
      </c>
      <c r="E132" s="400" t="s">
        <v>986</v>
      </c>
    </row>
    <row r="133" spans="1:5">
      <c r="B133" s="400" t="s">
        <v>987</v>
      </c>
    </row>
    <row r="134" spans="1:5">
      <c r="B134" s="400" t="s">
        <v>988</v>
      </c>
      <c r="C134" s="400" t="s">
        <v>991</v>
      </c>
    </row>
    <row r="135" spans="1:5">
      <c r="B135" s="400" t="s">
        <v>989</v>
      </c>
      <c r="C135" s="400" t="s">
        <v>991</v>
      </c>
    </row>
    <row r="136" spans="1:5">
      <c r="B136" s="400" t="s">
        <v>990</v>
      </c>
    </row>
    <row r="137" spans="1:5">
      <c r="B137" s="400" t="s">
        <v>1007</v>
      </c>
      <c r="C137" s="400" t="s">
        <v>197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E7" sqref="E7"/>
    </sheetView>
  </sheetViews>
  <sheetFormatPr defaultRowHeight="12.75"/>
  <cols>
    <col min="1" max="1" width="19.140625" customWidth="1"/>
    <col min="2" max="2" width="29.85546875" customWidth="1"/>
    <col min="3" max="3" width="25" customWidth="1"/>
    <col min="4" max="4" width="3.7109375" customWidth="1"/>
    <col min="5" max="5" width="14.28515625" customWidth="1"/>
    <col min="6" max="6" width="2.42578125" customWidth="1"/>
    <col min="7" max="7" width="13.7109375" customWidth="1"/>
    <col min="8" max="8" width="2.5703125" customWidth="1"/>
  </cols>
  <sheetData>
    <row r="1" spans="1:9">
      <c r="A1" t="s">
        <v>835</v>
      </c>
    </row>
    <row r="2" spans="1:9">
      <c r="A2" t="s">
        <v>836</v>
      </c>
    </row>
    <row r="4" spans="1:9">
      <c r="A4" t="s">
        <v>837</v>
      </c>
    </row>
    <row r="6" spans="1:9">
      <c r="A6" t="s">
        <v>838</v>
      </c>
      <c r="E6" s="146" t="s">
        <v>74</v>
      </c>
      <c r="G6" s="147" t="s">
        <v>851</v>
      </c>
    </row>
    <row r="7" spans="1:9">
      <c r="B7" t="s">
        <v>25</v>
      </c>
      <c r="C7" t="s">
        <v>840</v>
      </c>
      <c r="E7">
        <f>94000/12</f>
        <v>7833.333333333333</v>
      </c>
    </row>
    <row r="8" spans="1:9">
      <c r="B8" t="s">
        <v>839</v>
      </c>
      <c r="C8" t="s">
        <v>841</v>
      </c>
      <c r="E8">
        <v>1500</v>
      </c>
      <c r="I8" t="s">
        <v>842</v>
      </c>
    </row>
    <row r="10" spans="1:9">
      <c r="A10" t="s">
        <v>862</v>
      </c>
      <c r="B10" t="s">
        <v>462</v>
      </c>
      <c r="G10">
        <v>1300</v>
      </c>
    </row>
    <row r="12" spans="1:9">
      <c r="B12" t="s">
        <v>860</v>
      </c>
      <c r="C12" t="s">
        <v>861</v>
      </c>
      <c r="G12">
        <v>1000</v>
      </c>
    </row>
    <row r="14" spans="1:9">
      <c r="A14" t="s">
        <v>863</v>
      </c>
    </row>
    <row r="15" spans="1:9">
      <c r="B15" s="137" t="s">
        <v>852</v>
      </c>
    </row>
    <row r="16" spans="1:9">
      <c r="B16" t="s">
        <v>853</v>
      </c>
      <c r="C16" t="s">
        <v>854</v>
      </c>
      <c r="G16">
        <v>800</v>
      </c>
      <c r="I16" t="s">
        <v>855</v>
      </c>
    </row>
    <row r="17" spans="2:11">
      <c r="C17" t="s">
        <v>856</v>
      </c>
      <c r="G17">
        <v>100</v>
      </c>
    </row>
    <row r="18" spans="2:11">
      <c r="C18" t="s">
        <v>869</v>
      </c>
      <c r="G18" s="394">
        <f>902/12</f>
        <v>75.166666666666671</v>
      </c>
      <c r="I18" t="s">
        <v>874</v>
      </c>
    </row>
    <row r="20" spans="2:11">
      <c r="B20" t="s">
        <v>857</v>
      </c>
    </row>
    <row r="21" spans="2:11">
      <c r="C21" t="s">
        <v>858</v>
      </c>
      <c r="G21">
        <v>570</v>
      </c>
    </row>
    <row r="22" spans="2:11">
      <c r="C22" t="s">
        <v>868</v>
      </c>
      <c r="G22" s="394">
        <f>680/12</f>
        <v>56.666666666666664</v>
      </c>
      <c r="I22" t="s">
        <v>875</v>
      </c>
    </row>
    <row r="24" spans="2:11">
      <c r="B24" t="s">
        <v>870</v>
      </c>
      <c r="C24" t="s">
        <v>57</v>
      </c>
      <c r="I24">
        <v>233.4</v>
      </c>
    </row>
    <row r="25" spans="2:11">
      <c r="C25" t="s">
        <v>871</v>
      </c>
      <c r="I25">
        <v>80</v>
      </c>
    </row>
    <row r="26" spans="2:11">
      <c r="C26" t="s">
        <v>872</v>
      </c>
      <c r="I26">
        <f>2*(3*50)</f>
        <v>300</v>
      </c>
    </row>
    <row r="27" spans="2:11">
      <c r="C27" t="s">
        <v>50</v>
      </c>
      <c r="I27">
        <v>820</v>
      </c>
    </row>
    <row r="28" spans="2:11" ht="13.5" thickBot="1">
      <c r="G28">
        <v>120</v>
      </c>
      <c r="I28" s="52">
        <f>SUM(I24:I27)</f>
        <v>1433.4</v>
      </c>
      <c r="J28">
        <f>1433.4/12</f>
        <v>119.45</v>
      </c>
      <c r="K28" t="s">
        <v>873</v>
      </c>
    </row>
    <row r="29" spans="2:11" ht="13.5" thickTop="1">
      <c r="B29" t="s">
        <v>859</v>
      </c>
    </row>
    <row r="30" spans="2:11">
      <c r="C30" t="s">
        <v>864</v>
      </c>
      <c r="G30">
        <v>500</v>
      </c>
      <c r="I30" t="s">
        <v>879</v>
      </c>
    </row>
    <row r="31" spans="2:11">
      <c r="C31" t="s">
        <v>881</v>
      </c>
      <c r="G31">
        <v>100</v>
      </c>
    </row>
    <row r="32" spans="2:11">
      <c r="C32" t="s">
        <v>878</v>
      </c>
      <c r="G32">
        <v>100</v>
      </c>
    </row>
    <row r="33" spans="1:9">
      <c r="C33" t="s">
        <v>865</v>
      </c>
      <c r="I33" t="s">
        <v>876</v>
      </c>
    </row>
    <row r="34" spans="1:9">
      <c r="C34" t="s">
        <v>866</v>
      </c>
      <c r="G34">
        <v>100</v>
      </c>
    </row>
    <row r="35" spans="1:9">
      <c r="C35" t="s">
        <v>867</v>
      </c>
      <c r="G35">
        <v>250</v>
      </c>
      <c r="I35" t="s">
        <v>877</v>
      </c>
    </row>
    <row r="36" spans="1:9">
      <c r="C36" t="s">
        <v>880</v>
      </c>
      <c r="G36">
        <v>100</v>
      </c>
    </row>
    <row r="37" spans="1:9">
      <c r="E37" s="395"/>
      <c r="F37" s="395"/>
      <c r="G37" s="395"/>
    </row>
    <row r="38" spans="1:9" ht="13.5" thickBot="1">
      <c r="E38" s="396">
        <f>SUM(E7:E8)</f>
        <v>9333.3333333333321</v>
      </c>
      <c r="F38" s="396"/>
      <c r="G38" s="396">
        <f>SUM(G10:G36)</f>
        <v>5171.833333333333</v>
      </c>
    </row>
    <row r="39" spans="1:9" ht="13.5" thickTop="1"/>
    <row r="40" spans="1:9">
      <c r="A40" t="s">
        <v>882</v>
      </c>
      <c r="E40">
        <f>E38-G38</f>
        <v>4161.4999999999991</v>
      </c>
    </row>
    <row r="41" spans="1:9">
      <c r="A41" t="s">
        <v>883</v>
      </c>
      <c r="B41" t="s">
        <v>884</v>
      </c>
      <c r="C41" t="s">
        <v>885</v>
      </c>
      <c r="G41">
        <v>1000</v>
      </c>
    </row>
    <row r="42" spans="1:9">
      <c r="C42" t="s">
        <v>886</v>
      </c>
      <c r="G42">
        <v>1000</v>
      </c>
    </row>
    <row r="43" spans="1:9">
      <c r="C43" t="s">
        <v>887</v>
      </c>
      <c r="E43">
        <f>E40-SUM(G41:G42)</f>
        <v>2161.4999999999991</v>
      </c>
    </row>
    <row r="45" spans="1:9">
      <c r="A45" t="s">
        <v>888</v>
      </c>
      <c r="B45" t="s">
        <v>934</v>
      </c>
    </row>
    <row r="46" spans="1:9">
      <c r="B46" t="s">
        <v>935</v>
      </c>
    </row>
    <row r="47" spans="1:9">
      <c r="C47" t="s">
        <v>886</v>
      </c>
      <c r="G47">
        <f>1589.65</f>
        <v>1589.65</v>
      </c>
      <c r="I47" t="s">
        <v>943</v>
      </c>
    </row>
    <row r="48" spans="1:9">
      <c r="C48" t="s">
        <v>253</v>
      </c>
      <c r="G48">
        <v>368</v>
      </c>
      <c r="I48" t="s">
        <v>933</v>
      </c>
    </row>
    <row r="49" spans="1:13">
      <c r="C49" t="s">
        <v>905</v>
      </c>
      <c r="G49">
        <v>100</v>
      </c>
      <c r="I49" t="s">
        <v>1052</v>
      </c>
    </row>
    <row r="50" spans="1:13">
      <c r="C50" t="s">
        <v>889</v>
      </c>
      <c r="G50">
        <v>150</v>
      </c>
      <c r="I50" t="s">
        <v>1053</v>
      </c>
    </row>
    <row r="51" spans="1:13">
      <c r="C51" t="s">
        <v>904</v>
      </c>
      <c r="G51">
        <v>70</v>
      </c>
    </row>
    <row r="52" spans="1:13">
      <c r="C52" t="s">
        <v>890</v>
      </c>
      <c r="E52">
        <f>E40-SUM(G47:G51)</f>
        <v>1883.849999999999</v>
      </c>
    </row>
    <row r="55" spans="1:13">
      <c r="A55" t="s">
        <v>896</v>
      </c>
      <c r="B55" t="s">
        <v>892</v>
      </c>
      <c r="E55" t="s">
        <v>906</v>
      </c>
    </row>
    <row r="56" spans="1:13">
      <c r="E56" t="s">
        <v>907</v>
      </c>
      <c r="G56">
        <v>73469.279999999999</v>
      </c>
      <c r="K56" t="s">
        <v>915</v>
      </c>
      <c r="M56">
        <f>26220.2</f>
        <v>26220.2</v>
      </c>
    </row>
    <row r="57" spans="1:13">
      <c r="A57" t="s">
        <v>893</v>
      </c>
      <c r="B57">
        <v>36900</v>
      </c>
      <c r="E57" t="s">
        <v>908</v>
      </c>
      <c r="G57">
        <v>36900</v>
      </c>
      <c r="K57" t="s">
        <v>916</v>
      </c>
      <c r="M57">
        <v>-4033</v>
      </c>
    </row>
    <row r="58" spans="1:13">
      <c r="A58" t="s">
        <v>894</v>
      </c>
      <c r="B58">
        <f>M61</f>
        <v>17807.2</v>
      </c>
      <c r="E58" t="s">
        <v>909</v>
      </c>
      <c r="G58" s="398">
        <f>G56-G57</f>
        <v>36569.279999999999</v>
      </c>
      <c r="K58" t="s">
        <v>917</v>
      </c>
      <c r="M58">
        <v>-3130</v>
      </c>
    </row>
    <row r="59" spans="1:13">
      <c r="A59" t="s">
        <v>897</v>
      </c>
      <c r="B59">
        <f>1879.76*5</f>
        <v>9398.7999999999993</v>
      </c>
      <c r="E59" t="s">
        <v>910</v>
      </c>
      <c r="G59">
        <f>7200+6*500</f>
        <v>10200</v>
      </c>
      <c r="K59" t="s">
        <v>918</v>
      </c>
      <c r="M59">
        <v>-1000</v>
      </c>
    </row>
    <row r="60" spans="1:13" ht="13.5" thickBot="1">
      <c r="A60" t="s">
        <v>898</v>
      </c>
      <c r="B60">
        <v>-2000</v>
      </c>
      <c r="G60" s="52">
        <f>G58-G59</f>
        <v>26369.279999999999</v>
      </c>
      <c r="H60" t="s">
        <v>160</v>
      </c>
      <c r="K60" t="s">
        <v>919</v>
      </c>
      <c r="M60">
        <f>-5*50</f>
        <v>-250</v>
      </c>
    </row>
    <row r="61" spans="1:13" ht="14.25" thickTop="1" thickBot="1">
      <c r="B61" s="397">
        <f>SUM(B57:B60)</f>
        <v>62106</v>
      </c>
      <c r="M61">
        <f>SUM(M56:M60)</f>
        <v>17807.2</v>
      </c>
    </row>
    <row r="62" spans="1:13">
      <c r="A62" t="s">
        <v>899</v>
      </c>
      <c r="B62" s="143">
        <v>14000</v>
      </c>
    </row>
    <row r="63" spans="1:13">
      <c r="A63" t="s">
        <v>900</v>
      </c>
      <c r="B63" s="143">
        <f>G60</f>
        <v>26369.279999999999</v>
      </c>
      <c r="C63" t="s">
        <v>901</v>
      </c>
      <c r="E63" t="s">
        <v>912</v>
      </c>
    </row>
    <row r="64" spans="1:13" ht="13.5" thickBot="1">
      <c r="B64" s="399">
        <f>SUM(B61:B63)</f>
        <v>102475.28</v>
      </c>
      <c r="E64" t="s">
        <v>911</v>
      </c>
      <c r="G64">
        <v>15861.53</v>
      </c>
    </row>
    <row r="65" spans="1:7">
      <c r="A65" t="s">
        <v>902</v>
      </c>
      <c r="B65" s="143">
        <v>6000</v>
      </c>
      <c r="C65" t="s">
        <v>903</v>
      </c>
      <c r="E65" t="s">
        <v>913</v>
      </c>
      <c r="G65">
        <v>26369.279999999999</v>
      </c>
    </row>
    <row r="66" spans="1:7" ht="13.5" thickBot="1">
      <c r="E66" t="s">
        <v>914</v>
      </c>
      <c r="G66" s="52">
        <f>G65-G64</f>
        <v>10507.749999999998</v>
      </c>
    </row>
    <row r="67" spans="1:7" ht="13.5" thickTop="1"/>
    <row r="68" spans="1:7">
      <c r="A68" t="s">
        <v>920</v>
      </c>
    </row>
    <row r="69" spans="1:7">
      <c r="A69" t="s">
        <v>921</v>
      </c>
      <c r="C69">
        <v>90000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549"/>
  <sheetViews>
    <sheetView zoomScale="96" zoomScaleNormal="96" workbookViewId="0">
      <selection activeCell="D14" sqref="D14"/>
    </sheetView>
  </sheetViews>
  <sheetFormatPr defaultColWidth="9.42578125" defaultRowHeight="13.5"/>
  <cols>
    <col min="1" max="1" width="31.7109375" style="54" customWidth="1"/>
    <col min="2" max="2" width="17" style="54" customWidth="1"/>
    <col min="3" max="3" width="13.42578125" style="54" customWidth="1"/>
    <col min="4" max="4" width="12.140625" style="54" customWidth="1"/>
    <col min="5" max="5" width="12.5703125" style="54" customWidth="1"/>
    <col min="6" max="6" width="13.85546875" style="54" customWidth="1"/>
    <col min="7" max="9" width="13.5703125" style="54" customWidth="1"/>
    <col min="10" max="10" width="12.140625" style="54" customWidth="1"/>
    <col min="11" max="11" width="3.42578125" style="54" customWidth="1"/>
    <col min="12" max="13" width="12.140625" style="54" customWidth="1"/>
    <col min="14" max="16384" width="9.42578125" style="54"/>
  </cols>
  <sheetData>
    <row r="1" spans="1:9">
      <c r="A1" s="106" t="s">
        <v>470</v>
      </c>
    </row>
    <row r="2" spans="1:9" ht="12.75" customHeight="1">
      <c r="A2" s="106" t="s">
        <v>472</v>
      </c>
    </row>
    <row r="3" spans="1:9" ht="12.75" customHeight="1">
      <c r="A3" s="106" t="s">
        <v>473</v>
      </c>
    </row>
    <row r="4" spans="1:9" ht="12.75" customHeight="1">
      <c r="A4" s="106" t="s">
        <v>474</v>
      </c>
    </row>
    <row r="5" spans="1:9">
      <c r="A5" s="106" t="s">
        <v>28</v>
      </c>
    </row>
    <row r="8" spans="1:9" ht="31.15" customHeight="1">
      <c r="A8" s="60" t="s">
        <v>476</v>
      </c>
      <c r="B8" s="60"/>
      <c r="D8" s="61"/>
      <c r="F8" s="62"/>
      <c r="G8" s="71" t="s">
        <v>294</v>
      </c>
      <c r="H8" s="62"/>
      <c r="I8" s="71" t="s">
        <v>295</v>
      </c>
    </row>
    <row r="9" spans="1:9" ht="17.25" customHeight="1">
      <c r="A9" s="54" t="s">
        <v>25</v>
      </c>
      <c r="B9" s="60"/>
      <c r="D9" s="61"/>
      <c r="G9" s="54">
        <v>94536</v>
      </c>
      <c r="I9" s="54">
        <f>G9/12</f>
        <v>7878</v>
      </c>
    </row>
    <row r="10" spans="1:9" ht="17.25" customHeight="1">
      <c r="A10" s="54" t="s">
        <v>296</v>
      </c>
      <c r="B10" s="60"/>
      <c r="D10" s="61"/>
      <c r="G10" s="54">
        <v>20000</v>
      </c>
      <c r="I10" s="54">
        <v>0</v>
      </c>
    </row>
    <row r="11" spans="1:9" ht="17.25" customHeight="1">
      <c r="A11" s="54" t="s">
        <v>475</v>
      </c>
      <c r="B11" s="60"/>
      <c r="D11" s="61"/>
      <c r="G11" s="54">
        <v>0</v>
      </c>
      <c r="I11" s="54">
        <v>0</v>
      </c>
    </row>
    <row r="12" spans="1:9" ht="17.25" customHeight="1" thickBot="1">
      <c r="B12" s="60"/>
      <c r="D12" s="61"/>
      <c r="G12" s="72">
        <f>SUM(G9:G11)</f>
        <v>114536</v>
      </c>
      <c r="H12" s="72"/>
      <c r="I12" s="72">
        <f>SUM(I9:I11)</f>
        <v>7878</v>
      </c>
    </row>
    <row r="13" spans="1:9" ht="15" customHeight="1" thickTop="1">
      <c r="A13" s="60"/>
      <c r="B13" s="64"/>
    </row>
    <row r="14" spans="1:9" ht="15" customHeight="1">
      <c r="A14" s="60"/>
      <c r="B14" s="64"/>
      <c r="F14" s="57" t="s">
        <v>36</v>
      </c>
      <c r="H14" s="63" t="s">
        <v>37</v>
      </c>
    </row>
    <row r="15" spans="1:9" ht="15" customHeight="1">
      <c r="A15" s="60"/>
      <c r="B15" s="64"/>
      <c r="F15" s="57" t="s">
        <v>38</v>
      </c>
      <c r="G15" s="54" t="s">
        <v>39</v>
      </c>
      <c r="H15" s="65" t="s">
        <v>40</v>
      </c>
      <c r="I15" s="54" t="s">
        <v>41</v>
      </c>
    </row>
    <row r="16" spans="1:9" ht="15.95" customHeight="1">
      <c r="A16" s="60" t="s">
        <v>281</v>
      </c>
      <c r="B16" s="64"/>
      <c r="F16" s="57">
        <f>Jan!G11+Feb!G12+Mar!G12+Apr!G12+May!G12+Jun!G12+July!G12+Aug!G12+Sep!G12+Oct!G12+Nov!G12+Dec!G12</f>
        <v>1230</v>
      </c>
      <c r="G16" s="54">
        <f>I16*12</f>
        <v>14400</v>
      </c>
      <c r="H16" s="66">
        <f>G16-F16</f>
        <v>13170</v>
      </c>
      <c r="I16" s="54">
        <v>1200</v>
      </c>
    </row>
    <row r="17" spans="1:9" ht="15.95" customHeight="1">
      <c r="A17" s="60"/>
      <c r="B17" s="64"/>
      <c r="F17" s="57"/>
      <c r="H17" s="66"/>
    </row>
    <row r="18" spans="1:9" ht="15.95" customHeight="1">
      <c r="A18" s="60" t="s">
        <v>253</v>
      </c>
      <c r="B18" s="64"/>
      <c r="F18" s="57">
        <f>Jan!G14+Feb!G14+Mar!G14+Apr!G14+May!G14+Jun!G14+July!G14+Aug!G14+Sep!G14+Oct!G14+Nov!G14+Dec!G14</f>
        <v>8800</v>
      </c>
      <c r="G18" s="54">
        <f t="shared" ref="G18:G25" si="0">I18*12</f>
        <v>9600</v>
      </c>
      <c r="H18" s="66">
        <f t="shared" ref="H18:H25" si="1">G18-F18</f>
        <v>800</v>
      </c>
      <c r="I18" s="54">
        <v>800</v>
      </c>
    </row>
    <row r="19" spans="1:9" ht="15.95" customHeight="1">
      <c r="A19" s="60" t="s">
        <v>282</v>
      </c>
      <c r="B19" s="64"/>
      <c r="F19" s="57">
        <f>Jan!G15+Feb!G15+Mar!G15+Apr!G15+May!G15+Jun!G15+July!G15+Aug!G15+Sep!G15+Oct!G15+Nov!G15+Dec!G15</f>
        <v>2200</v>
      </c>
      <c r="G19" s="54">
        <f t="shared" si="0"/>
        <v>2400</v>
      </c>
      <c r="H19" s="66">
        <f t="shared" si="1"/>
        <v>200</v>
      </c>
      <c r="I19" s="54">
        <v>200</v>
      </c>
    </row>
    <row r="20" spans="1:9" ht="15.95" customHeight="1">
      <c r="A20" s="60" t="s">
        <v>312</v>
      </c>
      <c r="B20" s="64"/>
      <c r="F20" s="57">
        <f>Jan!G16+Feb!G16+Mar!G16+Apr!G16+May!G16+Jun!G16+July!G16+Aug!G16+Sep!G16+Oct!G16+Nov!G16+Dec!G16</f>
        <v>3300</v>
      </c>
      <c r="G20" s="54">
        <f t="shared" si="0"/>
        <v>3600</v>
      </c>
      <c r="H20" s="66">
        <f t="shared" si="1"/>
        <v>300</v>
      </c>
      <c r="I20" s="54">
        <v>300</v>
      </c>
    </row>
    <row r="21" spans="1:9" ht="15.95" customHeight="1">
      <c r="A21" s="60" t="s">
        <v>522</v>
      </c>
      <c r="B21" s="64"/>
      <c r="F21" s="57">
        <f>Jan!G17+Feb!G17+Mar!G17+Apr!G17+May!G17+Jun!G17+July!G17+Aug!G17+Sep!G17+Oct!G17+Nov!G17+Dec!G17</f>
        <v>2200</v>
      </c>
      <c r="G21" s="54">
        <f t="shared" si="0"/>
        <v>2400</v>
      </c>
      <c r="H21" s="66">
        <f t="shared" si="1"/>
        <v>200</v>
      </c>
      <c r="I21" s="54">
        <v>200</v>
      </c>
    </row>
    <row r="22" spans="1:9" ht="15.95" customHeight="1">
      <c r="A22" s="60" t="s">
        <v>284</v>
      </c>
      <c r="B22" s="64"/>
      <c r="F22" s="57">
        <f>Jan!G18+Feb!G18+Mar!G18+Apr!G18+May!G18+Jun!G18+July!G18+Aug!G18+Sep!G18+Oct!G18+Nov!G18+Dec!G18</f>
        <v>550</v>
      </c>
      <c r="G22" s="54">
        <f t="shared" si="0"/>
        <v>600</v>
      </c>
      <c r="H22" s="66">
        <f t="shared" si="1"/>
        <v>50</v>
      </c>
      <c r="I22" s="54">
        <v>50</v>
      </c>
    </row>
    <row r="23" spans="1:9" ht="15.95" customHeight="1">
      <c r="A23" s="60" t="s">
        <v>283</v>
      </c>
      <c r="F23" s="57">
        <f>Jan!G19+Feb!G19+Mar!G19+Apr!G19+May!G19+Jun!G19+July!G19+Aug!G19+Sep!G19+Oct!G19+Nov!G19+Dec!G19</f>
        <v>2400</v>
      </c>
      <c r="G23" s="54">
        <f t="shared" si="0"/>
        <v>2400</v>
      </c>
      <c r="H23" s="66">
        <f t="shared" si="1"/>
        <v>0</v>
      </c>
      <c r="I23" s="54">
        <v>200</v>
      </c>
    </row>
    <row r="24" spans="1:9" ht="15.95" customHeight="1">
      <c r="A24" s="60" t="s">
        <v>313</v>
      </c>
      <c r="B24" s="64"/>
      <c r="F24" s="57">
        <f>Jan!G20+Feb!G20+Mar!G20+Apr!G20+May!G20+Jun!G20+July!G20+Aug!G20+Sep!G20+Oct!G20+Nov!G20+Dec!G20</f>
        <v>3600</v>
      </c>
      <c r="G24" s="54">
        <f t="shared" si="0"/>
        <v>3600</v>
      </c>
      <c r="H24" s="66">
        <f t="shared" si="1"/>
        <v>0</v>
      </c>
      <c r="I24" s="54">
        <v>300</v>
      </c>
    </row>
    <row r="25" spans="1:9" ht="15.95" customHeight="1">
      <c r="A25" s="60" t="s">
        <v>285</v>
      </c>
      <c r="B25" s="64"/>
      <c r="F25" s="57">
        <f>Jan!G22+Feb!G22+Mar!G22+Apr!G22+May!G22+Jun!G22+July!G22+Aug!G22+Sep!G22+Oct!G22+Nov!G22+Dec!G22</f>
        <v>8400</v>
      </c>
      <c r="G25" s="54">
        <f t="shared" si="0"/>
        <v>8400</v>
      </c>
      <c r="H25" s="66">
        <f t="shared" si="1"/>
        <v>0</v>
      </c>
      <c r="I25" s="54">
        <v>700</v>
      </c>
    </row>
    <row r="26" spans="1:9" ht="15.95" customHeight="1">
      <c r="A26" s="60"/>
      <c r="B26" s="64"/>
      <c r="F26" s="57"/>
      <c r="H26" s="66"/>
    </row>
    <row r="27" spans="1:9" ht="15.95" customHeight="1">
      <c r="A27" s="60" t="s">
        <v>276</v>
      </c>
      <c r="B27" s="64"/>
      <c r="F27" s="57">
        <f>Jan!G25+Feb!G25+Mar!G25+Apr!G25+May!G25+Jun!G25+July!G25+Aug!G25+Sep!G25+Oct!G25+Nov!G25+Dec!G25</f>
        <v>0</v>
      </c>
      <c r="G27" s="54">
        <f>I27*12</f>
        <v>6000</v>
      </c>
      <c r="H27" s="63">
        <f>G27-F27</f>
        <v>6000</v>
      </c>
      <c r="I27" s="54">
        <v>500</v>
      </c>
    </row>
    <row r="28" spans="1:9" ht="12.75" customHeight="1">
      <c r="A28" s="60" t="s">
        <v>286</v>
      </c>
      <c r="B28" s="60">
        <f>F28</f>
        <v>0</v>
      </c>
      <c r="F28" s="57">
        <f>Jan!G26+Feb!G26+Mar!G26+Apr!G26+May!G26+Jun!G26+July!G26+Aug!G26+Sep!G26+Oct!G26+Nov!G26+Dec!G26</f>
        <v>0</v>
      </c>
      <c r="G28" s="54">
        <f>I28*12</f>
        <v>3600</v>
      </c>
      <c r="H28" s="63">
        <f>G28-F28</f>
        <v>3600</v>
      </c>
      <c r="I28" s="54">
        <v>300</v>
      </c>
    </row>
    <row r="29" spans="1:9" ht="12.75" customHeight="1">
      <c r="A29" s="60"/>
      <c r="B29" s="60"/>
      <c r="F29" s="68"/>
      <c r="G29" s="68"/>
      <c r="H29" s="70"/>
      <c r="I29" s="68"/>
    </row>
    <row r="30" spans="1:9" ht="12.75" customHeight="1" thickBot="1">
      <c r="A30" s="60"/>
      <c r="B30" s="60"/>
      <c r="F30" s="69">
        <f>SUM(F16:F28)</f>
        <v>32680</v>
      </c>
      <c r="G30" s="69">
        <f>SUM(G16:G28)</f>
        <v>57000</v>
      </c>
      <c r="H30" s="69">
        <f>SUM(H16:H28)</f>
        <v>24320</v>
      </c>
      <c r="I30" s="69">
        <f>SUM(I16:I28)</f>
        <v>4750</v>
      </c>
    </row>
    <row r="31" spans="1:9" ht="12.75" customHeight="1" thickTop="1">
      <c r="A31" s="60" t="s">
        <v>537</v>
      </c>
      <c r="B31" s="284">
        <f>G12-G30-H34</f>
        <v>1460</v>
      </c>
      <c r="H31" s="63"/>
    </row>
    <row r="32" spans="1:9" ht="12.75" customHeight="1">
      <c r="A32" s="59" t="s">
        <v>35</v>
      </c>
      <c r="B32" s="60"/>
      <c r="H32" s="63"/>
    </row>
    <row r="33" spans="1:13" ht="12.75" customHeight="1">
      <c r="B33" s="54" t="s">
        <v>744</v>
      </c>
      <c r="C33" s="54" t="s">
        <v>745</v>
      </c>
      <c r="D33" s="361" t="s">
        <v>746</v>
      </c>
      <c r="G33" s="54" t="s">
        <v>663</v>
      </c>
      <c r="H33" s="54" t="s">
        <v>303</v>
      </c>
      <c r="I33" s="63"/>
      <c r="J33" s="54" t="s">
        <v>664</v>
      </c>
      <c r="L33" s="283" t="s">
        <v>538</v>
      </c>
      <c r="M33" s="283">
        <v>2012</v>
      </c>
    </row>
    <row r="34" spans="1:13" ht="12.75" customHeight="1" thickBot="1">
      <c r="B34" s="54">
        <f>B35+B64+B135</f>
        <v>72165.460000000006</v>
      </c>
      <c r="C34" s="54">
        <f>C35+C64+C135</f>
        <v>56076</v>
      </c>
      <c r="D34" s="54">
        <f>D35+D64+D135</f>
        <v>8236.9099999999944</v>
      </c>
      <c r="G34" s="62">
        <f>SUM(G37:G150)</f>
        <v>72165.460000000036</v>
      </c>
      <c r="H34" s="62">
        <f>SUM(H37:H150)</f>
        <v>56076</v>
      </c>
      <c r="I34" s="62">
        <f>SUM(I37:I150)</f>
        <v>8236.91</v>
      </c>
      <c r="J34" s="62">
        <f>SUM(J37:J150)</f>
        <v>4673</v>
      </c>
      <c r="L34" s="276">
        <f>SUM(L37:L150)</f>
        <v>68626.840000000026</v>
      </c>
      <c r="M34" s="276">
        <f>SUM(M37:M150)</f>
        <v>42001.119999999995</v>
      </c>
    </row>
    <row r="35" spans="1:13" ht="12.75" customHeight="1" thickBot="1">
      <c r="A35" s="106" t="s">
        <v>492</v>
      </c>
      <c r="B35" s="384">
        <f>B36+B49+B53+B57+G62</f>
        <v>13265.800000000003</v>
      </c>
      <c r="C35" s="384">
        <f>C36+C49+C53+C57+H62</f>
        <v>16536</v>
      </c>
      <c r="D35" s="383">
        <f>D36+D49+D53+D57+I62</f>
        <v>3270.199999999998</v>
      </c>
      <c r="I35" s="63"/>
    </row>
    <row r="36" spans="1:13" ht="12.75" customHeight="1">
      <c r="A36" s="60" t="s">
        <v>477</v>
      </c>
      <c r="B36" s="60">
        <f>SUM(G37:G45)</f>
        <v>6977.1600000000035</v>
      </c>
      <c r="C36" s="60">
        <f>SUM(H37:H45)</f>
        <v>10932</v>
      </c>
      <c r="D36" s="60">
        <f>SUM(I37:I45)</f>
        <v>3954.8399999999974</v>
      </c>
      <c r="I36" s="63"/>
    </row>
    <row r="37" spans="1:13" ht="12.75" customHeight="1">
      <c r="B37" s="54" t="s">
        <v>351</v>
      </c>
      <c r="G37" s="54">
        <f>Jan!G49+Feb!G49+Mar!G49+Apr!G49+May!G49+Jun!G49+July!G49+Aug!G49+Sep!G49+Oct!G49+Nov!G49+Dec!G49</f>
        <v>0</v>
      </c>
      <c r="H37" s="54">
        <f t="shared" ref="H37:H45" si="2">J37*12</f>
        <v>0</v>
      </c>
      <c r="I37" s="63">
        <f>H37-G37</f>
        <v>0</v>
      </c>
      <c r="J37" s="54">
        <v>0</v>
      </c>
      <c r="L37" s="54">
        <v>2426.06</v>
      </c>
    </row>
    <row r="38" spans="1:13" ht="12.75" customHeight="1">
      <c r="A38" s="60"/>
      <c r="B38" s="54" t="s">
        <v>479</v>
      </c>
      <c r="G38" s="54">
        <f>Jan!G50+Feb!G50+Mar!G50+Apr!G50+May!G50+Jun!G50+July!G50+Aug!G50+Sep!G50+Oct!G50+Nov!G50+Dec!G50</f>
        <v>0</v>
      </c>
      <c r="H38" s="54">
        <f t="shared" si="2"/>
        <v>1200</v>
      </c>
      <c r="I38" s="63">
        <f t="shared" ref="I38:I44" si="3">H38-G38</f>
        <v>1200</v>
      </c>
      <c r="J38" s="54">
        <v>100</v>
      </c>
      <c r="L38" s="54">
        <v>15161.570000000002</v>
      </c>
    </row>
    <row r="39" spans="1:13" ht="12.75" customHeight="1">
      <c r="A39" s="60"/>
      <c r="B39" s="54" t="s">
        <v>480</v>
      </c>
      <c r="G39" s="54">
        <f>Jan!G51+Feb!G51+Mar!G51+Apr!G51+May!G51+Jun!G51+July!G51+Aug!G51+Sep!G51+Oct!G51+Nov!G51+Dec!G51</f>
        <v>9.64</v>
      </c>
      <c r="H39" s="54">
        <f t="shared" si="2"/>
        <v>1200</v>
      </c>
      <c r="I39" s="63">
        <f t="shared" si="3"/>
        <v>1190.3599999999999</v>
      </c>
      <c r="J39" s="54">
        <v>100</v>
      </c>
      <c r="L39" s="54">
        <v>5165.3999999999996</v>
      </c>
    </row>
    <row r="40" spans="1:13" ht="12.75" customHeight="1">
      <c r="A40" s="60"/>
      <c r="B40" s="54" t="s">
        <v>478</v>
      </c>
      <c r="G40" s="54">
        <f>Jan!G52+Feb!G52+Mar!G52+Apr!G52+May!G52+Jun!G52+July!G52+Aug!G52+Sep!G52+Oct!G52+Nov!G52+Dec!G52</f>
        <v>0</v>
      </c>
      <c r="H40" s="54">
        <f t="shared" si="2"/>
        <v>1200</v>
      </c>
      <c r="I40" s="63">
        <f t="shared" si="3"/>
        <v>1200</v>
      </c>
      <c r="J40" s="54">
        <v>100</v>
      </c>
    </row>
    <row r="41" spans="1:13" ht="12.75" customHeight="1">
      <c r="A41" s="60"/>
      <c r="B41" s="54" t="s">
        <v>521</v>
      </c>
      <c r="G41" s="54">
        <f>Jan!G53+Feb!G53+Mar!G53+Apr!G53+May!G53+Jun!G53+July!G53+Aug!G53+Sep!G53+Oct!G53+Nov!G53+Dec!G53</f>
        <v>6647.52</v>
      </c>
      <c r="H41" s="54">
        <f t="shared" si="2"/>
        <v>6648</v>
      </c>
      <c r="I41" s="63">
        <f t="shared" si="3"/>
        <v>0.47999999999956344</v>
      </c>
      <c r="J41" s="54">
        <v>554</v>
      </c>
    </row>
    <row r="42" spans="1:13" ht="12.75" customHeight="1">
      <c r="A42" s="60"/>
      <c r="B42" s="54" t="s">
        <v>487</v>
      </c>
      <c r="G42" s="54">
        <f>Jan!G54+Feb!G54+Mar!G54+Apr!G54+May!G54+Jun!G54+July!G54+Aug!G54+Sep!G54+Oct!G54+Nov!G54+Dec!G54</f>
        <v>680</v>
      </c>
      <c r="H42" s="54">
        <f t="shared" si="2"/>
        <v>684</v>
      </c>
      <c r="I42" s="63">
        <f t="shared" si="3"/>
        <v>4</v>
      </c>
      <c r="J42" s="54">
        <v>57</v>
      </c>
    </row>
    <row r="43" spans="1:13" ht="12.75" customHeight="1">
      <c r="A43" s="60"/>
      <c r="B43" s="54" t="s">
        <v>352</v>
      </c>
      <c r="G43" s="54">
        <f>Jan!G55+Feb!G55+Mar!G55+Apr!G55+May!G55+Jun!G55+July!G55+Aug!G55+Sep!G55+Oct!G55+Nov!G55+Dec!G55</f>
        <v>20303.160000000003</v>
      </c>
      <c r="H43" s="54">
        <f t="shared" si="2"/>
        <v>20249.88</v>
      </c>
      <c r="I43" s="63">
        <f t="shared" si="3"/>
        <v>-53.280000000002474</v>
      </c>
      <c r="J43" s="54">
        <f>1636.68+50.81</f>
        <v>1687.49</v>
      </c>
      <c r="L43" s="54">
        <v>13144.250000000002</v>
      </c>
    </row>
    <row r="44" spans="1:13" ht="12.75" customHeight="1">
      <c r="A44" s="60"/>
      <c r="B44" s="54" t="s">
        <v>425</v>
      </c>
      <c r="G44" s="54">
        <f>Jan!G56+Feb!G56+Mar!G56+Apr!G56+May!G56+Jun!G56+July!G56+Aug!G56+Sep!G56+Oct!G56+Nov!G56+Dec!G56</f>
        <v>3696.8399999999992</v>
      </c>
      <c r="H44" s="54">
        <f t="shared" si="2"/>
        <v>3750.12</v>
      </c>
      <c r="I44" s="63">
        <f t="shared" si="3"/>
        <v>53.280000000000655</v>
      </c>
      <c r="J44" s="54">
        <v>312.51</v>
      </c>
      <c r="L44" s="54">
        <v>2500.08</v>
      </c>
    </row>
    <row r="45" spans="1:13" ht="12.75" customHeight="1">
      <c r="A45" s="60"/>
      <c r="B45" s="54" t="s">
        <v>379</v>
      </c>
      <c r="G45" s="54">
        <f>Jan!G57+Feb!G57+Mar!G57+Apr!G57+May!G57+Jun!G57+July!G57+Aug!G57+Sep!G57+Oct!G57+Nov!G57+Dec!G57</f>
        <v>-24360</v>
      </c>
      <c r="H45" s="54">
        <f t="shared" si="2"/>
        <v>-24000</v>
      </c>
      <c r="I45" s="63">
        <f>H45-G45</f>
        <v>360</v>
      </c>
      <c r="J45" s="54">
        <v>-2000</v>
      </c>
      <c r="L45" s="54">
        <v>-11000</v>
      </c>
    </row>
    <row r="46" spans="1:13" ht="12.75" customHeight="1">
      <c r="I46" s="63"/>
    </row>
    <row r="47" spans="1:13" ht="12.75" customHeight="1">
      <c r="I47" s="63"/>
    </row>
    <row r="48" spans="1:13" ht="12.75" customHeight="1">
      <c r="A48" s="60" t="s">
        <v>485</v>
      </c>
      <c r="I48" s="63"/>
    </row>
    <row r="49" spans="1:13" ht="12.75" customHeight="1">
      <c r="A49" s="60"/>
      <c r="B49" s="60">
        <f>SUM(G50:G51)</f>
        <v>1992.9199999999996</v>
      </c>
      <c r="C49" s="60">
        <f>SUM(H50:H51)</f>
        <v>2004</v>
      </c>
      <c r="D49" s="60">
        <f>C49-B49</f>
        <v>11.080000000000382</v>
      </c>
      <c r="I49" s="63"/>
    </row>
    <row r="50" spans="1:13" ht="12.75" customHeight="1">
      <c r="A50" s="60"/>
      <c r="B50" s="54" t="s">
        <v>489</v>
      </c>
      <c r="G50" s="54">
        <f>Jan!G62+Feb!G62+Mar!G62+Apr!G62+May!G62+Jun!G62+July!G62+Aug!G62+Sep!G62+Oct!G62+Nov!G62+Dec!G62</f>
        <v>825.85999999999979</v>
      </c>
      <c r="H50" s="54">
        <f>J50*12</f>
        <v>804</v>
      </c>
      <c r="I50" s="63">
        <f>H50-G50</f>
        <v>-21.859999999999786</v>
      </c>
      <c r="J50" s="54">
        <v>67</v>
      </c>
      <c r="L50" s="54">
        <v>791.69000000000028</v>
      </c>
      <c r="M50" s="54">
        <v>702.20000000000016</v>
      </c>
    </row>
    <row r="51" spans="1:13" ht="12.75" customHeight="1">
      <c r="A51" s="60"/>
      <c r="B51" s="54" t="s">
        <v>490</v>
      </c>
      <c r="D51" s="67"/>
      <c r="G51" s="54">
        <f>Jan!G63+Feb!G63+Mar!G63+Apr!G63+May!G63+Jun!G63+July!G63+Aug!G63+Sep!G63+Oct!G63+Nov!G63+Dec!G63</f>
        <v>1167.06</v>
      </c>
      <c r="H51" s="54">
        <f>J51*12</f>
        <v>1200</v>
      </c>
      <c r="I51" s="63">
        <f>H51-G51</f>
        <v>32.940000000000055</v>
      </c>
      <c r="J51" s="54">
        <v>100</v>
      </c>
      <c r="L51" s="54">
        <v>881.24000000000012</v>
      </c>
      <c r="M51" s="54">
        <v>966.77</v>
      </c>
    </row>
    <row r="52" spans="1:13" ht="12.75" customHeight="1">
      <c r="A52" s="60"/>
      <c r="I52" s="63"/>
    </row>
    <row r="53" spans="1:13" ht="12.75" customHeight="1">
      <c r="A53" s="60" t="s">
        <v>486</v>
      </c>
      <c r="B53" s="60">
        <f>SUM(G54:G55)</f>
        <v>2188.5499999999997</v>
      </c>
      <c r="C53" s="60">
        <f>SUM(H54:H55)</f>
        <v>2280</v>
      </c>
      <c r="D53" s="60">
        <f>C53-B53</f>
        <v>91.450000000000273</v>
      </c>
      <c r="I53" s="63"/>
    </row>
    <row r="54" spans="1:13" ht="12.75" customHeight="1">
      <c r="B54" s="54" t="s">
        <v>58</v>
      </c>
      <c r="G54" s="54">
        <f>Jan!G66+Feb!G66+Mar!G66+Apr!G66+May!G66+Jun!G66+July!G66+Aug!G66+Sep!G66+Oct!G66+Nov!G66+Dec!G66</f>
        <v>593.53999999999985</v>
      </c>
      <c r="H54" s="54">
        <f>J54*12</f>
        <v>720</v>
      </c>
      <c r="I54" s="63">
        <f>H54-G54</f>
        <v>126.46000000000015</v>
      </c>
      <c r="J54" s="54">
        <v>60</v>
      </c>
      <c r="L54" s="54">
        <v>686.0200000000001</v>
      </c>
      <c r="M54" s="54">
        <v>643.19000000000005</v>
      </c>
    </row>
    <row r="55" spans="1:13" ht="12.75" customHeight="1">
      <c r="B55" s="54" t="s">
        <v>59</v>
      </c>
      <c r="D55" s="54" t="s">
        <v>60</v>
      </c>
      <c r="G55" s="54">
        <f>Jan!G67+Feb!G67+Mar!G67+Apr!G67+May!G67+Jun!G67+July!G67+Aug!G67+Sep!G67+Oct!G67+Nov!G67+Dec!G67</f>
        <v>1595.01</v>
      </c>
      <c r="H55" s="54">
        <f>J55*12</f>
        <v>1560</v>
      </c>
      <c r="I55" s="63">
        <f>H55-G55</f>
        <v>-35.009999999999991</v>
      </c>
      <c r="J55" s="54">
        <v>130</v>
      </c>
      <c r="L55" s="54">
        <v>1474.65</v>
      </c>
      <c r="M55" s="54">
        <v>1518.64</v>
      </c>
    </row>
    <row r="56" spans="1:13" ht="12.75" customHeight="1">
      <c r="I56" s="63"/>
    </row>
    <row r="57" spans="1:13" ht="12.75" customHeight="1">
      <c r="A57" s="60" t="s">
        <v>481</v>
      </c>
      <c r="B57" s="60">
        <f>SUM(G58:G60)</f>
        <v>1861.48</v>
      </c>
      <c r="C57" s="60">
        <f>SUM(H58:H60)</f>
        <v>900</v>
      </c>
      <c r="D57" s="60">
        <f>C57-B57</f>
        <v>-961.48</v>
      </c>
      <c r="I57" s="63"/>
    </row>
    <row r="58" spans="1:13" ht="12.75" customHeight="1">
      <c r="B58" s="54" t="s">
        <v>482</v>
      </c>
      <c r="G58" s="54">
        <f>Jan!G70+Feb!G70+Mar!G70+Apr!G70+May!G70+Jun!G70+July!G70+Aug!G70+Sep!G70+Oct!G70+Nov!G70+Dec!G70</f>
        <v>264.10000000000002</v>
      </c>
      <c r="H58" s="54">
        <f>J58*12</f>
        <v>300</v>
      </c>
      <c r="I58" s="63">
        <f>H58-G58</f>
        <v>35.899999999999977</v>
      </c>
      <c r="J58" s="54">
        <v>25</v>
      </c>
      <c r="L58" s="54">
        <v>242.58</v>
      </c>
      <c r="M58" s="54">
        <v>206.46</v>
      </c>
    </row>
    <row r="59" spans="1:13" ht="12.75" customHeight="1">
      <c r="A59" s="60"/>
      <c r="B59" s="54" t="s">
        <v>483</v>
      </c>
      <c r="E59" s="54" t="s">
        <v>788</v>
      </c>
      <c r="G59" s="54">
        <f>Jan!G71+Feb!G71+Mar!G71+Apr!G71+May!G71+Jun!G71+July!G71+Aug!G71+Sep!G71+Oct!G71+Nov!G71+Dec!G71</f>
        <v>1439.84</v>
      </c>
      <c r="H59" s="54">
        <f>J59*12</f>
        <v>360</v>
      </c>
      <c r="I59" s="63">
        <f>H59-G59</f>
        <v>-1079.8399999999999</v>
      </c>
      <c r="J59" s="54">
        <v>30</v>
      </c>
      <c r="L59" s="54">
        <v>337.26000000000005</v>
      </c>
      <c r="M59" s="54">
        <v>864.1400000000001</v>
      </c>
    </row>
    <row r="60" spans="1:13" ht="12.75" customHeight="1">
      <c r="A60" s="60"/>
      <c r="B60" s="54" t="s">
        <v>488</v>
      </c>
      <c r="G60" s="54">
        <f>Jan!G72+Feb!G72+Mar!G72+Apr!G72+May!G72+Jun!G72+July!G72+Aug!G72+Sep!G72+Oct!G72+Nov!G72+Dec!G72</f>
        <v>157.54</v>
      </c>
      <c r="H60" s="54">
        <f>J60*12</f>
        <v>240</v>
      </c>
      <c r="I60" s="63">
        <f>H60-G60</f>
        <v>82.460000000000008</v>
      </c>
      <c r="J60" s="54">
        <v>20</v>
      </c>
      <c r="L60" s="54">
        <v>237.78</v>
      </c>
      <c r="M60" s="54">
        <v>165.09000000000003</v>
      </c>
    </row>
    <row r="61" spans="1:13" ht="12.75" customHeight="1">
      <c r="A61" s="60"/>
      <c r="I61" s="63"/>
    </row>
    <row r="62" spans="1:13" ht="12.75" customHeight="1">
      <c r="A62" s="60" t="s">
        <v>484</v>
      </c>
      <c r="B62" s="54" t="s">
        <v>61</v>
      </c>
      <c r="G62" s="54">
        <f>Jan!G74+Feb!G74+Mar!G74+Apr!G74+May!G74+Jun!G74+July!G74+Aug!G74+Sep!G74+Oct!G74+Nov!G74+Dec!G74</f>
        <v>245.68999999999997</v>
      </c>
      <c r="H62" s="54">
        <f>J62*12</f>
        <v>420</v>
      </c>
      <c r="I62" s="63">
        <f>H62-G62</f>
        <v>174.31000000000003</v>
      </c>
      <c r="J62" s="54">
        <v>35</v>
      </c>
      <c r="L62" s="54">
        <v>418.22</v>
      </c>
      <c r="M62" s="54">
        <v>611.22</v>
      </c>
    </row>
    <row r="63" spans="1:13" ht="12.75" customHeight="1" thickBot="1">
      <c r="A63" s="60"/>
      <c r="I63" s="63"/>
    </row>
    <row r="64" spans="1:13" ht="12.75" customHeight="1" thickBot="1">
      <c r="A64" s="106" t="s">
        <v>491</v>
      </c>
      <c r="B64" s="383">
        <f>B66+B70+B76+B81+B90+B95+B100+B105+B118+B121+B126+B129</f>
        <v>50382.04</v>
      </c>
      <c r="C64" s="383">
        <f>C66+C70+C76+C81+C90+C95+C100+C105+C118+C121+C126+C129</f>
        <v>34620</v>
      </c>
      <c r="D64" s="383">
        <f>D66+D70+D76+D81+D90+D95+D100+D105+D118+D121+D126+D129</f>
        <v>8564.3299999999981</v>
      </c>
      <c r="I64" s="63"/>
    </row>
    <row r="65" spans="1:13" ht="12.75" customHeight="1">
      <c r="A65" s="106"/>
      <c r="B65" s="404"/>
      <c r="C65" s="404"/>
      <c r="D65" s="404"/>
      <c r="I65" s="63"/>
    </row>
    <row r="66" spans="1:13" ht="12.75" customHeight="1">
      <c r="A66" s="60" t="s">
        <v>1033</v>
      </c>
      <c r="B66" s="60">
        <f>SUM(G67:G69)</f>
        <v>24326.37</v>
      </c>
      <c r="C66" s="60">
        <f>SUM(H67)</f>
        <v>0</v>
      </c>
      <c r="D66" s="60">
        <f>SUM(I67)</f>
        <v>0</v>
      </c>
      <c r="I66" s="63"/>
    </row>
    <row r="67" spans="1:13" ht="12.75" customHeight="1">
      <c r="A67" s="60"/>
      <c r="B67" s="54" t="s">
        <v>1034</v>
      </c>
      <c r="G67" s="54">
        <f>Jan!G79+Feb!G79+Mar!G79+Apr!G79+May!G79+Jun!G79+July!G79+Aug!G79+Sep!G79+Oct!G79+Nov!G79+Dec!G79</f>
        <v>4945.42</v>
      </c>
      <c r="I67" s="63"/>
    </row>
    <row r="68" spans="1:13" ht="12.75" customHeight="1">
      <c r="A68" s="60"/>
      <c r="B68" s="54" t="s">
        <v>479</v>
      </c>
      <c r="G68" s="54">
        <f>Jan!G80+Feb!G80+Mar!G80+Apr!G80+May!G80+Jun!G80+July!G80+Aug!G80+Sep!G80+Oct!G80+Nov!G80+Dec!G80</f>
        <v>16300.760000000002</v>
      </c>
      <c r="I68" s="63"/>
    </row>
    <row r="69" spans="1:13" ht="12.75" customHeight="1">
      <c r="A69" s="60"/>
      <c r="B69" s="54" t="s">
        <v>1206</v>
      </c>
      <c r="G69" s="54">
        <f>Jan!G81+Feb!G81+Mar!G81+Apr!G81+May!G81+Jun!G81+July!G81+Aug!G81+Sep!G81+Oct!G81+Nov!G81+Dec!G81</f>
        <v>3080.19</v>
      </c>
      <c r="I69" s="63"/>
    </row>
    <row r="70" spans="1:13" ht="12.75" customHeight="1">
      <c r="A70" s="60" t="s">
        <v>42</v>
      </c>
      <c r="B70" s="60">
        <f>SUM(G71:G74)</f>
        <v>4319.26</v>
      </c>
      <c r="C70" s="60">
        <f>SUM(H71:H74)</f>
        <v>4740</v>
      </c>
      <c r="D70" s="60">
        <f>C70-B70</f>
        <v>420.73999999999978</v>
      </c>
      <c r="I70" s="63"/>
    </row>
    <row r="71" spans="1:13" ht="12.75" customHeight="1">
      <c r="B71" s="54" t="s">
        <v>29</v>
      </c>
      <c r="C71" s="54" t="s">
        <v>30</v>
      </c>
      <c r="G71" s="54">
        <f>Jan!G83+Feb!G83+Mar!G83+Apr!G83+May!G83+Jun!G83+July!G83+Aug!G83+Sep!G83+Oct!G83+Nov!G83+Dec!G83</f>
        <v>1377.3600000000001</v>
      </c>
      <c r="H71" s="54">
        <f>J71*12</f>
        <v>1500</v>
      </c>
      <c r="I71" s="63">
        <f>H71-G71</f>
        <v>122.63999999999987</v>
      </c>
      <c r="J71" s="54">
        <v>125</v>
      </c>
      <c r="L71" s="54">
        <v>1451.15</v>
      </c>
      <c r="M71" s="54">
        <v>1206.6699999999998</v>
      </c>
    </row>
    <row r="72" spans="1:13" ht="12.75" customHeight="1">
      <c r="B72" s="54" t="s">
        <v>31</v>
      </c>
      <c r="C72" s="54" t="s">
        <v>32</v>
      </c>
      <c r="G72" s="54">
        <f>Jan!G84+Feb!G84+Mar!G84+Apr!G84+May!G84+Jun!G84+July!G84+Aug!G84+Sep!G84+Oct!G84+Nov!G84+Dec!G84</f>
        <v>343.25</v>
      </c>
      <c r="H72" s="54">
        <f>J72*12</f>
        <v>600</v>
      </c>
      <c r="I72" s="63">
        <f>H72-G72</f>
        <v>256.75</v>
      </c>
      <c r="J72" s="54">
        <v>50</v>
      </c>
      <c r="L72" s="54">
        <v>528</v>
      </c>
      <c r="M72" s="54">
        <v>736.3</v>
      </c>
    </row>
    <row r="73" spans="1:13" ht="12.75" customHeight="1">
      <c r="B73" s="54" t="s">
        <v>43</v>
      </c>
      <c r="C73" s="54" t="s">
        <v>44</v>
      </c>
      <c r="D73" s="54" t="s">
        <v>343</v>
      </c>
      <c r="G73" s="54">
        <f>Jan!G85+Feb!G85+Mar!G85+Apr!G85+May!G85+Jun!G85+July!G85+Aug!G85+Sep!G85+Oct!G85+Nov!G85+Dec!G85</f>
        <v>1185</v>
      </c>
      <c r="H73" s="54">
        <f>J73*12</f>
        <v>1200</v>
      </c>
      <c r="I73" s="63">
        <f>H73-G73</f>
        <v>15</v>
      </c>
      <c r="J73" s="54">
        <v>100</v>
      </c>
      <c r="L73" s="54">
        <v>1225</v>
      </c>
      <c r="M73" s="54">
        <v>529.98</v>
      </c>
    </row>
    <row r="74" spans="1:13" ht="12.75" customHeight="1">
      <c r="B74" s="54" t="s">
        <v>45</v>
      </c>
      <c r="C74" s="54" t="s">
        <v>46</v>
      </c>
      <c r="D74" s="54" t="s">
        <v>493</v>
      </c>
      <c r="G74" s="54">
        <f>Jan!G86+Feb!G86+Mar!G86+Apr!G86+May!G86+Jun!G86+July!G86+Aug!G86+Sep!G86+Oct!G86+Nov!G86+Dec!G86</f>
        <v>1413.65</v>
      </c>
      <c r="H74" s="54">
        <f>J74*12</f>
        <v>1440</v>
      </c>
      <c r="I74" s="63">
        <f>H74-G74</f>
        <v>26.349999999999909</v>
      </c>
      <c r="J74" s="54">
        <v>120</v>
      </c>
      <c r="L74" s="54">
        <v>1389.7199999999998</v>
      </c>
      <c r="M74" s="54">
        <v>1687.67</v>
      </c>
    </row>
    <row r="75" spans="1:13" ht="12.75" customHeight="1">
      <c r="I75" s="63"/>
    </row>
    <row r="76" spans="1:13" ht="12.75" customHeight="1">
      <c r="A76" s="60" t="s">
        <v>48</v>
      </c>
      <c r="B76" s="60">
        <f>SUM(G77:G79)</f>
        <v>1334.82</v>
      </c>
      <c r="C76" s="60">
        <f>SUM(H77:H79)</f>
        <v>1944</v>
      </c>
      <c r="D76" s="60">
        <f>C76-B76</f>
        <v>609.18000000000006</v>
      </c>
      <c r="I76" s="63"/>
    </row>
    <row r="77" spans="1:13" ht="12.75" customHeight="1">
      <c r="B77" s="54" t="s">
        <v>49</v>
      </c>
      <c r="D77" s="54" t="s">
        <v>495</v>
      </c>
      <c r="G77" s="54">
        <f>Jan!G89+Feb!G89+Mar!G89+Apr!G89+May!G89+Jun!G89+July!G89+Aug!G89+Sep!G89+Oct!G89+Nov!G89+Dec!G89</f>
        <v>902</v>
      </c>
      <c r="H77" s="54">
        <f>J77*12</f>
        <v>690</v>
      </c>
      <c r="I77" s="63">
        <f>H77-G77</f>
        <v>-212</v>
      </c>
      <c r="J77" s="54">
        <v>57.5</v>
      </c>
      <c r="L77" s="54">
        <v>716</v>
      </c>
      <c r="M77" s="54">
        <v>659</v>
      </c>
    </row>
    <row r="78" spans="1:13" ht="12.75" customHeight="1">
      <c r="B78" s="54" t="s">
        <v>50</v>
      </c>
      <c r="D78" s="54" t="s">
        <v>494</v>
      </c>
      <c r="G78" s="54">
        <f>Jan!G90+Feb!G90+Mar!G90+Apr!G90+May!G90+Jun!G90+July!G90+Aug!G90+Sep!G90+Oct!G90+Nov!G90+Dec!G90</f>
        <v>0</v>
      </c>
      <c r="H78" s="54">
        <f>J78*12</f>
        <v>822</v>
      </c>
      <c r="I78" s="63">
        <f>H78-G78</f>
        <v>822</v>
      </c>
      <c r="J78" s="54">
        <v>68.5</v>
      </c>
      <c r="L78" s="54">
        <v>1775</v>
      </c>
      <c r="M78" s="54">
        <v>1014</v>
      </c>
    </row>
    <row r="79" spans="1:13" ht="12.75" customHeight="1">
      <c r="B79" s="54" t="s">
        <v>51</v>
      </c>
      <c r="D79" s="54" t="s">
        <v>503</v>
      </c>
      <c r="G79" s="54">
        <f>Jan!G91+Feb!G91+Mar!G91+Apr!G91+May!G91+Jun!G91+July!G91+Aug!G91+Sep!G91+Oct!G91+Nov!G91+Dec!G91</f>
        <v>432.82</v>
      </c>
      <c r="H79" s="54">
        <f>J79*12</f>
        <v>432</v>
      </c>
      <c r="I79" s="63">
        <f>H79-G79</f>
        <v>-0.81999999999999318</v>
      </c>
      <c r="J79" s="54">
        <v>36</v>
      </c>
      <c r="L79" s="54">
        <v>432.82</v>
      </c>
      <c r="M79" s="54">
        <v>432.82</v>
      </c>
    </row>
    <row r="80" spans="1:13" ht="12.75" customHeight="1">
      <c r="I80" s="63"/>
    </row>
    <row r="81" spans="1:13" ht="12.75" customHeight="1">
      <c r="A81" s="60" t="s">
        <v>52</v>
      </c>
      <c r="B81" s="60">
        <f>SUM(G82:G88)</f>
        <v>1732.21</v>
      </c>
      <c r="C81" s="60">
        <f>SUM(H82:H88)</f>
        <v>2136</v>
      </c>
      <c r="D81" s="60">
        <f>C81-B81</f>
        <v>403.78999999999996</v>
      </c>
      <c r="I81" s="63"/>
    </row>
    <row r="82" spans="1:13" ht="12.75" customHeight="1">
      <c r="B82" s="54" t="s">
        <v>496</v>
      </c>
      <c r="G82" s="54">
        <f>Jan!G94+Feb!G94+Mar!G94+Apr!G94+May!G94+Jun!G94+July!G94+Aug!G94+Sep!G94+Oct!G94+Nov!G94+Dec!G94</f>
        <v>178.67000000000002</v>
      </c>
      <c r="H82" s="54">
        <f t="shared" ref="H82:H87" si="4">J82*12</f>
        <v>240</v>
      </c>
      <c r="I82" s="63">
        <f t="shared" ref="I82:I88" si="5">H82-G82</f>
        <v>61.329999999999984</v>
      </c>
      <c r="J82" s="54">
        <v>20</v>
      </c>
      <c r="L82" s="54">
        <v>232.04999999999998</v>
      </c>
      <c r="M82" s="54">
        <v>91.57000000000005</v>
      </c>
    </row>
    <row r="83" spans="1:13" ht="12.75" customHeight="1">
      <c r="B83" s="54" t="s">
        <v>497</v>
      </c>
      <c r="G83" s="54">
        <f>Jan!G95+Feb!G95+Mar!G95+Apr!G95+May!G95+Jun!G95+July!G95+Aug!G95+Sep!G95+Oct!G95+Nov!G95+Dec!G95</f>
        <v>28.4</v>
      </c>
      <c r="H83" s="54">
        <f t="shared" si="4"/>
        <v>60</v>
      </c>
      <c r="I83" s="63">
        <f t="shared" si="5"/>
        <v>31.6</v>
      </c>
      <c r="J83" s="54">
        <v>5</v>
      </c>
      <c r="L83" s="54">
        <v>41.1</v>
      </c>
      <c r="M83" s="54">
        <v>70.11</v>
      </c>
    </row>
    <row r="84" spans="1:13" ht="12.75" customHeight="1">
      <c r="B84" s="54" t="s">
        <v>325</v>
      </c>
      <c r="G84" s="54">
        <f>Jan!G96+Feb!G96+Mar!G96+Apr!G96+May!G96+Jun!G96+July!G96+Aug!G96+Sep!G96+Oct!G96+Nov!G96+Dec!G96</f>
        <v>517.47</v>
      </c>
      <c r="H84" s="54">
        <f t="shared" si="4"/>
        <v>780</v>
      </c>
      <c r="I84" s="63">
        <f t="shared" si="5"/>
        <v>262.52999999999997</v>
      </c>
      <c r="J84" s="54">
        <v>65</v>
      </c>
      <c r="L84" s="54">
        <v>774.06000000000006</v>
      </c>
    </row>
    <row r="85" spans="1:13" ht="12.75" customHeight="1">
      <c r="B85" s="54" t="s">
        <v>280</v>
      </c>
      <c r="G85" s="54">
        <f>Jan!G97+Feb!G97+Mar!G97+Apr!G97+May!G97+Jun!G97+July!G97+Aug!G97+Sep!G97+Oct!G97+Nov!G97+Dec!G97</f>
        <v>112.69</v>
      </c>
      <c r="H85" s="54">
        <f t="shared" si="4"/>
        <v>180</v>
      </c>
      <c r="I85" s="63">
        <f t="shared" si="5"/>
        <v>67.31</v>
      </c>
      <c r="J85" s="54">
        <v>15</v>
      </c>
      <c r="L85" s="54">
        <v>157.11000000000001</v>
      </c>
      <c r="M85" s="54">
        <v>3903.78</v>
      </c>
    </row>
    <row r="86" spans="1:13" ht="12.75" customHeight="1">
      <c r="B86" s="54" t="s">
        <v>321</v>
      </c>
      <c r="G86" s="54">
        <f>Jan!G98+Feb!G98+Mar!G98+Apr!G98+May!G98+Jun!G98+July!G98+Aug!G98+Sep!G98+Oct!G98+Nov!G98+Dec!G98</f>
        <v>858</v>
      </c>
      <c r="H86" s="54">
        <f t="shared" si="4"/>
        <v>420</v>
      </c>
      <c r="I86" s="63">
        <f t="shared" si="5"/>
        <v>-438</v>
      </c>
      <c r="J86" s="54">
        <v>35</v>
      </c>
      <c r="L86" s="54">
        <v>411.82000000000005</v>
      </c>
      <c r="M86" s="54">
        <v>503.77</v>
      </c>
    </row>
    <row r="87" spans="1:13" ht="12.75" customHeight="1">
      <c r="B87" s="54" t="s">
        <v>498</v>
      </c>
      <c r="G87" s="54">
        <f>Jan!G99+Feb!G99+Mar!G99+Apr!G99+May!G99+Jun!G99+July!G99+Aug!G99+Sep!G99+Oct!G99+Nov!G99+Dec!G99</f>
        <v>0</v>
      </c>
      <c r="H87" s="54">
        <f t="shared" si="4"/>
        <v>312</v>
      </c>
      <c r="I87" s="63">
        <f t="shared" si="5"/>
        <v>312</v>
      </c>
      <c r="J87" s="54">
        <v>26</v>
      </c>
      <c r="L87" s="54">
        <v>0</v>
      </c>
    </row>
    <row r="88" spans="1:13" ht="12.75" customHeight="1">
      <c r="B88" s="54" t="s">
        <v>499</v>
      </c>
      <c r="G88" s="54">
        <f>Jan!G100+Feb!G100+Mar!G100+Apr!G100+May!G100+Jun!G100+July!G100+Aug!G100+Sep!G100+Oct!G100+Nov!G100+Dec!G100</f>
        <v>36.979999999999997</v>
      </c>
      <c r="H88" s="54">
        <f>J88*12</f>
        <v>144</v>
      </c>
      <c r="I88" s="63">
        <f t="shared" si="5"/>
        <v>107.02000000000001</v>
      </c>
      <c r="J88" s="54">
        <v>12</v>
      </c>
      <c r="L88" s="54">
        <v>125.99</v>
      </c>
    </row>
    <row r="89" spans="1:13" ht="12.75" customHeight="1">
      <c r="I89" s="63"/>
    </row>
    <row r="90" spans="1:13" ht="12.75" customHeight="1">
      <c r="A90" s="60" t="s">
        <v>257</v>
      </c>
      <c r="B90" s="60">
        <f>SUM(G91:G93)</f>
        <v>452.55</v>
      </c>
      <c r="C90" s="60">
        <f>SUM(H91:H93)</f>
        <v>1560</v>
      </c>
      <c r="D90" s="60">
        <f>C90-B90</f>
        <v>1107.45</v>
      </c>
      <c r="I90" s="63"/>
    </row>
    <row r="91" spans="1:13" ht="12.75" customHeight="1">
      <c r="B91" s="54" t="s">
        <v>541</v>
      </c>
      <c r="G91" s="54">
        <f>Jan!G103+Feb!G103+Mar!G103+Apr!G103+May!G103+Jun!G103+July!G103+Aug!G103+Sep!G103+Oct!G103+Nov!G103+Dec!G103</f>
        <v>391.36</v>
      </c>
      <c r="H91" s="54">
        <f>J91*12</f>
        <v>720</v>
      </c>
      <c r="I91" s="63">
        <f>H91-G91</f>
        <v>328.64</v>
      </c>
      <c r="J91" s="54">
        <v>60</v>
      </c>
      <c r="L91" s="54">
        <v>453</v>
      </c>
      <c r="M91" s="54">
        <v>307.94000000000005</v>
      </c>
    </row>
    <row r="92" spans="1:13" ht="12.75" customHeight="1">
      <c r="B92" s="54" t="s">
        <v>500</v>
      </c>
      <c r="G92" s="54">
        <f>Jan!G104+Feb!G104+Mar!G104+Apr!G104+May!G104+Jun!G104+July!G104+Aug!G104+Sep!G104+Oct!G104+Nov!G104+Dec!G104</f>
        <v>61.19</v>
      </c>
      <c r="H92" s="54">
        <f>J92*12</f>
        <v>720</v>
      </c>
      <c r="I92" s="63">
        <f>H92-G92</f>
        <v>658.81</v>
      </c>
      <c r="J92" s="54">
        <v>60</v>
      </c>
      <c r="L92" s="54">
        <v>188.45999999999998</v>
      </c>
      <c r="M92" s="54">
        <v>366.81</v>
      </c>
    </row>
    <row r="93" spans="1:13" ht="12.75" customHeight="1">
      <c r="B93" s="54" t="s">
        <v>279</v>
      </c>
      <c r="G93" s="54">
        <f>Jan!G105+Feb!G105+Mar!G105+Apr!G105+May!G105+Jun!G105+July!G105+Aug!G105+Sep!G105+Oct!G105+Nov!G105+Dec!G105</f>
        <v>0</v>
      </c>
      <c r="H93" s="54">
        <f>J93*12</f>
        <v>120</v>
      </c>
      <c r="I93" s="63">
        <f>H93-G93</f>
        <v>120</v>
      </c>
      <c r="J93" s="54">
        <v>10</v>
      </c>
      <c r="L93" s="54">
        <v>95.65</v>
      </c>
      <c r="M93" s="54">
        <v>511.8</v>
      </c>
    </row>
    <row r="94" spans="1:13" ht="12.75" customHeight="1">
      <c r="I94" s="63"/>
    </row>
    <row r="95" spans="1:13" ht="12.75" customHeight="1">
      <c r="A95" s="60" t="s">
        <v>56</v>
      </c>
      <c r="B95" s="60">
        <f>SUM(G96:G98)</f>
        <v>2416.4499999999998</v>
      </c>
      <c r="C95" s="60">
        <f>SUM(H96:H98)</f>
        <v>2700</v>
      </c>
      <c r="D95" s="60">
        <f>C95-B95</f>
        <v>283.55000000000018</v>
      </c>
      <c r="I95" s="63"/>
    </row>
    <row r="96" spans="1:13" ht="12.75" customHeight="1">
      <c r="B96" s="54" t="s">
        <v>501</v>
      </c>
      <c r="G96" s="54">
        <f>Jan!G108+Feb!G108+Mar!G108+Apr!G108+May!G108+Jun!G108+July!G108+Aug!G108+Sep!G108+Oct!G108+Nov!G108+Dec!G108</f>
        <v>522.22</v>
      </c>
      <c r="H96" s="54">
        <f>J96*12</f>
        <v>1080</v>
      </c>
      <c r="I96" s="63">
        <f>H96-G96</f>
        <v>557.78</v>
      </c>
      <c r="J96" s="54">
        <v>90</v>
      </c>
      <c r="L96" s="54">
        <v>1046.3800000000001</v>
      </c>
      <c r="M96" s="285">
        <v>384.87</v>
      </c>
    </row>
    <row r="97" spans="1:13" ht="12.75" customHeight="1">
      <c r="B97" s="54" t="s">
        <v>57</v>
      </c>
      <c r="G97" s="54">
        <f>Jan!G109+Feb!G109+Mar!G109+Apr!G109+May!G109+Jun!G109+July!G109+Aug!G109+Sep!G109+Oct!G109+Nov!G109+Dec!G109</f>
        <v>233.39999999999998</v>
      </c>
      <c r="H97" s="54">
        <f>J97*12</f>
        <v>300</v>
      </c>
      <c r="I97" s="63">
        <f>H97-G97</f>
        <v>66.600000000000023</v>
      </c>
      <c r="J97" s="54">
        <v>25</v>
      </c>
      <c r="L97" s="54">
        <v>283.39999999999998</v>
      </c>
      <c r="M97" s="285">
        <v>233.39999999999998</v>
      </c>
    </row>
    <row r="98" spans="1:13" ht="12.75" customHeight="1">
      <c r="B98" s="56" t="s">
        <v>502</v>
      </c>
      <c r="G98" s="54">
        <f>Jan!G110+Feb!G110+Mar!G110+Apr!G110+May!G110+Jun!G110+July!G110+Aug!G110+Sep!G110+Oct!G110+Nov!G110+Dec!G110</f>
        <v>1660.83</v>
      </c>
      <c r="H98" s="54">
        <f>J98*12</f>
        <v>1320</v>
      </c>
      <c r="I98" s="63">
        <f>H98-G98</f>
        <v>-340.82999999999993</v>
      </c>
      <c r="J98" s="54">
        <v>110</v>
      </c>
      <c r="L98" s="54">
        <v>1372.9299999999996</v>
      </c>
      <c r="M98" s="285">
        <v>870.99</v>
      </c>
    </row>
    <row r="99" spans="1:13" ht="12.75" customHeight="1">
      <c r="I99" s="63"/>
    </row>
    <row r="100" spans="1:13">
      <c r="A100" s="60" t="s">
        <v>62</v>
      </c>
      <c r="B100" s="60">
        <f>SUM(G101:G103)</f>
        <v>2964.7099999999996</v>
      </c>
      <c r="C100" s="60">
        <f>SUM(H101:H103)</f>
        <v>4980</v>
      </c>
      <c r="D100" s="60">
        <f>C100-B100</f>
        <v>2015.2900000000004</v>
      </c>
      <c r="I100" s="63"/>
    </row>
    <row r="101" spans="1:13">
      <c r="B101" s="54" t="s">
        <v>543</v>
      </c>
      <c r="D101" s="54" t="s">
        <v>63</v>
      </c>
      <c r="G101" s="54">
        <f>Jan!G113+Feb!G113+Mar!G113+Apr!G113+May!G113+Jun!G113+July!G113+Aug!G113+Sep!G113+Oct!G113+Nov!G113+Dec!G113</f>
        <v>170.34999999999997</v>
      </c>
      <c r="H101" s="54">
        <f>J101*12</f>
        <v>1800</v>
      </c>
      <c r="I101" s="63">
        <f>H101-G101</f>
        <v>1629.65</v>
      </c>
      <c r="J101" s="54">
        <v>150</v>
      </c>
      <c r="L101" s="54">
        <v>1624.55</v>
      </c>
      <c r="M101" s="54">
        <v>1417.42</v>
      </c>
    </row>
    <row r="102" spans="1:13">
      <c r="A102" s="60"/>
      <c r="B102" s="54" t="s">
        <v>542</v>
      </c>
      <c r="G102" s="54">
        <f>Jan!G114+Feb!G114+Mar!G114+Apr!G114+May!G114+Jun!G114+July!G114+Aug!G114+Sep!G114+Oct!G114+Nov!G114+Dec!G114</f>
        <v>2269.9499999999998</v>
      </c>
      <c r="H102" s="54">
        <f>J102*12</f>
        <v>2580</v>
      </c>
      <c r="I102" s="63">
        <f>H102-G102</f>
        <v>310.05000000000018</v>
      </c>
      <c r="J102" s="54">
        <v>215</v>
      </c>
      <c r="L102" s="54">
        <v>2509.73</v>
      </c>
      <c r="M102" s="54">
        <v>2405.66</v>
      </c>
    </row>
    <row r="103" spans="1:13">
      <c r="A103" s="60"/>
      <c r="B103" s="54" t="s">
        <v>526</v>
      </c>
      <c r="G103" s="54">
        <f>Jan!G115+Feb!G115+Mar!G115+Apr!G115+May!G115+Jun!G115+July!G115+Aug!G115+Sep!G115+Oct!G115+Nov!G115+Dec!G115</f>
        <v>524.41</v>
      </c>
      <c r="H103" s="54">
        <f>J103*12</f>
        <v>600</v>
      </c>
      <c r="I103" s="63">
        <f>H103-G103</f>
        <v>75.590000000000032</v>
      </c>
      <c r="J103" s="54">
        <v>50</v>
      </c>
      <c r="L103" s="54">
        <v>625.98</v>
      </c>
      <c r="M103" s="54">
        <v>182</v>
      </c>
    </row>
    <row r="104" spans="1:13">
      <c r="A104" s="60"/>
      <c r="I104" s="63"/>
    </row>
    <row r="105" spans="1:13">
      <c r="A105" s="60" t="s">
        <v>53</v>
      </c>
      <c r="B105" s="60">
        <f>SUM(G106:G116)</f>
        <v>9666.7100000000028</v>
      </c>
      <c r="C105" s="60">
        <f>SUM(H106:H116)</f>
        <v>9000</v>
      </c>
      <c r="D105" s="60">
        <f>C105-B105</f>
        <v>-666.71000000000276</v>
      </c>
      <c r="I105" s="63"/>
    </row>
    <row r="106" spans="1:13">
      <c r="B106" s="54" t="s">
        <v>54</v>
      </c>
      <c r="G106" s="54">
        <f>Jan!G118+Feb!G118+Mar!G118+Apr!G118+May!G118+Jun!G118+July!G118+Aug!G118+Sep!G118+Oct!G118+Nov!G118+Dec!G118</f>
        <v>2249.84</v>
      </c>
      <c r="H106" s="54">
        <f>J106*12</f>
        <v>1200</v>
      </c>
      <c r="I106" s="63">
        <f t="shared" ref="I106:I116" si="6">H106-G106</f>
        <v>-1049.8400000000001</v>
      </c>
      <c r="J106" s="54">
        <v>100</v>
      </c>
      <c r="L106" s="54">
        <v>1060</v>
      </c>
      <c r="M106" s="54">
        <v>1306.56</v>
      </c>
    </row>
    <row r="107" spans="1:13" ht="14.25" thickBot="1">
      <c r="B107" s="54" t="s">
        <v>511</v>
      </c>
      <c r="G107" s="54">
        <f>Jan!G119+Feb!G119+Mar!G119+Apr!G119+May!G119+Jun!G119+July!G119+Aug!G119+Sep!G119+Oct!G119+Nov!G119+Dec!G119</f>
        <v>5771.0500000000011</v>
      </c>
      <c r="H107" s="54">
        <f>J107*12</f>
        <v>6000</v>
      </c>
      <c r="I107" s="63">
        <f t="shared" si="6"/>
        <v>228.94999999999891</v>
      </c>
      <c r="J107" s="54">
        <v>500</v>
      </c>
      <c r="L107" s="54">
        <f>5982.43+139.93+175.91</f>
        <v>6298.27</v>
      </c>
      <c r="M107" s="54">
        <v>5525.51</v>
      </c>
    </row>
    <row r="108" spans="1:13" ht="14.25" thickBot="1">
      <c r="C108" s="54" t="s">
        <v>504</v>
      </c>
      <c r="E108" s="95">
        <f>Jan!E120+Feb!E120+Mar!E120+Apr!E120+May!E120+Jun!E120+July!E120+Aug!E120+Sep!E120+Oct!E120+Nov!E120+Dec!E120</f>
        <v>68.989999999999995</v>
      </c>
      <c r="I108" s="63"/>
      <c r="L108" s="54">
        <v>122.21</v>
      </c>
      <c r="M108" s="54">
        <v>242.33999999999997</v>
      </c>
    </row>
    <row r="109" spans="1:13" ht="14.25" thickBot="1">
      <c r="C109" s="54" t="s">
        <v>505</v>
      </c>
      <c r="E109" s="95">
        <f>Jan!E121+Feb!E121+Mar!E121+Apr!E121+May!E121+Jun!E121+July!E121+Aug!E121+Sep!E121+Oct!E121+Nov!E121+Dec!E121</f>
        <v>99.9</v>
      </c>
      <c r="I109" s="63"/>
    </row>
    <row r="110" spans="1:13">
      <c r="B110" s="54" t="s">
        <v>322</v>
      </c>
      <c r="G110" s="54">
        <f>Jan!G122+Feb!G122+Mar!G122+Apr!G122+May!G122+Jun!G122+July!G122+Aug!G122+Sep!G122+Oct!G122+Nov!G122+Dec!G122</f>
        <v>637.68999999999994</v>
      </c>
      <c r="H110" s="54">
        <f t="shared" ref="H110:H116" si="7">J110*12</f>
        <v>480</v>
      </c>
      <c r="I110" s="63">
        <f t="shared" si="6"/>
        <v>-157.68999999999994</v>
      </c>
      <c r="J110" s="54">
        <v>40</v>
      </c>
      <c r="L110" s="54">
        <v>504.00000000000006</v>
      </c>
      <c r="M110" s="54">
        <v>904.73</v>
      </c>
    </row>
    <row r="111" spans="1:13" ht="14.25" thickBot="1">
      <c r="B111" s="54" t="s">
        <v>55</v>
      </c>
      <c r="G111" s="54">
        <f>Jan!G123+Feb!G123+Mar!G123+Apr!G123+May!G123+Jun!G123+July!G123+Aug!G123+Sep!G123+Oct!G123+Nov!G123+Dec!G123</f>
        <v>796.0200000000001</v>
      </c>
      <c r="H111" s="54">
        <f t="shared" si="7"/>
        <v>1200</v>
      </c>
      <c r="I111" s="63">
        <f t="shared" si="6"/>
        <v>403.9799999999999</v>
      </c>
      <c r="J111" s="54">
        <v>100</v>
      </c>
      <c r="L111" s="54">
        <v>1002.4400000000002</v>
      </c>
      <c r="M111" s="54">
        <v>647.05999999999983</v>
      </c>
    </row>
    <row r="112" spans="1:13" ht="14.25" thickBot="1">
      <c r="C112" s="273" t="s">
        <v>506</v>
      </c>
      <c r="D112" s="274"/>
      <c r="E112" s="95">
        <f>Jan!E124+Feb!E124+Mar!E124+Apr!E124+May!E124+Jun!E124+July!E124+Aug!E124+Sep!E124+Oct!E124+Nov!E124+Dec!E124</f>
        <v>295.42199999999997</v>
      </c>
      <c r="I112" s="63"/>
    </row>
    <row r="113" spans="1:14" ht="14.25" thickBot="1">
      <c r="C113" s="273" t="s">
        <v>507</v>
      </c>
      <c r="D113" s="274"/>
      <c r="E113" s="95">
        <f>Jan!E125+Feb!E125+Mar!E125+Apr!E125+May!E125+Jun!E125+July!E125+Aug!E125+Sep!E125+Oct!E125+Nov!E125+Dec!E125</f>
        <v>143.40000000000003</v>
      </c>
      <c r="I113" s="63"/>
    </row>
    <row r="114" spans="1:14" ht="14.25" thickBot="1">
      <c r="C114" s="273" t="s">
        <v>508</v>
      </c>
      <c r="D114" s="274"/>
      <c r="E114" s="95">
        <f>Jan!E126+Feb!E126+Mar!E126+Apr!E126+May!E126+Jun!E126+July!E126+Aug!E126+Sep!E126+Oct!E126+Nov!E126+Dec!E126</f>
        <v>194.64199999999997</v>
      </c>
      <c r="I114" s="63"/>
    </row>
    <row r="115" spans="1:14" ht="14.25" thickBot="1">
      <c r="C115" s="273" t="s">
        <v>509</v>
      </c>
      <c r="D115" s="274"/>
      <c r="E115" s="95">
        <f>Jan!E127+Feb!E127+Mar!E127+Apr!E127+May!E127+Jun!E127+July!E127+Aug!E127+Sep!E127+Oct!E127+Nov!E127+Dec!E127</f>
        <v>157.57999999999996</v>
      </c>
      <c r="I115" s="63"/>
    </row>
    <row r="116" spans="1:14">
      <c r="B116" s="54" t="s">
        <v>510</v>
      </c>
      <c r="G116" s="54">
        <f>Jan!G128+Feb!G128+Mar!G128+Apr!G128+May!G128+Jun!G128+July!G128+Aug!G128+Sep!G128+Oct!G128+Nov!G128+Dec!G128</f>
        <v>212.11</v>
      </c>
      <c r="H116" s="54">
        <f t="shared" si="7"/>
        <v>120</v>
      </c>
      <c r="I116" s="63">
        <f t="shared" si="6"/>
        <v>-92.110000000000014</v>
      </c>
      <c r="J116" s="54">
        <v>10</v>
      </c>
      <c r="L116" s="54">
        <v>102.61</v>
      </c>
      <c r="M116" s="54">
        <v>42.870000000000005</v>
      </c>
    </row>
    <row r="117" spans="1:14">
      <c r="I117" s="63"/>
    </row>
    <row r="118" spans="1:14">
      <c r="A118" s="60" t="s">
        <v>68</v>
      </c>
      <c r="B118" s="60">
        <f>G119</f>
        <v>1089.51</v>
      </c>
      <c r="C118" s="60">
        <f>H119</f>
        <v>1680</v>
      </c>
      <c r="D118" s="60">
        <f>I119</f>
        <v>590.49</v>
      </c>
      <c r="I118" s="63"/>
    </row>
    <row r="119" spans="1:14">
      <c r="B119" s="54" t="s">
        <v>69</v>
      </c>
      <c r="G119" s="54">
        <f>Jan!G131+Feb!G131+Mar!G131+Apr!G131+May!G131+Jun!G131+July!G131+Aug!G131+Sep!G131+Oct!G131+Nov!G131+Dec!G131</f>
        <v>1089.51</v>
      </c>
      <c r="H119" s="54">
        <f>J119*12</f>
        <v>1680</v>
      </c>
      <c r="I119" s="63">
        <f>H119-G119</f>
        <v>590.49</v>
      </c>
      <c r="J119" s="54">
        <v>140</v>
      </c>
      <c r="L119" s="54">
        <f>1482.06+145.97</f>
        <v>1628.03</v>
      </c>
      <c r="M119" s="54">
        <v>1767.4999999999998</v>
      </c>
    </row>
    <row r="120" spans="1:14">
      <c r="I120" s="63"/>
    </row>
    <row r="121" spans="1:14">
      <c r="A121" s="60" t="s">
        <v>292</v>
      </c>
      <c r="B121" s="60">
        <f>SUM(G122:G124)</f>
        <v>1182.7</v>
      </c>
      <c r="C121" s="60">
        <f>SUM(H122:H124)</f>
        <v>2760</v>
      </c>
      <c r="D121" s="60">
        <f>C121-B121</f>
        <v>1577.3</v>
      </c>
      <c r="I121" s="63"/>
    </row>
    <row r="122" spans="1:14">
      <c r="B122" s="54" t="s">
        <v>287</v>
      </c>
      <c r="G122" s="54">
        <f>Jan!G134+Feb!G134+Mar!G134+Apr!G134+May!G134+Jun!G134+July!G134+Aug!G134+Sep!G134+Oct!G134+Nov!G134+Dec!G134</f>
        <v>1173.73</v>
      </c>
      <c r="H122" s="54">
        <f>J122*12</f>
        <v>1200</v>
      </c>
      <c r="I122" s="63">
        <f>H122-G122</f>
        <v>26.269999999999982</v>
      </c>
      <c r="J122" s="54">
        <v>100</v>
      </c>
      <c r="L122" s="54">
        <v>2021.81</v>
      </c>
      <c r="M122" s="54">
        <v>1731.68</v>
      </c>
      <c r="N122" s="54" t="s">
        <v>424</v>
      </c>
    </row>
    <row r="123" spans="1:14">
      <c r="B123" s="54" t="s">
        <v>512</v>
      </c>
      <c r="G123" s="54">
        <f>Jan!G135+Feb!G135+Mar!G135+Apr!G135+May!G135+Jun!G135+July!G135+Aug!G135+Sep!G135+Oct!G135+Nov!G135+Dec!G135</f>
        <v>0</v>
      </c>
      <c r="H123" s="54">
        <f>J123*12</f>
        <v>1200</v>
      </c>
      <c r="I123" s="63">
        <f>H123-G123</f>
        <v>1200</v>
      </c>
      <c r="J123" s="54">
        <v>100</v>
      </c>
    </row>
    <row r="124" spans="1:14">
      <c r="B124" s="54" t="s">
        <v>513</v>
      </c>
      <c r="G124" s="54">
        <f>Jan!G136+Feb!G136+Mar!G136+Apr!G136+May!G136+Jun!G136+July!G136+Aug!G136+Sep!G136+Oct!G136+Nov!G136+Dec!G136</f>
        <v>8.9700000000000006</v>
      </c>
      <c r="H124" s="54">
        <f>J124*12</f>
        <v>360</v>
      </c>
      <c r="I124" s="63">
        <f>H124-G124</f>
        <v>351.03</v>
      </c>
      <c r="J124" s="54">
        <v>30</v>
      </c>
      <c r="L124" s="54">
        <v>223.28</v>
      </c>
    </row>
    <row r="125" spans="1:14">
      <c r="I125" s="63"/>
    </row>
    <row r="126" spans="1:14">
      <c r="A126" s="60" t="s">
        <v>70</v>
      </c>
      <c r="B126" s="60">
        <f>G127</f>
        <v>60.89</v>
      </c>
      <c r="C126" s="60">
        <f>H127</f>
        <v>120</v>
      </c>
      <c r="D126" s="60">
        <f>C126-B126</f>
        <v>59.11</v>
      </c>
      <c r="I126" s="63"/>
    </row>
    <row r="127" spans="1:14">
      <c r="B127" s="54" t="s">
        <v>71</v>
      </c>
      <c r="G127" s="54">
        <f>Jan!G139+Feb!G139+Mar!G139+Apr!G139+May!G139+Jun!G139+July!G139+Aug!G139+Sep!G139+Oct!G139+Nov!G139+Dec!G139</f>
        <v>60.89</v>
      </c>
      <c r="H127" s="54">
        <f>J127*12</f>
        <v>120</v>
      </c>
      <c r="I127" s="63">
        <f>H127-G127</f>
        <v>59.11</v>
      </c>
      <c r="J127" s="54">
        <v>10</v>
      </c>
      <c r="L127" s="54">
        <v>86.81</v>
      </c>
      <c r="M127" s="54">
        <f>965.24-805</f>
        <v>160.24</v>
      </c>
    </row>
    <row r="128" spans="1:14">
      <c r="I128" s="63"/>
    </row>
    <row r="129" spans="1:13">
      <c r="A129" s="60" t="s">
        <v>290</v>
      </c>
      <c r="B129" s="60">
        <f>SUM(G130:G131)</f>
        <v>835.8599999999999</v>
      </c>
      <c r="C129" s="60">
        <f>SUM(H130:H131)</f>
        <v>3000</v>
      </c>
      <c r="D129" s="60">
        <f>C129-B129</f>
        <v>2164.1400000000003</v>
      </c>
      <c r="I129" s="63"/>
    </row>
    <row r="130" spans="1:13">
      <c r="B130" s="54" t="s">
        <v>66</v>
      </c>
      <c r="G130" s="54">
        <f>Jan!G142+Feb!G142+Mar!G142+Apr!G142+May!G142+Jun!G142+July!G142+Aug!G142+Sep!G142+Oct!G142+Nov!G142+Dec!G142</f>
        <v>124.19</v>
      </c>
      <c r="H130" s="54">
        <f>J130*12</f>
        <v>1800</v>
      </c>
      <c r="I130" s="63">
        <f>H130-G130</f>
        <v>1675.81</v>
      </c>
      <c r="J130" s="54">
        <v>150</v>
      </c>
      <c r="L130" s="54">
        <v>1711.46</v>
      </c>
      <c r="M130" s="54">
        <v>489.11</v>
      </c>
    </row>
    <row r="131" spans="1:13">
      <c r="B131" s="54" t="s">
        <v>67</v>
      </c>
      <c r="D131" s="54" t="s">
        <v>291</v>
      </c>
      <c r="G131" s="54">
        <f>Jan!G143+Feb!G143+Mar!G143+Apr!G143+May!G143+Jun!G143+July!G143+Aug!G143+Sep!G143+Oct!G143+Nov!G143+Dec!G143</f>
        <v>711.67</v>
      </c>
      <c r="H131" s="54">
        <f>J131*12</f>
        <v>1200</v>
      </c>
      <c r="I131" s="63">
        <f>H131-G131</f>
        <v>488.33000000000004</v>
      </c>
      <c r="J131" s="54">
        <v>100</v>
      </c>
      <c r="L131" s="54">
        <v>682.18000000000006</v>
      </c>
      <c r="M131" s="54">
        <v>844.87000000000012</v>
      </c>
    </row>
    <row r="132" spans="1:13">
      <c r="I132" s="63"/>
    </row>
    <row r="133" spans="1:13">
      <c r="I133" s="63"/>
    </row>
    <row r="134" spans="1:13" ht="14.25" thickBot="1">
      <c r="A134" s="60" t="s">
        <v>517</v>
      </c>
      <c r="I134" s="63"/>
    </row>
    <row r="135" spans="1:13" ht="14.25" thickBot="1">
      <c r="B135" s="151">
        <f>SUM(G136:G150)</f>
        <v>8517.6200000000008</v>
      </c>
      <c r="C135" s="151">
        <f>SUM(H136:H150)</f>
        <v>4920</v>
      </c>
      <c r="D135" s="151">
        <f>C135-B135</f>
        <v>-3597.6200000000008</v>
      </c>
      <c r="I135" s="63"/>
    </row>
    <row r="136" spans="1:13">
      <c r="A136" s="60" t="s">
        <v>519</v>
      </c>
      <c r="I136" s="63"/>
    </row>
    <row r="137" spans="1:13" ht="14.25" thickBot="1">
      <c r="B137" s="54" t="s">
        <v>288</v>
      </c>
      <c r="G137" s="54">
        <f>Jan!G149+Feb!G149+Mar!G149+Apr!G149+May!G149+Jun!G149+July!G149+Aug!G149+Sep!G149+Oct!G149+Nov!G149+Dec!G149</f>
        <v>809.92</v>
      </c>
      <c r="H137" s="54">
        <f t="shared" ref="H137:H150" si="8">J137*12</f>
        <v>1200</v>
      </c>
      <c r="I137" s="63">
        <f t="shared" ref="I137:I150" si="9">H137-G137</f>
        <v>390.08000000000004</v>
      </c>
      <c r="J137" s="54">
        <v>100</v>
      </c>
      <c r="L137" s="54">
        <v>704.81000000000017</v>
      </c>
      <c r="M137" s="54">
        <v>656.49</v>
      </c>
    </row>
    <row r="138" spans="1:13" ht="14.25" thickBot="1">
      <c r="A138" s="95">
        <f>SUM(G137:G141)</f>
        <v>2284.02</v>
      </c>
      <c r="B138" s="54" t="s">
        <v>289</v>
      </c>
      <c r="G138" s="54">
        <f>Jan!G150+Feb!G150+Mar!G150+Apr!G150+May!G150+Jun!G150+July!G150+Aug!G150+Sep!G150+Oct!G150+Nov!G150+Dec!G150</f>
        <v>886.77</v>
      </c>
      <c r="H138" s="54">
        <f t="shared" si="8"/>
        <v>1200</v>
      </c>
      <c r="I138" s="63">
        <f t="shared" si="9"/>
        <v>313.23</v>
      </c>
      <c r="J138" s="54">
        <v>100</v>
      </c>
      <c r="L138" s="54">
        <v>248.82</v>
      </c>
    </row>
    <row r="139" spans="1:13">
      <c r="B139" s="54" t="s">
        <v>64</v>
      </c>
      <c r="G139" s="54">
        <f>Jan!G151+Feb!G151+Mar!G151+Apr!G151+May!G151+Jun!G151+July!G151+Aug!G151+Sep!G151+Oct!G151+Nov!G151+Dec!G151</f>
        <v>239.5</v>
      </c>
      <c r="H139" s="54">
        <f t="shared" si="8"/>
        <v>360</v>
      </c>
      <c r="I139" s="63">
        <f t="shared" si="9"/>
        <v>120.5</v>
      </c>
      <c r="J139" s="54">
        <v>30</v>
      </c>
      <c r="L139" s="54">
        <v>279.91000000000003</v>
      </c>
      <c r="M139" s="54">
        <f>2065.12-1868.99</f>
        <v>196.12999999999988</v>
      </c>
    </row>
    <row r="140" spans="1:13">
      <c r="B140" s="54" t="s">
        <v>65</v>
      </c>
      <c r="G140" s="54">
        <f>Jan!G152+Feb!G152+Mar!G152+Apr!G152+May!G152+Jun!G152+July!G152+Aug!G152+Sep!G152+Oct!G152+Nov!G152+Dec!G152</f>
        <v>330.91999999999996</v>
      </c>
      <c r="H140" s="54">
        <f t="shared" si="8"/>
        <v>600</v>
      </c>
      <c r="I140" s="63">
        <f t="shared" si="9"/>
        <v>269.08000000000004</v>
      </c>
      <c r="J140" s="54">
        <v>50</v>
      </c>
      <c r="L140" s="54">
        <v>593.5</v>
      </c>
    </row>
    <row r="141" spans="1:13">
      <c r="B141" s="54" t="s">
        <v>545</v>
      </c>
      <c r="G141" s="54">
        <f>Jan!G153+Feb!G153+Mar!G153+Apr!G153+May!G153+Jun!G153+July!G153+Aug!G153+Sep!G153+Oct!G153+Nov!G153+Dec!G153</f>
        <v>16.91</v>
      </c>
      <c r="H141" s="54">
        <f t="shared" si="8"/>
        <v>120</v>
      </c>
      <c r="I141" s="63">
        <f t="shared" si="9"/>
        <v>103.09</v>
      </c>
      <c r="J141" s="54">
        <v>10</v>
      </c>
    </row>
    <row r="142" spans="1:13">
      <c r="I142" s="63"/>
    </row>
    <row r="143" spans="1:13">
      <c r="A143" s="60" t="s">
        <v>518</v>
      </c>
      <c r="I143" s="63"/>
    </row>
    <row r="144" spans="1:13" ht="14.25" thickBot="1">
      <c r="B144" s="54" t="s">
        <v>514</v>
      </c>
      <c r="G144" s="54">
        <f>Jan!G156+Feb!G156+Mar!G156+Apr!G156+May!G156+Jun!G156+July!G156+Aug!G156+Sep!G156+Oct!G156+Nov!G156+Dec!G156</f>
        <v>0</v>
      </c>
      <c r="H144" s="54">
        <f t="shared" si="8"/>
        <v>0</v>
      </c>
      <c r="I144" s="63">
        <f t="shared" si="9"/>
        <v>0</v>
      </c>
    </row>
    <row r="145" spans="1:13" ht="14.25" thickBot="1">
      <c r="A145" s="95">
        <f>SUM(G144:G148)</f>
        <v>5933.6</v>
      </c>
      <c r="B145" s="54" t="s">
        <v>515</v>
      </c>
      <c r="G145" s="54">
        <f>Jan!G157+Feb!G157+Mar!G157+Apr!G157+May!G157+Jun!G157+July!G157+Aug!G157+Sep!G157+Oct!G157+Nov!G157+Dec!G157</f>
        <v>5223.6000000000004</v>
      </c>
      <c r="H145" s="54">
        <f t="shared" si="8"/>
        <v>0</v>
      </c>
      <c r="I145" s="63">
        <f t="shared" si="9"/>
        <v>-5223.6000000000004</v>
      </c>
      <c r="M145" s="54">
        <v>1617.77</v>
      </c>
    </row>
    <row r="146" spans="1:13">
      <c r="B146" s="54" t="s">
        <v>545</v>
      </c>
      <c r="G146" s="54">
        <f>Jan!G158+Feb!G158+Mar!G158+Apr!G158+May!G158+Jun!G158+July!G158+Aug!G158+Sep!G158+Oct!G158+Nov!G158+Dec!G158</f>
        <v>500</v>
      </c>
      <c r="H146" s="54">
        <f t="shared" si="8"/>
        <v>0</v>
      </c>
      <c r="I146" s="63">
        <f t="shared" si="9"/>
        <v>-500</v>
      </c>
    </row>
    <row r="147" spans="1:13">
      <c r="B147" s="54" t="s">
        <v>516</v>
      </c>
      <c r="G147" s="54">
        <f>Jan!G159+Feb!G159+Mar!G159+Apr!G159+May!G159+Jun!G159+July!G159+Aug!G159+Sep!G159+Oct!G159+Nov!G159+Dec!G159</f>
        <v>0</v>
      </c>
      <c r="H147" s="54">
        <f t="shared" si="8"/>
        <v>0</v>
      </c>
      <c r="I147" s="63">
        <f t="shared" si="9"/>
        <v>0</v>
      </c>
    </row>
    <row r="148" spans="1:13">
      <c r="B148" s="54" t="s">
        <v>544</v>
      </c>
      <c r="G148" s="54">
        <f>Jan!G160+Feb!G160+Mar!G160+Apr!G160+May!G160+Jun!G160+July!G160+Aug!G160+Sep!G160+Oct!G160+Nov!G160+Dec!G160</f>
        <v>210</v>
      </c>
      <c r="H148" s="54">
        <v>0</v>
      </c>
      <c r="I148" s="63">
        <f t="shared" si="9"/>
        <v>-210</v>
      </c>
      <c r="M148" s="54">
        <f>1360+508.99</f>
        <v>1868.99</v>
      </c>
    </row>
    <row r="149" spans="1:13">
      <c r="I149" s="63"/>
    </row>
    <row r="150" spans="1:13">
      <c r="A150" s="60" t="s">
        <v>293</v>
      </c>
      <c r="G150" s="54">
        <f>Jan!G162+Feb!G162+Mar!G162+Apr!G162+May!G162+Jun!G162+July!G162+Aug!G162+Sep!G162+Oct!G162+Nov!G162+Dec!G162</f>
        <v>300</v>
      </c>
      <c r="H150" s="54">
        <f t="shared" si="8"/>
        <v>1440</v>
      </c>
      <c r="I150" s="63">
        <f t="shared" si="9"/>
        <v>1140</v>
      </c>
      <c r="J150" s="54">
        <v>120</v>
      </c>
      <c r="L150" s="54">
        <v>1430</v>
      </c>
      <c r="M150" s="54">
        <v>805</v>
      </c>
    </row>
    <row r="65549" ht="13.5" customHeight="1"/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opLeftCell="A19" zoomScaleNormal="100" workbookViewId="0">
      <selection activeCell="I43" sqref="I43"/>
    </sheetView>
  </sheetViews>
  <sheetFormatPr defaultRowHeight="12.75"/>
  <cols>
    <col min="1" max="1" width="16.5703125" customWidth="1"/>
    <col min="2" max="2" width="14.28515625" customWidth="1"/>
    <col min="3" max="3" width="15.42578125" customWidth="1"/>
    <col min="4" max="4" width="14.5703125" customWidth="1"/>
    <col min="5" max="5" width="15.5703125" customWidth="1"/>
    <col min="6" max="6" width="15.28515625" customWidth="1"/>
    <col min="7" max="7" width="13.42578125" customWidth="1"/>
    <col min="8" max="8" width="12.42578125" customWidth="1"/>
    <col min="9" max="9" width="12.7109375" customWidth="1"/>
    <col min="11" max="11" width="10.28515625" customWidth="1"/>
    <col min="12" max="12" width="4.42578125" customWidth="1"/>
    <col min="13" max="13" width="18" customWidth="1"/>
    <col min="14" max="14" width="17.140625" customWidth="1"/>
    <col min="15" max="15" width="15.140625" customWidth="1"/>
    <col min="16" max="16" width="14.5703125" customWidth="1"/>
  </cols>
  <sheetData>
    <row r="1" spans="1:9" ht="15.75">
      <c r="A1" s="13" t="s">
        <v>449</v>
      </c>
    </row>
    <row r="2" spans="1:9" ht="15.75">
      <c r="A2" s="14" t="s">
        <v>72</v>
      </c>
      <c r="B2" s="14" t="s">
        <v>73</v>
      </c>
    </row>
    <row r="3" spans="1:9" s="16" customFormat="1" ht="15.75">
      <c r="C3" s="14"/>
      <c r="D3" s="14"/>
      <c r="E3" s="14"/>
      <c r="F3" s="14"/>
      <c r="G3" s="15"/>
    </row>
    <row r="4" spans="1:9">
      <c r="A4" t="s">
        <v>753</v>
      </c>
    </row>
    <row r="5" spans="1:9">
      <c r="B5" s="5" t="s">
        <v>74</v>
      </c>
      <c r="C5" s="5" t="s">
        <v>75</v>
      </c>
      <c r="D5" s="5" t="s">
        <v>76</v>
      </c>
      <c r="E5" s="5" t="s">
        <v>77</v>
      </c>
      <c r="F5" s="5" t="s">
        <v>78</v>
      </c>
      <c r="G5" s="5" t="s">
        <v>79</v>
      </c>
      <c r="H5" s="5" t="s">
        <v>80</v>
      </c>
      <c r="I5" s="5" t="s">
        <v>81</v>
      </c>
    </row>
    <row r="6" spans="1:9">
      <c r="A6" s="6" t="s">
        <v>6</v>
      </c>
      <c r="B6" s="17">
        <f>Jan!B4</f>
        <v>6802.05</v>
      </c>
      <c r="C6" s="18">
        <f t="shared" ref="C6:C17" si="0">0.1*B6</f>
        <v>680.20500000000004</v>
      </c>
      <c r="D6">
        <f>B49</f>
        <v>1230</v>
      </c>
      <c r="E6">
        <f>C6-D6</f>
        <v>-549.79499999999996</v>
      </c>
      <c r="F6" s="19">
        <f t="shared" ref="F6:F17" si="1">D6/B6</f>
        <v>0.18082783866628444</v>
      </c>
      <c r="G6" s="18">
        <f>B6</f>
        <v>6802.05</v>
      </c>
      <c r="H6" s="128">
        <f>D6</f>
        <v>1230</v>
      </c>
      <c r="I6" s="19">
        <f t="shared" ref="I6:I17" si="2">H6/G6</f>
        <v>0.18082783866628444</v>
      </c>
    </row>
    <row r="7" spans="1:9">
      <c r="A7" s="6" t="s">
        <v>7</v>
      </c>
      <c r="B7" s="18">
        <f>Feb!$B$4</f>
        <v>7113.74</v>
      </c>
      <c r="C7" s="18">
        <f t="shared" si="0"/>
        <v>711.37400000000002</v>
      </c>
      <c r="D7">
        <f>B62</f>
        <v>1050</v>
      </c>
      <c r="E7">
        <f t="shared" ref="E7:E17" si="3">E6+C7-D7</f>
        <v>-888.42099999999994</v>
      </c>
      <c r="F7" s="19">
        <f t="shared" si="1"/>
        <v>0.14760168350263012</v>
      </c>
      <c r="G7" s="20">
        <f t="shared" ref="G7:G17" si="4">G6+B7</f>
        <v>13915.79</v>
      </c>
      <c r="H7" s="128">
        <f t="shared" ref="H7:H17" si="5">H6+D7</f>
        <v>2280</v>
      </c>
      <c r="I7" s="19">
        <f t="shared" si="2"/>
        <v>0.163842656435603</v>
      </c>
    </row>
    <row r="8" spans="1:9">
      <c r="A8" s="6" t="s">
        <v>8</v>
      </c>
      <c r="B8" s="18">
        <f>Mar!$B$4</f>
        <v>23361.14</v>
      </c>
      <c r="C8" s="18">
        <f t="shared" si="0"/>
        <v>2336.114</v>
      </c>
      <c r="D8">
        <f>B75</f>
        <v>1280</v>
      </c>
      <c r="E8">
        <f t="shared" si="3"/>
        <v>167.69300000000021</v>
      </c>
      <c r="F8" s="19">
        <f t="shared" si="1"/>
        <v>5.4791846630772301E-2</v>
      </c>
      <c r="G8" s="20">
        <f t="shared" si="4"/>
        <v>37276.93</v>
      </c>
      <c r="H8" s="128">
        <f t="shared" si="5"/>
        <v>3560</v>
      </c>
      <c r="I8" s="19">
        <f t="shared" si="2"/>
        <v>9.5501426753758958E-2</v>
      </c>
    </row>
    <row r="9" spans="1:9">
      <c r="A9" s="6" t="s">
        <v>9</v>
      </c>
      <c r="B9" s="18">
        <f>Apr!$B$4</f>
        <v>7563.4700000000012</v>
      </c>
      <c r="C9" s="18">
        <f t="shared" si="0"/>
        <v>756.34700000000021</v>
      </c>
      <c r="D9">
        <f>B89</f>
        <v>1350</v>
      </c>
      <c r="E9">
        <f t="shared" si="3"/>
        <v>-425.95999999999958</v>
      </c>
      <c r="F9" s="19">
        <f t="shared" si="1"/>
        <v>0.17848950283401663</v>
      </c>
      <c r="G9" s="20">
        <f t="shared" si="4"/>
        <v>44840.4</v>
      </c>
      <c r="H9" s="128">
        <f t="shared" si="5"/>
        <v>4910</v>
      </c>
      <c r="I9" s="19">
        <f t="shared" si="2"/>
        <v>0.10949946922864202</v>
      </c>
    </row>
    <row r="10" spans="1:9">
      <c r="A10" s="6" t="s">
        <v>10</v>
      </c>
      <c r="B10" s="18">
        <f>May!$B$4</f>
        <v>10875.730000000001</v>
      </c>
      <c r="C10" s="18">
        <f t="shared" si="0"/>
        <v>1087.5730000000001</v>
      </c>
      <c r="D10">
        <f>B104</f>
        <v>1450</v>
      </c>
      <c r="E10">
        <f t="shared" si="3"/>
        <v>-788.38699999999949</v>
      </c>
      <c r="F10" s="19">
        <f t="shared" si="1"/>
        <v>0.13332438374251657</v>
      </c>
      <c r="G10" s="20">
        <f t="shared" si="4"/>
        <v>55716.130000000005</v>
      </c>
      <c r="H10" s="128">
        <f t="shared" si="5"/>
        <v>6360</v>
      </c>
      <c r="I10" s="19">
        <f t="shared" si="2"/>
        <v>0.11415006749391962</v>
      </c>
    </row>
    <row r="11" spans="1:9">
      <c r="A11" s="6" t="s">
        <v>11</v>
      </c>
      <c r="B11" s="18">
        <f>Jun!$B$4</f>
        <v>16710.68</v>
      </c>
      <c r="C11" s="18">
        <f t="shared" si="0"/>
        <v>1671.0680000000002</v>
      </c>
      <c r="D11">
        <f>B118</f>
        <v>1300</v>
      </c>
      <c r="E11">
        <f t="shared" si="3"/>
        <v>-417.31899999999928</v>
      </c>
      <c r="F11" s="19">
        <f t="shared" si="1"/>
        <v>7.7794560125620263E-2</v>
      </c>
      <c r="G11" s="20">
        <f t="shared" si="4"/>
        <v>72426.81</v>
      </c>
      <c r="H11" s="128">
        <f t="shared" si="5"/>
        <v>7660</v>
      </c>
      <c r="I11" s="19">
        <f t="shared" si="2"/>
        <v>0.10576194091663019</v>
      </c>
    </row>
    <row r="12" spans="1:9">
      <c r="A12" s="6" t="s">
        <v>12</v>
      </c>
      <c r="B12" s="18">
        <f>July!$B$4</f>
        <v>8878.8700000000008</v>
      </c>
      <c r="C12" s="18">
        <f t="shared" si="0"/>
        <v>887.88700000000017</v>
      </c>
      <c r="D12">
        <f>B132</f>
        <v>1230</v>
      </c>
      <c r="E12">
        <f t="shared" si="3"/>
        <v>-759.43199999999911</v>
      </c>
      <c r="F12" s="19">
        <f t="shared" si="1"/>
        <v>0.13853114191332905</v>
      </c>
      <c r="G12" s="20">
        <f t="shared" si="4"/>
        <v>81305.679999999993</v>
      </c>
      <c r="H12" s="128">
        <f t="shared" si="5"/>
        <v>8890</v>
      </c>
      <c r="I12" s="19">
        <f t="shared" si="2"/>
        <v>0.10934045444303524</v>
      </c>
    </row>
    <row r="13" spans="1:9">
      <c r="A13" s="6" t="s">
        <v>14</v>
      </c>
      <c r="B13" s="18">
        <f>Aug!$B$4</f>
        <v>13830.76</v>
      </c>
      <c r="C13" s="18">
        <f t="shared" si="0"/>
        <v>1383.076</v>
      </c>
      <c r="D13">
        <f>B145</f>
        <v>1250</v>
      </c>
      <c r="E13">
        <f t="shared" si="3"/>
        <v>-626.35599999999909</v>
      </c>
      <c r="F13" s="19">
        <f t="shared" si="1"/>
        <v>9.0378258316968843E-2</v>
      </c>
      <c r="G13" s="20">
        <f t="shared" si="4"/>
        <v>95136.439999999988</v>
      </c>
      <c r="H13" s="128">
        <f t="shared" si="5"/>
        <v>10140</v>
      </c>
      <c r="I13" s="19">
        <f t="shared" si="2"/>
        <v>0.10658376537949077</v>
      </c>
    </row>
    <row r="14" spans="1:9">
      <c r="A14" s="6" t="s">
        <v>15</v>
      </c>
      <c r="B14" s="18">
        <f>Sep!$B$4</f>
        <v>12557.92</v>
      </c>
      <c r="C14" s="18">
        <f t="shared" si="0"/>
        <v>1255.7920000000001</v>
      </c>
      <c r="D14">
        <f>B159</f>
        <v>1250</v>
      </c>
      <c r="E14">
        <f t="shared" si="3"/>
        <v>-620.56399999999894</v>
      </c>
      <c r="F14" s="19">
        <f t="shared" si="1"/>
        <v>9.9538777122325992E-2</v>
      </c>
      <c r="G14" s="20">
        <f t="shared" si="4"/>
        <v>107694.35999999999</v>
      </c>
      <c r="H14" s="128">
        <f t="shared" si="5"/>
        <v>11390</v>
      </c>
      <c r="I14" s="19">
        <f t="shared" si="2"/>
        <v>0.10576227018759386</v>
      </c>
    </row>
    <row r="15" spans="1:9">
      <c r="A15" s="6" t="s">
        <v>16</v>
      </c>
      <c r="B15" s="18">
        <f>Oct!$B$4</f>
        <v>12114.61</v>
      </c>
      <c r="C15" s="18">
        <f t="shared" si="0"/>
        <v>1211.461</v>
      </c>
      <c r="D15">
        <f>B174</f>
        <v>1330</v>
      </c>
      <c r="E15">
        <f t="shared" si="3"/>
        <v>-739.10299999999893</v>
      </c>
      <c r="F15" s="19">
        <f t="shared" si="1"/>
        <v>0.10978479703432467</v>
      </c>
      <c r="G15" s="20">
        <f t="shared" si="4"/>
        <v>119808.96999999999</v>
      </c>
      <c r="H15" s="128">
        <f t="shared" si="5"/>
        <v>12720</v>
      </c>
      <c r="I15" s="19">
        <f t="shared" si="2"/>
        <v>0.10616901222003662</v>
      </c>
    </row>
    <row r="16" spans="1:9">
      <c r="A16" s="6" t="s">
        <v>17</v>
      </c>
      <c r="B16" s="18">
        <f>Nov!$B$4</f>
        <v>12090.810000000001</v>
      </c>
      <c r="C16" s="18">
        <f t="shared" si="0"/>
        <v>1209.0810000000001</v>
      </c>
      <c r="D16">
        <f>B189</f>
        <v>1250</v>
      </c>
      <c r="E16">
        <f t="shared" si="3"/>
        <v>-780.0219999999988</v>
      </c>
      <c r="F16" s="19">
        <f t="shared" si="1"/>
        <v>0.10338430593152981</v>
      </c>
      <c r="G16" s="20">
        <f t="shared" si="4"/>
        <v>131899.78</v>
      </c>
      <c r="H16" s="128">
        <f t="shared" si="5"/>
        <v>13970</v>
      </c>
      <c r="I16" s="19">
        <f t="shared" si="2"/>
        <v>0.10591374754377908</v>
      </c>
    </row>
    <row r="17" spans="1:14">
      <c r="A17" s="6" t="s">
        <v>18</v>
      </c>
      <c r="B17" s="18">
        <f>Dec!$B$4</f>
        <v>12411.380000000001</v>
      </c>
      <c r="C17" s="18">
        <f t="shared" si="0"/>
        <v>1241.1380000000001</v>
      </c>
      <c r="D17">
        <f>B204</f>
        <v>1400</v>
      </c>
      <c r="E17">
        <f t="shared" si="3"/>
        <v>-938.88399999999865</v>
      </c>
      <c r="F17" s="19">
        <f t="shared" si="1"/>
        <v>0.11279970478705832</v>
      </c>
      <c r="G17" s="20">
        <f t="shared" si="4"/>
        <v>144311.16</v>
      </c>
      <c r="H17" s="128">
        <f t="shared" si="5"/>
        <v>15370</v>
      </c>
      <c r="I17" s="19">
        <f t="shared" si="2"/>
        <v>0.10650596946209842</v>
      </c>
    </row>
    <row r="18" spans="1:14">
      <c r="A18" s="362" t="s">
        <v>751</v>
      </c>
      <c r="B18" s="18">
        <f>3595-165</f>
        <v>3430</v>
      </c>
      <c r="C18" s="18"/>
      <c r="F18" s="19"/>
      <c r="G18" s="20"/>
      <c r="H18" s="128"/>
      <c r="I18" s="19"/>
    </row>
    <row r="19" spans="1:14">
      <c r="A19" s="362" t="s">
        <v>752</v>
      </c>
      <c r="B19" s="18">
        <f>1099</f>
        <v>1099</v>
      </c>
      <c r="C19" s="18"/>
      <c r="F19" s="19"/>
      <c r="G19" s="20"/>
      <c r="H19" s="128"/>
      <c r="I19" s="19"/>
    </row>
    <row r="21" spans="1:14">
      <c r="A21" t="s">
        <v>82</v>
      </c>
      <c r="B21" s="17">
        <f>SUM(B6:B19)</f>
        <v>148840.16</v>
      </c>
      <c r="C21" s="17">
        <f>SUM(C6:C17)</f>
        <v>14431.116</v>
      </c>
      <c r="D21" s="17">
        <f>SUM(D6:D17)</f>
        <v>15370</v>
      </c>
    </row>
    <row r="22" spans="1:14">
      <c r="B22" s="17"/>
      <c r="C22" s="1" t="s">
        <v>83</v>
      </c>
      <c r="D22" s="17">
        <f>D21/12</f>
        <v>1280.8333333333333</v>
      </c>
    </row>
    <row r="23" spans="1:14">
      <c r="B23" s="17"/>
      <c r="C23" s="1" t="s">
        <v>84</v>
      </c>
      <c r="D23" s="21">
        <f>D21/B21</f>
        <v>0.10326514026859417</v>
      </c>
    </row>
    <row r="24" spans="1:14">
      <c r="N24" s="23" t="s">
        <v>85</v>
      </c>
    </row>
    <row r="25" spans="1:14">
      <c r="A25" s="22" t="s">
        <v>448</v>
      </c>
      <c r="F25" s="23" t="s">
        <v>86</v>
      </c>
      <c r="G25" s="22" t="s">
        <v>87</v>
      </c>
      <c r="H25" t="s">
        <v>450</v>
      </c>
      <c r="I25" t="s">
        <v>843</v>
      </c>
      <c r="N25">
        <f>12*500</f>
        <v>6000</v>
      </c>
    </row>
    <row r="26" spans="1:14">
      <c r="A26" t="s">
        <v>430</v>
      </c>
      <c r="F26">
        <f>F49+F62+F75+F89+F104+F118+F132+F145+F159+F174+F189+F204</f>
        <v>4800</v>
      </c>
      <c r="I26" t="s">
        <v>1083</v>
      </c>
      <c r="N26">
        <f>12*100</f>
        <v>1200</v>
      </c>
    </row>
    <row r="27" spans="1:14">
      <c r="A27" t="s">
        <v>88</v>
      </c>
      <c r="C27" t="s">
        <v>89</v>
      </c>
      <c r="F27">
        <f>F50+F63+F76+F90+F105+F119+F133+F146+F160+F175+F190+F205</f>
        <v>1200</v>
      </c>
      <c r="H27" s="256">
        <v>40848</v>
      </c>
      <c r="I27" t="s">
        <v>1084</v>
      </c>
      <c r="N27">
        <f>12*150</f>
        <v>1800</v>
      </c>
    </row>
    <row r="28" spans="1:14">
      <c r="A28" t="s">
        <v>90</v>
      </c>
      <c r="C28" t="s">
        <v>90</v>
      </c>
      <c r="F28">
        <f>F51+F64+F77+F91+F106+F120+F134+F147+F161+F176+F191+F206</f>
        <v>1800</v>
      </c>
      <c r="H28" s="256">
        <v>40848</v>
      </c>
      <c r="I28" t="s">
        <v>1083</v>
      </c>
      <c r="N28">
        <f>12*50</f>
        <v>600</v>
      </c>
    </row>
    <row r="29" spans="1:14">
      <c r="A29" t="s">
        <v>91</v>
      </c>
      <c r="C29" t="s">
        <v>92</v>
      </c>
      <c r="F29">
        <f>F52+F65+F78+F92+F107+F121+F135+F148+F162+F177+F192+F207</f>
        <v>600</v>
      </c>
      <c r="H29" s="256">
        <v>40483</v>
      </c>
      <c r="I29" t="s">
        <v>1085</v>
      </c>
      <c r="N29">
        <f>12*100</f>
        <v>1200</v>
      </c>
    </row>
    <row r="30" spans="1:14">
      <c r="A30" t="s">
        <v>91</v>
      </c>
      <c r="C30" t="s">
        <v>436</v>
      </c>
      <c r="F30">
        <f>F53+F66+F79+F93+F108+F122+F136+F149+F163+F178+F193+F208</f>
        <v>1200</v>
      </c>
      <c r="H30" s="256">
        <v>41548</v>
      </c>
      <c r="I30" t="s">
        <v>1086</v>
      </c>
      <c r="N30">
        <v>1000</v>
      </c>
    </row>
    <row r="31" spans="1:14">
      <c r="A31" t="s">
        <v>93</v>
      </c>
      <c r="C31" t="s">
        <v>94</v>
      </c>
      <c r="F31">
        <f>F54+F67+F80+F94+F109+F123+F137+F150+F164+F179+F194+F209</f>
        <v>1000</v>
      </c>
      <c r="H31" s="256">
        <v>39114</v>
      </c>
      <c r="I31" t="s">
        <v>1087</v>
      </c>
      <c r="N31">
        <v>120</v>
      </c>
    </row>
    <row r="32" spans="1:14">
      <c r="A32" t="s">
        <v>93</v>
      </c>
      <c r="C32" t="s">
        <v>95</v>
      </c>
      <c r="F32">
        <f>F55+F68+F81+F95+F110+F124+F138+F151+F165+F180+F195+F210</f>
        <v>120</v>
      </c>
      <c r="I32" t="s">
        <v>1087</v>
      </c>
      <c r="N32">
        <v>800</v>
      </c>
    </row>
    <row r="33" spans="1:14">
      <c r="A33" t="s">
        <v>96</v>
      </c>
      <c r="C33" t="s">
        <v>97</v>
      </c>
      <c r="F33">
        <f>F56+F69+F82+F96+F111+F125+F139+F152+F166+F181+F196+F211</f>
        <v>800</v>
      </c>
      <c r="H33" s="256">
        <v>39448</v>
      </c>
      <c r="I33" t="s">
        <v>1088</v>
      </c>
      <c r="N33">
        <v>400</v>
      </c>
    </row>
    <row r="34" spans="1:14">
      <c r="A34" t="s">
        <v>99</v>
      </c>
      <c r="C34" s="24"/>
      <c r="F34">
        <f t="shared" ref="F34:F35" si="6">F58+F71+F84+F98+F113+F127+F141+F154+F168+F183+F198+F213</f>
        <v>400</v>
      </c>
      <c r="H34">
        <v>2001</v>
      </c>
      <c r="I34" t="s">
        <v>1085</v>
      </c>
      <c r="N34">
        <f>12*40</f>
        <v>480</v>
      </c>
    </row>
    <row r="35" spans="1:14">
      <c r="A35" t="s">
        <v>100</v>
      </c>
      <c r="F35">
        <f t="shared" si="6"/>
        <v>400</v>
      </c>
      <c r="I35" t="s">
        <v>1083</v>
      </c>
      <c r="N35">
        <f>12*50</f>
        <v>600</v>
      </c>
    </row>
    <row r="36" spans="1:14">
      <c r="A36" t="s">
        <v>455</v>
      </c>
      <c r="C36" t="s">
        <v>456</v>
      </c>
      <c r="F36">
        <f>F60+F73+F86+F101+F115+F129+F143+F156+F170+F185+F200+F215</f>
        <v>550</v>
      </c>
      <c r="H36" s="256">
        <v>41579</v>
      </c>
      <c r="I36" t="s">
        <v>1083</v>
      </c>
      <c r="N36">
        <v>120</v>
      </c>
    </row>
    <row r="37" spans="1:14">
      <c r="A37" t="s">
        <v>740</v>
      </c>
      <c r="F37">
        <v>120</v>
      </c>
      <c r="I37" t="s">
        <v>1083</v>
      </c>
      <c r="N37">
        <v>0</v>
      </c>
    </row>
    <row r="38" spans="1:14">
      <c r="A38" t="s">
        <v>786</v>
      </c>
      <c r="F38">
        <f>F116+F172+F187+F202+F217</f>
        <v>1700</v>
      </c>
      <c r="N38">
        <v>500</v>
      </c>
    </row>
    <row r="39" spans="1:14">
      <c r="A39" t="s">
        <v>844</v>
      </c>
      <c r="C39" t="s">
        <v>845</v>
      </c>
      <c r="F39">
        <v>500</v>
      </c>
      <c r="H39" t="s">
        <v>846</v>
      </c>
      <c r="I39" t="s">
        <v>1089</v>
      </c>
      <c r="N39">
        <v>150</v>
      </c>
    </row>
    <row r="40" spans="1:14">
      <c r="A40" t="s">
        <v>844</v>
      </c>
      <c r="C40" t="s">
        <v>847</v>
      </c>
      <c r="F40">
        <v>150</v>
      </c>
      <c r="H40" t="s">
        <v>848</v>
      </c>
      <c r="N40">
        <v>30</v>
      </c>
    </row>
    <row r="41" spans="1:14">
      <c r="A41" t="s">
        <v>670</v>
      </c>
      <c r="C41" t="s">
        <v>849</v>
      </c>
      <c r="F41">
        <v>30</v>
      </c>
      <c r="H41" t="s">
        <v>850</v>
      </c>
      <c r="N41" s="25">
        <f>SUM(N25:N40)</f>
        <v>15000</v>
      </c>
    </row>
    <row r="42" spans="1:14">
      <c r="F42" s="25">
        <f>SUM(F26:F41)</f>
        <v>15370</v>
      </c>
    </row>
    <row r="43" spans="1:14">
      <c r="E43" s="26"/>
    </row>
    <row r="44" spans="1:14">
      <c r="A44">
        <f>SUM(N34:N40)</f>
        <v>1880</v>
      </c>
      <c r="B44" t="s">
        <v>101</v>
      </c>
      <c r="E44" s="27">
        <f>N41/12</f>
        <v>1250</v>
      </c>
      <c r="F44" s="27">
        <f>F42/12</f>
        <v>1280.8333333333333</v>
      </c>
    </row>
    <row r="45" spans="1:14">
      <c r="B45" t="s">
        <v>103</v>
      </c>
      <c r="E45" s="27">
        <f>N41/52</f>
        <v>288.46153846153845</v>
      </c>
      <c r="F45" s="27">
        <f>F42/52</f>
        <v>295.57692307692309</v>
      </c>
    </row>
    <row r="47" spans="1:14">
      <c r="A47" s="28" t="s">
        <v>104</v>
      </c>
    </row>
    <row r="48" spans="1:14">
      <c r="B48" s="5" t="s">
        <v>34</v>
      </c>
      <c r="D48" t="s">
        <v>105</v>
      </c>
      <c r="E48" t="s">
        <v>106</v>
      </c>
      <c r="F48" t="s">
        <v>107</v>
      </c>
      <c r="G48" t="s">
        <v>108</v>
      </c>
    </row>
    <row r="49" spans="1:10">
      <c r="A49" s="2" t="s">
        <v>6</v>
      </c>
      <c r="B49" s="29">
        <f>SUM(F49:F60)</f>
        <v>1230</v>
      </c>
      <c r="C49" t="s">
        <v>430</v>
      </c>
      <c r="D49" t="s">
        <v>561</v>
      </c>
      <c r="E49" s="142">
        <v>41913</v>
      </c>
      <c r="F49">
        <v>500</v>
      </c>
    </row>
    <row r="50" spans="1:10">
      <c r="A50" s="2"/>
      <c r="B50" s="29"/>
      <c r="C50" t="s">
        <v>88</v>
      </c>
      <c r="D50" s="134" t="s">
        <v>347</v>
      </c>
      <c r="E50" s="142">
        <v>41699</v>
      </c>
      <c r="F50">
        <v>100</v>
      </c>
      <c r="G50" t="s">
        <v>89</v>
      </c>
      <c r="I50" t="s">
        <v>109</v>
      </c>
    </row>
    <row r="51" spans="1:10">
      <c r="A51" s="2"/>
      <c r="B51" s="29"/>
      <c r="C51" t="s">
        <v>90</v>
      </c>
      <c r="D51" s="134" t="s">
        <v>561</v>
      </c>
      <c r="E51" s="142">
        <v>41699</v>
      </c>
      <c r="F51">
        <v>150</v>
      </c>
      <c r="G51" t="s">
        <v>90</v>
      </c>
      <c r="I51" t="s">
        <v>444</v>
      </c>
    </row>
    <row r="52" spans="1:10">
      <c r="C52" t="s">
        <v>91</v>
      </c>
      <c r="D52" s="134" t="s">
        <v>561</v>
      </c>
      <c r="E52" s="142">
        <v>41760</v>
      </c>
      <c r="F52">
        <v>50</v>
      </c>
      <c r="G52" t="s">
        <v>92</v>
      </c>
      <c r="I52" t="s">
        <v>445</v>
      </c>
    </row>
    <row r="53" spans="1:10">
      <c r="C53" t="s">
        <v>91</v>
      </c>
      <c r="D53" s="134" t="s">
        <v>561</v>
      </c>
      <c r="E53" s="142">
        <v>41760</v>
      </c>
      <c r="F53">
        <v>100</v>
      </c>
      <c r="G53" t="s">
        <v>436</v>
      </c>
      <c r="I53" t="s">
        <v>458</v>
      </c>
    </row>
    <row r="54" spans="1:10">
      <c r="C54" t="s">
        <v>93</v>
      </c>
      <c r="D54" s="134">
        <v>1887</v>
      </c>
      <c r="E54" s="142">
        <v>41913</v>
      </c>
      <c r="F54">
        <v>250</v>
      </c>
      <c r="G54" t="s">
        <v>438</v>
      </c>
      <c r="I54" t="s">
        <v>110</v>
      </c>
      <c r="J54" t="s">
        <v>111</v>
      </c>
    </row>
    <row r="55" spans="1:10">
      <c r="C55" t="s">
        <v>93</v>
      </c>
      <c r="D55" s="134">
        <v>1887</v>
      </c>
      <c r="E55" s="142">
        <v>41913</v>
      </c>
      <c r="F55">
        <v>30</v>
      </c>
      <c r="G55" t="s">
        <v>95</v>
      </c>
    </row>
    <row r="56" spans="1:10">
      <c r="C56" t="s">
        <v>96</v>
      </c>
      <c r="D56" s="134"/>
      <c r="G56" t="s">
        <v>97</v>
      </c>
      <c r="I56" t="s">
        <v>112</v>
      </c>
    </row>
    <row r="57" spans="1:10">
      <c r="C57" t="s">
        <v>98</v>
      </c>
      <c r="D57" s="134"/>
    </row>
    <row r="58" spans="1:10">
      <c r="C58" t="s">
        <v>99</v>
      </c>
      <c r="D58" s="134"/>
      <c r="G58" t="s">
        <v>113</v>
      </c>
      <c r="I58" t="s">
        <v>114</v>
      </c>
    </row>
    <row r="59" spans="1:10">
      <c r="C59" t="s">
        <v>100</v>
      </c>
      <c r="D59" s="134"/>
      <c r="G59" t="s">
        <v>115</v>
      </c>
    </row>
    <row r="60" spans="1:10">
      <c r="C60" t="s">
        <v>455</v>
      </c>
      <c r="D60" s="134" t="s">
        <v>347</v>
      </c>
      <c r="E60" s="142">
        <v>41760</v>
      </c>
      <c r="F60">
        <v>50</v>
      </c>
      <c r="G60" t="s">
        <v>457</v>
      </c>
    </row>
    <row r="61" spans="1:10">
      <c r="D61" s="134"/>
    </row>
    <row r="62" spans="1:10">
      <c r="A62" s="2" t="s">
        <v>7</v>
      </c>
      <c r="B62" s="2">
        <f>SUM(F62:F73)</f>
        <v>1050</v>
      </c>
      <c r="C62" t="s">
        <v>430</v>
      </c>
      <c r="D62" s="134" t="s">
        <v>561</v>
      </c>
      <c r="E62" s="142">
        <v>41914</v>
      </c>
      <c r="F62">
        <v>500</v>
      </c>
    </row>
    <row r="63" spans="1:10">
      <c r="A63" s="2"/>
      <c r="B63" s="2"/>
      <c r="C63" t="s">
        <v>88</v>
      </c>
      <c r="D63" s="134" t="s">
        <v>347</v>
      </c>
      <c r="E63" s="142">
        <v>41641</v>
      </c>
      <c r="F63">
        <v>100</v>
      </c>
      <c r="G63" t="s">
        <v>89</v>
      </c>
      <c r="I63" t="s">
        <v>109</v>
      </c>
    </row>
    <row r="64" spans="1:10">
      <c r="A64" s="2"/>
      <c r="B64" s="2"/>
      <c r="C64" t="s">
        <v>90</v>
      </c>
      <c r="D64" s="134" t="s">
        <v>561</v>
      </c>
      <c r="E64" s="142">
        <v>41641</v>
      </c>
      <c r="F64">
        <v>150</v>
      </c>
      <c r="G64" t="s">
        <v>90</v>
      </c>
      <c r="I64" t="s">
        <v>444</v>
      </c>
    </row>
    <row r="65" spans="1:10">
      <c r="A65" s="2"/>
      <c r="B65" s="2"/>
      <c r="C65" t="s">
        <v>91</v>
      </c>
      <c r="D65" s="134" t="s">
        <v>561</v>
      </c>
      <c r="E65" s="142">
        <v>41761</v>
      </c>
      <c r="F65">
        <v>50</v>
      </c>
      <c r="G65" t="s">
        <v>92</v>
      </c>
      <c r="I65" t="s">
        <v>445</v>
      </c>
    </row>
    <row r="66" spans="1:10">
      <c r="A66" s="2"/>
      <c r="B66" s="2"/>
      <c r="C66" t="s">
        <v>91</v>
      </c>
      <c r="D66" s="134" t="s">
        <v>561</v>
      </c>
      <c r="E66" s="142">
        <v>41761</v>
      </c>
      <c r="F66">
        <v>100</v>
      </c>
      <c r="G66" t="s">
        <v>436</v>
      </c>
      <c r="I66" t="s">
        <v>458</v>
      </c>
    </row>
    <row r="67" spans="1:10">
      <c r="A67" s="2"/>
      <c r="B67" s="2"/>
      <c r="C67" t="s">
        <v>93</v>
      </c>
      <c r="D67" s="134"/>
      <c r="G67" t="s">
        <v>438</v>
      </c>
      <c r="I67" t="s">
        <v>110</v>
      </c>
      <c r="J67" t="s">
        <v>111</v>
      </c>
    </row>
    <row r="68" spans="1:10">
      <c r="A68" s="2"/>
      <c r="B68" s="2"/>
      <c r="C68" t="s">
        <v>93</v>
      </c>
      <c r="D68" s="134"/>
      <c r="G68" t="s">
        <v>95</v>
      </c>
    </row>
    <row r="69" spans="1:10">
      <c r="A69" s="2"/>
      <c r="B69" s="2"/>
      <c r="C69" t="s">
        <v>96</v>
      </c>
      <c r="D69" s="134"/>
      <c r="G69" t="s">
        <v>97</v>
      </c>
      <c r="I69" t="s">
        <v>112</v>
      </c>
    </row>
    <row r="70" spans="1:10">
      <c r="A70" s="2"/>
      <c r="B70" s="2"/>
      <c r="C70" t="s">
        <v>98</v>
      </c>
      <c r="D70" s="134"/>
    </row>
    <row r="71" spans="1:10">
      <c r="A71" s="2"/>
      <c r="B71" s="2"/>
      <c r="C71" t="s">
        <v>99</v>
      </c>
      <c r="D71" s="134">
        <v>1889</v>
      </c>
      <c r="E71" s="142">
        <v>41914</v>
      </c>
      <c r="F71">
        <v>100</v>
      </c>
      <c r="G71" t="s">
        <v>113</v>
      </c>
      <c r="I71" t="s">
        <v>114</v>
      </c>
    </row>
    <row r="72" spans="1:10">
      <c r="A72" s="2"/>
      <c r="B72" s="2"/>
      <c r="C72" t="s">
        <v>100</v>
      </c>
      <c r="D72" s="134"/>
    </row>
    <row r="73" spans="1:10">
      <c r="A73" s="2"/>
      <c r="B73" s="2"/>
      <c r="C73" t="s">
        <v>455</v>
      </c>
      <c r="D73" s="134" t="s">
        <v>347</v>
      </c>
      <c r="E73" s="142">
        <v>41761</v>
      </c>
      <c r="F73">
        <v>50</v>
      </c>
      <c r="G73" t="s">
        <v>457</v>
      </c>
    </row>
    <row r="74" spans="1:10">
      <c r="D74" s="134"/>
    </row>
    <row r="75" spans="1:10">
      <c r="A75" s="2" t="s">
        <v>8</v>
      </c>
      <c r="B75" s="2">
        <f>SUM(F75:F87)</f>
        <v>1280</v>
      </c>
      <c r="C75" t="s">
        <v>430</v>
      </c>
      <c r="D75" s="134" t="s">
        <v>561</v>
      </c>
      <c r="E75" s="142">
        <v>41915</v>
      </c>
      <c r="F75">
        <v>500</v>
      </c>
    </row>
    <row r="76" spans="1:10">
      <c r="A76" s="2"/>
      <c r="B76" s="2"/>
      <c r="C76" t="s">
        <v>88</v>
      </c>
      <c r="D76" s="134" t="s">
        <v>347</v>
      </c>
      <c r="E76" s="142">
        <v>41642</v>
      </c>
      <c r="F76">
        <v>100</v>
      </c>
      <c r="G76" t="s">
        <v>89</v>
      </c>
      <c r="I76" t="s">
        <v>109</v>
      </c>
    </row>
    <row r="77" spans="1:10">
      <c r="A77" s="2"/>
      <c r="B77" s="2"/>
      <c r="C77" t="s">
        <v>90</v>
      </c>
      <c r="D77" s="134" t="s">
        <v>561</v>
      </c>
      <c r="E77" s="142">
        <v>41642</v>
      </c>
      <c r="F77">
        <v>150</v>
      </c>
      <c r="G77" t="s">
        <v>90</v>
      </c>
      <c r="I77" t="s">
        <v>444</v>
      </c>
    </row>
    <row r="78" spans="1:10">
      <c r="A78" s="2"/>
      <c r="B78" s="2"/>
      <c r="C78" t="s">
        <v>91</v>
      </c>
      <c r="D78" s="134" t="s">
        <v>561</v>
      </c>
      <c r="E78" s="142">
        <v>41762</v>
      </c>
      <c r="F78">
        <v>50</v>
      </c>
      <c r="G78" t="s">
        <v>92</v>
      </c>
      <c r="I78" t="s">
        <v>445</v>
      </c>
    </row>
    <row r="79" spans="1:10">
      <c r="C79" t="s">
        <v>91</v>
      </c>
      <c r="D79" s="134" t="s">
        <v>561</v>
      </c>
      <c r="E79" s="142">
        <v>41762</v>
      </c>
      <c r="F79">
        <v>100</v>
      </c>
      <c r="G79" t="s">
        <v>436</v>
      </c>
      <c r="I79" t="s">
        <v>458</v>
      </c>
    </row>
    <row r="80" spans="1:10">
      <c r="C80" t="s">
        <v>93</v>
      </c>
      <c r="D80" s="134"/>
      <c r="G80" t="s">
        <v>94</v>
      </c>
      <c r="I80" t="s">
        <v>110</v>
      </c>
      <c r="J80" t="s">
        <v>111</v>
      </c>
    </row>
    <row r="81" spans="1:9">
      <c r="C81" t="s">
        <v>93</v>
      </c>
      <c r="D81" s="134"/>
      <c r="G81" t="s">
        <v>95</v>
      </c>
    </row>
    <row r="82" spans="1:9">
      <c r="C82" t="s">
        <v>96</v>
      </c>
      <c r="D82" s="134">
        <v>1894</v>
      </c>
      <c r="E82" s="142">
        <v>41762</v>
      </c>
      <c r="F82">
        <v>200</v>
      </c>
      <c r="G82" t="s">
        <v>97</v>
      </c>
      <c r="I82" t="s">
        <v>112</v>
      </c>
    </row>
    <row r="83" spans="1:9">
      <c r="C83" t="s">
        <v>98</v>
      </c>
      <c r="D83" s="134"/>
    </row>
    <row r="84" spans="1:9">
      <c r="C84" t="s">
        <v>99</v>
      </c>
      <c r="D84" s="134"/>
      <c r="G84" t="s">
        <v>113</v>
      </c>
      <c r="I84" t="s">
        <v>114</v>
      </c>
    </row>
    <row r="85" spans="1:9">
      <c r="C85" t="s">
        <v>100</v>
      </c>
      <c r="D85" s="134">
        <v>1899</v>
      </c>
      <c r="E85" t="s">
        <v>669</v>
      </c>
      <c r="F85">
        <v>100</v>
      </c>
      <c r="G85" t="s">
        <v>116</v>
      </c>
    </row>
    <row r="86" spans="1:9">
      <c r="A86" s="2"/>
      <c r="B86" s="2"/>
      <c r="C86" t="s">
        <v>455</v>
      </c>
      <c r="D86" s="134" t="s">
        <v>347</v>
      </c>
      <c r="E86" s="142">
        <v>41762</v>
      </c>
      <c r="F86">
        <v>50</v>
      </c>
      <c r="G86" t="s">
        <v>457</v>
      </c>
    </row>
    <row r="87" spans="1:9">
      <c r="A87" s="2"/>
      <c r="B87" s="2"/>
      <c r="C87" t="s">
        <v>670</v>
      </c>
      <c r="D87" s="134">
        <v>1896</v>
      </c>
      <c r="E87" s="142">
        <v>41732</v>
      </c>
      <c r="F87">
        <v>30</v>
      </c>
      <c r="G87" t="s">
        <v>671</v>
      </c>
    </row>
    <row r="88" spans="1:9">
      <c r="A88" s="2"/>
      <c r="B88" s="2"/>
      <c r="D88" s="134"/>
    </row>
    <row r="89" spans="1:9">
      <c r="A89" s="2" t="s">
        <v>9</v>
      </c>
      <c r="B89" s="2">
        <f>SUM(F89:F102)</f>
        <v>1350</v>
      </c>
      <c r="C89" t="s">
        <v>430</v>
      </c>
      <c r="D89" s="134" t="s">
        <v>561</v>
      </c>
      <c r="E89" s="142">
        <v>41916</v>
      </c>
      <c r="F89">
        <v>500</v>
      </c>
    </row>
    <row r="90" spans="1:9">
      <c r="C90" t="s">
        <v>88</v>
      </c>
      <c r="D90" s="134" t="s">
        <v>347</v>
      </c>
      <c r="E90" s="142">
        <v>41643</v>
      </c>
      <c r="F90">
        <v>100</v>
      </c>
      <c r="G90" t="s">
        <v>89</v>
      </c>
      <c r="I90" t="s">
        <v>109</v>
      </c>
    </row>
    <row r="91" spans="1:9">
      <c r="C91" t="s">
        <v>90</v>
      </c>
      <c r="D91" s="134" t="s">
        <v>561</v>
      </c>
      <c r="E91" s="142">
        <v>41643</v>
      </c>
      <c r="F91">
        <v>150</v>
      </c>
      <c r="G91" t="s">
        <v>90</v>
      </c>
      <c r="I91" t="s">
        <v>444</v>
      </c>
    </row>
    <row r="92" spans="1:9">
      <c r="C92" t="s">
        <v>91</v>
      </c>
      <c r="D92" s="134" t="s">
        <v>561</v>
      </c>
      <c r="E92" s="142">
        <v>41763</v>
      </c>
      <c r="F92">
        <v>50</v>
      </c>
      <c r="G92" t="s">
        <v>92</v>
      </c>
      <c r="I92" t="s">
        <v>445</v>
      </c>
    </row>
    <row r="93" spans="1:9">
      <c r="C93" t="s">
        <v>91</v>
      </c>
      <c r="D93" s="134" t="s">
        <v>561</v>
      </c>
      <c r="E93" s="142">
        <v>41763</v>
      </c>
      <c r="F93">
        <v>100</v>
      </c>
      <c r="G93" t="s">
        <v>436</v>
      </c>
      <c r="I93" t="s">
        <v>458</v>
      </c>
    </row>
    <row r="94" spans="1:9">
      <c r="C94" t="s">
        <v>93</v>
      </c>
      <c r="D94" s="134">
        <v>1900</v>
      </c>
      <c r="E94" s="142">
        <v>41763</v>
      </c>
      <c r="F94">
        <v>250</v>
      </c>
      <c r="G94" t="s">
        <v>94</v>
      </c>
      <c r="I94" t="s">
        <v>110</v>
      </c>
    </row>
    <row r="95" spans="1:9">
      <c r="C95" t="s">
        <v>93</v>
      </c>
      <c r="D95" s="134">
        <v>1900</v>
      </c>
      <c r="E95" s="142">
        <v>41763</v>
      </c>
      <c r="F95">
        <v>30</v>
      </c>
      <c r="G95" t="s">
        <v>95</v>
      </c>
    </row>
    <row r="96" spans="1:9">
      <c r="C96" t="s">
        <v>96</v>
      </c>
      <c r="D96" s="134"/>
      <c r="G96" t="s">
        <v>97</v>
      </c>
      <c r="I96" t="s">
        <v>112</v>
      </c>
    </row>
    <row r="97" spans="1:9">
      <c r="C97" t="s">
        <v>98</v>
      </c>
      <c r="D97" s="134"/>
    </row>
    <row r="98" spans="1:9">
      <c r="C98" t="s">
        <v>99</v>
      </c>
      <c r="D98" s="134"/>
    </row>
    <row r="99" spans="1:9">
      <c r="C99" t="s">
        <v>100</v>
      </c>
      <c r="D99" s="134"/>
    </row>
    <row r="100" spans="1:9">
      <c r="C100" t="s">
        <v>117</v>
      </c>
      <c r="D100" s="134"/>
    </row>
    <row r="101" spans="1:9">
      <c r="C101" t="s">
        <v>455</v>
      </c>
      <c r="D101" s="134" t="s">
        <v>561</v>
      </c>
      <c r="E101" s="142">
        <v>41763</v>
      </c>
      <c r="F101">
        <v>50</v>
      </c>
      <c r="G101" t="s">
        <v>457</v>
      </c>
    </row>
    <row r="102" spans="1:9">
      <c r="C102" t="s">
        <v>740</v>
      </c>
      <c r="D102" s="134">
        <v>1903</v>
      </c>
      <c r="E102" s="142" t="s">
        <v>741</v>
      </c>
      <c r="F102">
        <v>120</v>
      </c>
    </row>
    <row r="103" spans="1:9">
      <c r="D103" s="134"/>
    </row>
    <row r="104" spans="1:9">
      <c r="A104" s="2" t="s">
        <v>10</v>
      </c>
      <c r="B104" s="2">
        <f>SUM(F104:F117)</f>
        <v>1450</v>
      </c>
      <c r="C104" t="s">
        <v>430</v>
      </c>
      <c r="D104" s="134" t="s">
        <v>561</v>
      </c>
      <c r="E104" s="142">
        <v>41917</v>
      </c>
      <c r="F104">
        <v>500</v>
      </c>
    </row>
    <row r="105" spans="1:9">
      <c r="A105" s="2"/>
      <c r="B105" s="2"/>
      <c r="C105" t="s">
        <v>88</v>
      </c>
      <c r="D105" s="134" t="s">
        <v>347</v>
      </c>
      <c r="E105" s="142">
        <v>41644</v>
      </c>
      <c r="F105">
        <v>100</v>
      </c>
      <c r="G105" t="s">
        <v>89</v>
      </c>
      <c r="I105" t="s">
        <v>109</v>
      </c>
    </row>
    <row r="106" spans="1:9">
      <c r="A106" s="2"/>
      <c r="B106" s="2"/>
      <c r="C106" t="s">
        <v>90</v>
      </c>
      <c r="D106" s="134" t="s">
        <v>561</v>
      </c>
      <c r="E106" s="142">
        <v>41644</v>
      </c>
      <c r="F106">
        <v>150</v>
      </c>
      <c r="G106" t="s">
        <v>90</v>
      </c>
      <c r="I106" t="s">
        <v>109</v>
      </c>
    </row>
    <row r="107" spans="1:9">
      <c r="A107" s="2"/>
      <c r="B107" s="2"/>
      <c r="C107" t="s">
        <v>91</v>
      </c>
      <c r="D107" s="134" t="s">
        <v>561</v>
      </c>
      <c r="E107" s="142">
        <v>41764</v>
      </c>
      <c r="F107">
        <v>50</v>
      </c>
      <c r="G107" t="s">
        <v>92</v>
      </c>
      <c r="I107" t="s">
        <v>445</v>
      </c>
    </row>
    <row r="108" spans="1:9">
      <c r="A108" s="2"/>
      <c r="B108" s="2"/>
      <c r="C108" t="s">
        <v>91</v>
      </c>
      <c r="D108" s="134" t="s">
        <v>561</v>
      </c>
      <c r="E108" s="142">
        <v>41764</v>
      </c>
      <c r="F108">
        <v>100</v>
      </c>
      <c r="G108" t="s">
        <v>436</v>
      </c>
      <c r="I108" t="s">
        <v>458</v>
      </c>
    </row>
    <row r="109" spans="1:9">
      <c r="A109" s="2"/>
      <c r="B109" s="2"/>
      <c r="C109" t="s">
        <v>93</v>
      </c>
      <c r="D109" s="134"/>
      <c r="G109" t="s">
        <v>94</v>
      </c>
      <c r="I109" t="s">
        <v>110</v>
      </c>
    </row>
    <row r="110" spans="1:9">
      <c r="A110" s="2"/>
      <c r="B110" s="2"/>
      <c r="C110" t="s">
        <v>93</v>
      </c>
      <c r="D110" s="134"/>
      <c r="G110" t="s">
        <v>95</v>
      </c>
    </row>
    <row r="111" spans="1:9">
      <c r="A111" s="2"/>
      <c r="B111" s="2"/>
      <c r="C111" t="s">
        <v>96</v>
      </c>
      <c r="D111" s="134"/>
      <c r="G111" t="s">
        <v>97</v>
      </c>
      <c r="I111" t="s">
        <v>112</v>
      </c>
    </row>
    <row r="112" spans="1:9">
      <c r="A112" s="2"/>
      <c r="B112" s="2"/>
      <c r="C112" t="s">
        <v>98</v>
      </c>
      <c r="D112" s="134"/>
    </row>
    <row r="113" spans="1:9">
      <c r="A113" s="2"/>
      <c r="B113" s="2"/>
      <c r="C113" t="s">
        <v>99</v>
      </c>
      <c r="D113" s="134">
        <v>1904</v>
      </c>
      <c r="E113" s="142">
        <v>41644</v>
      </c>
      <c r="F113">
        <v>100</v>
      </c>
    </row>
    <row r="114" spans="1:9">
      <c r="A114" s="2"/>
      <c r="B114" s="2"/>
      <c r="C114" t="s">
        <v>100</v>
      </c>
      <c r="D114" s="134">
        <v>1913</v>
      </c>
      <c r="E114" s="142">
        <v>41795</v>
      </c>
      <c r="F114">
        <v>100</v>
      </c>
      <c r="G114" t="s">
        <v>802</v>
      </c>
    </row>
    <row r="115" spans="1:9">
      <c r="A115" s="2"/>
      <c r="B115" s="2"/>
      <c r="C115" t="s">
        <v>455</v>
      </c>
      <c r="D115" s="134" t="s">
        <v>347</v>
      </c>
      <c r="E115" s="142">
        <v>41764</v>
      </c>
      <c r="F115">
        <v>50</v>
      </c>
      <c r="G115" t="s">
        <v>457</v>
      </c>
    </row>
    <row r="116" spans="1:9">
      <c r="A116" s="2"/>
      <c r="B116" s="2"/>
      <c r="C116" t="s">
        <v>786</v>
      </c>
      <c r="D116" s="134">
        <v>1912</v>
      </c>
      <c r="E116" s="142" t="s">
        <v>787</v>
      </c>
      <c r="F116">
        <v>300</v>
      </c>
    </row>
    <row r="117" spans="1:9">
      <c r="A117" s="2"/>
      <c r="B117" s="2"/>
      <c r="D117" s="134"/>
    </row>
    <row r="118" spans="1:9">
      <c r="A118" s="2" t="s">
        <v>11</v>
      </c>
      <c r="B118" s="2">
        <f>SUM(F118:F130)</f>
        <v>1300</v>
      </c>
      <c r="C118" t="s">
        <v>430</v>
      </c>
      <c r="D118" s="134" t="s">
        <v>561</v>
      </c>
      <c r="E118" s="142">
        <v>41918</v>
      </c>
      <c r="F118">
        <v>500</v>
      </c>
    </row>
    <row r="119" spans="1:9">
      <c r="A119" s="2"/>
      <c r="B119" s="2"/>
      <c r="C119" t="s">
        <v>88</v>
      </c>
      <c r="D119" s="134" t="s">
        <v>347</v>
      </c>
      <c r="E119" s="142">
        <v>41645</v>
      </c>
      <c r="F119">
        <v>100</v>
      </c>
      <c r="G119" t="s">
        <v>89</v>
      </c>
      <c r="I119" t="s">
        <v>109</v>
      </c>
    </row>
    <row r="120" spans="1:9">
      <c r="A120" s="2"/>
      <c r="B120" s="2"/>
      <c r="C120" t="s">
        <v>90</v>
      </c>
      <c r="D120" s="134" t="s">
        <v>561</v>
      </c>
      <c r="E120" s="142">
        <v>41645</v>
      </c>
      <c r="F120">
        <v>150</v>
      </c>
      <c r="G120" t="s">
        <v>90</v>
      </c>
      <c r="I120" t="s">
        <v>109</v>
      </c>
    </row>
    <row r="121" spans="1:9">
      <c r="A121" s="2"/>
      <c r="B121" s="2"/>
      <c r="C121" t="s">
        <v>91</v>
      </c>
      <c r="D121" s="134" t="s">
        <v>561</v>
      </c>
      <c r="E121" s="142">
        <v>41765</v>
      </c>
      <c r="F121">
        <v>50</v>
      </c>
      <c r="G121" t="s">
        <v>92</v>
      </c>
      <c r="I121" t="s">
        <v>445</v>
      </c>
    </row>
    <row r="122" spans="1:9">
      <c r="A122" s="2"/>
      <c r="B122" s="2"/>
      <c r="C122" t="s">
        <v>91</v>
      </c>
      <c r="D122" s="134" t="s">
        <v>561</v>
      </c>
      <c r="E122" s="142">
        <v>41765</v>
      </c>
      <c r="F122">
        <v>100</v>
      </c>
      <c r="G122" t="s">
        <v>436</v>
      </c>
      <c r="I122" t="s">
        <v>458</v>
      </c>
    </row>
    <row r="123" spans="1:9">
      <c r="A123" s="2"/>
      <c r="B123" s="2"/>
      <c r="C123" t="s">
        <v>93</v>
      </c>
      <c r="D123" s="134"/>
      <c r="G123" t="s">
        <v>94</v>
      </c>
      <c r="I123" t="s">
        <v>110</v>
      </c>
    </row>
    <row r="124" spans="1:9">
      <c r="A124" s="2"/>
      <c r="B124" s="2"/>
      <c r="C124" t="s">
        <v>93</v>
      </c>
      <c r="D124" s="134"/>
      <c r="G124" t="s">
        <v>95</v>
      </c>
    </row>
    <row r="125" spans="1:9">
      <c r="A125" s="2"/>
      <c r="B125" s="2"/>
      <c r="C125" t="s">
        <v>96</v>
      </c>
      <c r="D125" s="134">
        <v>1917</v>
      </c>
      <c r="E125" s="142">
        <v>41645</v>
      </c>
      <c r="F125">
        <v>200</v>
      </c>
      <c r="G125" t="s">
        <v>97</v>
      </c>
      <c r="I125" t="s">
        <v>112</v>
      </c>
    </row>
    <row r="126" spans="1:9">
      <c r="A126" s="2"/>
      <c r="B126" s="2"/>
      <c r="C126" t="s">
        <v>98</v>
      </c>
      <c r="D126" s="134"/>
    </row>
    <row r="127" spans="1:9">
      <c r="A127" s="2"/>
      <c r="B127" s="2"/>
      <c r="C127" t="s">
        <v>99</v>
      </c>
      <c r="D127" s="134"/>
    </row>
    <row r="128" spans="1:9">
      <c r="A128" s="2"/>
      <c r="B128" s="2"/>
      <c r="C128" t="s">
        <v>100</v>
      </c>
      <c r="D128" s="134"/>
      <c r="G128" t="s">
        <v>115</v>
      </c>
    </row>
    <row r="129" spans="1:9">
      <c r="A129" s="2"/>
      <c r="B129" s="2"/>
      <c r="C129" t="s">
        <v>455</v>
      </c>
      <c r="D129" s="134" t="s">
        <v>347</v>
      </c>
      <c r="E129" s="142">
        <v>41765</v>
      </c>
      <c r="F129">
        <v>50</v>
      </c>
      <c r="G129" t="s">
        <v>457</v>
      </c>
    </row>
    <row r="130" spans="1:9">
      <c r="A130" s="2"/>
      <c r="B130" s="2"/>
      <c r="C130" t="s">
        <v>824</v>
      </c>
      <c r="D130" s="134" t="s">
        <v>561</v>
      </c>
      <c r="E130" s="142">
        <v>41704</v>
      </c>
      <c r="F130">
        <v>150</v>
      </c>
      <c r="G130" t="s">
        <v>825</v>
      </c>
    </row>
    <row r="131" spans="1:9">
      <c r="A131" s="2"/>
      <c r="B131" s="2"/>
      <c r="D131" s="134"/>
    </row>
    <row r="132" spans="1:9">
      <c r="A132" s="2" t="s">
        <v>12</v>
      </c>
      <c r="B132" s="2">
        <f>SUM(F132:F144)</f>
        <v>1230</v>
      </c>
      <c r="C132" t="s">
        <v>430</v>
      </c>
      <c r="D132" s="134" t="s">
        <v>561</v>
      </c>
      <c r="E132" s="142">
        <v>41919</v>
      </c>
      <c r="F132">
        <v>500</v>
      </c>
    </row>
    <row r="133" spans="1:9">
      <c r="A133" s="2"/>
      <c r="B133" s="2"/>
      <c r="C133" t="s">
        <v>88</v>
      </c>
      <c r="D133" s="134" t="s">
        <v>347</v>
      </c>
      <c r="E133" s="142">
        <v>41646</v>
      </c>
      <c r="F133">
        <v>100</v>
      </c>
      <c r="G133" t="s">
        <v>89</v>
      </c>
      <c r="I133" t="s">
        <v>109</v>
      </c>
    </row>
    <row r="134" spans="1:9">
      <c r="A134" s="2"/>
      <c r="B134" s="2"/>
      <c r="C134" t="s">
        <v>90</v>
      </c>
      <c r="D134" s="134" t="s">
        <v>561</v>
      </c>
      <c r="E134" s="142">
        <v>41646</v>
      </c>
      <c r="F134">
        <v>150</v>
      </c>
      <c r="G134" t="s">
        <v>90</v>
      </c>
      <c r="I134" t="s">
        <v>444</v>
      </c>
    </row>
    <row r="135" spans="1:9">
      <c r="A135" s="2"/>
      <c r="B135" s="2"/>
      <c r="C135" t="s">
        <v>91</v>
      </c>
      <c r="D135" s="134" t="s">
        <v>561</v>
      </c>
      <c r="E135" s="142">
        <v>41766</v>
      </c>
      <c r="F135">
        <v>50</v>
      </c>
      <c r="G135" t="s">
        <v>92</v>
      </c>
      <c r="I135" t="s">
        <v>445</v>
      </c>
    </row>
    <row r="136" spans="1:9">
      <c r="A136" s="2"/>
      <c r="B136" s="2"/>
      <c r="C136" t="s">
        <v>91</v>
      </c>
      <c r="D136" s="134" t="s">
        <v>561</v>
      </c>
      <c r="E136" s="142">
        <v>41766</v>
      </c>
      <c r="F136">
        <v>100</v>
      </c>
      <c r="G136" t="s">
        <v>436</v>
      </c>
      <c r="I136" t="s">
        <v>458</v>
      </c>
    </row>
    <row r="137" spans="1:9">
      <c r="A137" s="2"/>
      <c r="B137" s="2"/>
      <c r="C137" t="s">
        <v>93</v>
      </c>
      <c r="D137" s="134">
        <v>1929</v>
      </c>
      <c r="E137" s="142">
        <v>41766</v>
      </c>
      <c r="F137">
        <v>250</v>
      </c>
      <c r="G137" t="s">
        <v>94</v>
      </c>
      <c r="I137" t="s">
        <v>110</v>
      </c>
    </row>
    <row r="138" spans="1:9">
      <c r="A138" s="2"/>
      <c r="B138" s="2"/>
      <c r="C138" t="s">
        <v>93</v>
      </c>
      <c r="D138" s="134">
        <v>1929</v>
      </c>
      <c r="E138" s="142">
        <v>41766</v>
      </c>
      <c r="F138">
        <v>30</v>
      </c>
      <c r="G138" t="s">
        <v>95</v>
      </c>
    </row>
    <row r="139" spans="1:9">
      <c r="A139" s="2"/>
      <c r="B139" s="2"/>
      <c r="C139" t="s">
        <v>96</v>
      </c>
      <c r="D139" s="134"/>
      <c r="G139" t="s">
        <v>97</v>
      </c>
      <c r="I139" t="s">
        <v>112</v>
      </c>
    </row>
    <row r="140" spans="1:9">
      <c r="A140" s="2"/>
      <c r="B140" s="2"/>
      <c r="C140" t="s">
        <v>98</v>
      </c>
      <c r="D140" s="134"/>
    </row>
    <row r="141" spans="1:9">
      <c r="A141" s="2"/>
      <c r="B141" s="2"/>
      <c r="C141" t="s">
        <v>99</v>
      </c>
      <c r="D141" s="134"/>
    </row>
    <row r="142" spans="1:9">
      <c r="A142" s="2"/>
      <c r="B142" s="2"/>
      <c r="C142" t="s">
        <v>100</v>
      </c>
      <c r="D142" s="134"/>
      <c r="G142" t="s">
        <v>115</v>
      </c>
    </row>
    <row r="143" spans="1:9">
      <c r="A143" s="2"/>
      <c r="B143" s="2"/>
      <c r="C143" t="s">
        <v>455</v>
      </c>
      <c r="D143" s="134" t="s">
        <v>347</v>
      </c>
      <c r="E143" s="142">
        <v>41766</v>
      </c>
      <c r="F143">
        <v>50</v>
      </c>
      <c r="G143" t="s">
        <v>457</v>
      </c>
    </row>
    <row r="144" spans="1:9">
      <c r="A144" s="2"/>
      <c r="B144" s="2"/>
      <c r="D144" s="134"/>
    </row>
    <row r="145" spans="1:9">
      <c r="A145" s="2" t="s">
        <v>14</v>
      </c>
      <c r="B145" s="2">
        <f>SUM(F145:F157)</f>
        <v>1250</v>
      </c>
      <c r="C145" t="s">
        <v>430</v>
      </c>
      <c r="D145" s="134" t="s">
        <v>561</v>
      </c>
      <c r="E145" s="142">
        <v>41920</v>
      </c>
      <c r="F145">
        <v>500</v>
      </c>
    </row>
    <row r="146" spans="1:9">
      <c r="A146" s="2"/>
      <c r="B146" s="2"/>
      <c r="C146" t="s">
        <v>88</v>
      </c>
      <c r="D146" s="178" t="s">
        <v>347</v>
      </c>
      <c r="E146" s="142">
        <v>41647</v>
      </c>
      <c r="F146">
        <v>100</v>
      </c>
      <c r="G146" t="s">
        <v>89</v>
      </c>
      <c r="I146" t="s">
        <v>109</v>
      </c>
    </row>
    <row r="147" spans="1:9">
      <c r="A147" s="2"/>
      <c r="B147" s="2"/>
      <c r="C147" t="s">
        <v>90</v>
      </c>
      <c r="D147" s="134" t="s">
        <v>561</v>
      </c>
      <c r="E147" s="142">
        <v>41647</v>
      </c>
      <c r="F147">
        <v>150</v>
      </c>
      <c r="G147" t="s">
        <v>90</v>
      </c>
      <c r="I147" t="s">
        <v>444</v>
      </c>
    </row>
    <row r="148" spans="1:9">
      <c r="A148" s="2"/>
      <c r="B148" s="2"/>
      <c r="C148" t="s">
        <v>91</v>
      </c>
      <c r="D148" s="134" t="s">
        <v>561</v>
      </c>
      <c r="E148" s="142">
        <v>41767</v>
      </c>
      <c r="F148">
        <v>50</v>
      </c>
      <c r="G148" t="s">
        <v>92</v>
      </c>
      <c r="I148" t="s">
        <v>445</v>
      </c>
    </row>
    <row r="149" spans="1:9">
      <c r="A149" s="2"/>
      <c r="B149" s="2"/>
      <c r="C149" t="s">
        <v>91</v>
      </c>
      <c r="D149" s="134" t="s">
        <v>561</v>
      </c>
      <c r="E149" s="142">
        <v>41767</v>
      </c>
      <c r="F149">
        <v>100</v>
      </c>
      <c r="G149" t="s">
        <v>436</v>
      </c>
      <c r="I149" t="s">
        <v>458</v>
      </c>
    </row>
    <row r="150" spans="1:9">
      <c r="A150" s="2"/>
      <c r="B150" s="2"/>
      <c r="C150" t="s">
        <v>93</v>
      </c>
      <c r="D150" s="134"/>
      <c r="G150" t="s">
        <v>94</v>
      </c>
      <c r="I150" t="s">
        <v>110</v>
      </c>
    </row>
    <row r="151" spans="1:9">
      <c r="A151" s="2"/>
      <c r="B151" s="2"/>
      <c r="C151" t="s">
        <v>93</v>
      </c>
      <c r="D151" s="134"/>
      <c r="G151" t="s">
        <v>95</v>
      </c>
    </row>
    <row r="152" spans="1:9">
      <c r="A152" s="2"/>
      <c r="B152" s="2"/>
      <c r="C152" t="s">
        <v>96</v>
      </c>
      <c r="D152" s="134"/>
      <c r="G152" t="s">
        <v>97</v>
      </c>
      <c r="I152" t="s">
        <v>112</v>
      </c>
    </row>
    <row r="153" spans="1:9">
      <c r="C153" t="s">
        <v>273</v>
      </c>
      <c r="D153" s="134"/>
    </row>
    <row r="154" spans="1:9">
      <c r="C154" t="s">
        <v>99</v>
      </c>
      <c r="D154" s="134">
        <v>1936</v>
      </c>
      <c r="E154" s="142">
        <v>41647</v>
      </c>
      <c r="F154">
        <v>100</v>
      </c>
    </row>
    <row r="155" spans="1:9">
      <c r="C155" t="s">
        <v>100</v>
      </c>
      <c r="D155" s="134">
        <v>1938</v>
      </c>
      <c r="E155" s="142">
        <v>41798</v>
      </c>
      <c r="F155">
        <v>100</v>
      </c>
      <c r="G155" t="s">
        <v>115</v>
      </c>
    </row>
    <row r="156" spans="1:9">
      <c r="C156" t="s">
        <v>455</v>
      </c>
      <c r="D156" s="134" t="s">
        <v>347</v>
      </c>
      <c r="E156" s="142">
        <v>41767</v>
      </c>
      <c r="F156">
        <v>50</v>
      </c>
      <c r="G156" t="s">
        <v>457</v>
      </c>
    </row>
    <row r="157" spans="1:9">
      <c r="C157" t="s">
        <v>824</v>
      </c>
      <c r="D157" s="134" t="s">
        <v>561</v>
      </c>
      <c r="E157" s="142">
        <v>41767</v>
      </c>
      <c r="F157">
        <v>100</v>
      </c>
      <c r="G157" t="s">
        <v>830</v>
      </c>
    </row>
    <row r="158" spans="1:9">
      <c r="D158" s="134"/>
    </row>
    <row r="159" spans="1:9">
      <c r="A159" s="2" t="s">
        <v>15</v>
      </c>
      <c r="B159" s="2">
        <f>SUM(F159:F172)</f>
        <v>1250</v>
      </c>
      <c r="C159" t="s">
        <v>430</v>
      </c>
      <c r="D159" s="134" t="s">
        <v>561</v>
      </c>
      <c r="E159" s="142">
        <v>41921</v>
      </c>
      <c r="F159">
        <v>200</v>
      </c>
    </row>
    <row r="160" spans="1:9">
      <c r="A160" s="2"/>
      <c r="B160" s="2"/>
      <c r="C160" t="s">
        <v>88</v>
      </c>
      <c r="D160" s="134" t="s">
        <v>347</v>
      </c>
      <c r="E160" s="142">
        <v>41648</v>
      </c>
      <c r="F160">
        <v>100</v>
      </c>
      <c r="G160" t="s">
        <v>89</v>
      </c>
      <c r="I160" t="s">
        <v>109</v>
      </c>
    </row>
    <row r="161" spans="1:10">
      <c r="A161" s="2"/>
      <c r="B161" s="2"/>
      <c r="C161" t="s">
        <v>90</v>
      </c>
      <c r="D161" s="134" t="s">
        <v>561</v>
      </c>
      <c r="E161" s="142">
        <v>41648</v>
      </c>
      <c r="F161">
        <v>150</v>
      </c>
      <c r="G161" t="s">
        <v>90</v>
      </c>
      <c r="I161" t="s">
        <v>444</v>
      </c>
    </row>
    <row r="162" spans="1:10">
      <c r="A162" s="2"/>
      <c r="B162" s="2"/>
      <c r="C162" t="s">
        <v>91</v>
      </c>
      <c r="D162" s="134" t="s">
        <v>561</v>
      </c>
      <c r="E162" s="142">
        <v>41768</v>
      </c>
      <c r="F162">
        <v>50</v>
      </c>
      <c r="G162" t="s">
        <v>92</v>
      </c>
      <c r="I162" t="s">
        <v>445</v>
      </c>
    </row>
    <row r="163" spans="1:10">
      <c r="A163" s="2"/>
      <c r="B163" s="2"/>
      <c r="C163" t="s">
        <v>91</v>
      </c>
      <c r="D163" s="134" t="s">
        <v>561</v>
      </c>
      <c r="E163" s="142">
        <v>41768</v>
      </c>
      <c r="F163">
        <v>100</v>
      </c>
      <c r="G163" t="s">
        <v>436</v>
      </c>
      <c r="I163" t="s">
        <v>458</v>
      </c>
    </row>
    <row r="164" spans="1:10">
      <c r="A164" s="2"/>
      <c r="B164" s="2"/>
      <c r="C164" t="s">
        <v>93</v>
      </c>
      <c r="D164" s="134"/>
      <c r="G164" t="s">
        <v>94</v>
      </c>
      <c r="I164" t="s">
        <v>110</v>
      </c>
    </row>
    <row r="165" spans="1:10">
      <c r="A165" s="2"/>
      <c r="B165" s="2"/>
      <c r="C165" t="s">
        <v>93</v>
      </c>
      <c r="D165" s="134"/>
      <c r="G165" t="s">
        <v>95</v>
      </c>
    </row>
    <row r="166" spans="1:10">
      <c r="A166" s="2"/>
      <c r="B166" s="2"/>
      <c r="C166" t="s">
        <v>96</v>
      </c>
      <c r="D166" s="134">
        <v>1940</v>
      </c>
      <c r="E166" s="142">
        <v>41768</v>
      </c>
      <c r="F166">
        <v>200</v>
      </c>
      <c r="G166" t="s">
        <v>97</v>
      </c>
      <c r="I166" t="s">
        <v>112</v>
      </c>
    </row>
    <row r="167" spans="1:10">
      <c r="A167" s="2"/>
      <c r="B167" s="2"/>
      <c r="C167" t="s">
        <v>98</v>
      </c>
      <c r="D167" s="134"/>
    </row>
    <row r="168" spans="1:10">
      <c r="A168" s="2"/>
      <c r="B168" s="2"/>
      <c r="C168" t="s">
        <v>99</v>
      </c>
      <c r="D168" s="134"/>
      <c r="J168" t="s">
        <v>118</v>
      </c>
    </row>
    <row r="169" spans="1:10">
      <c r="A169" s="2"/>
      <c r="B169" s="2"/>
      <c r="C169" t="s">
        <v>100</v>
      </c>
      <c r="D169" s="134"/>
      <c r="G169" t="s">
        <v>115</v>
      </c>
    </row>
    <row r="170" spans="1:10">
      <c r="C170" t="s">
        <v>455</v>
      </c>
      <c r="D170" s="178" t="s">
        <v>347</v>
      </c>
      <c r="E170" s="142">
        <v>41768</v>
      </c>
      <c r="F170">
        <v>50</v>
      </c>
      <c r="G170" t="s">
        <v>457</v>
      </c>
    </row>
    <row r="171" spans="1:10">
      <c r="C171" t="s">
        <v>824</v>
      </c>
      <c r="D171" s="134" t="s">
        <v>561</v>
      </c>
      <c r="E171" s="142">
        <v>41768</v>
      </c>
      <c r="F171">
        <v>100</v>
      </c>
      <c r="G171" t="s">
        <v>831</v>
      </c>
    </row>
    <row r="172" spans="1:10">
      <c r="C172" t="s">
        <v>786</v>
      </c>
      <c r="D172" s="134">
        <v>1949</v>
      </c>
      <c r="E172" s="142">
        <v>41896</v>
      </c>
      <c r="F172">
        <v>300</v>
      </c>
    </row>
    <row r="173" spans="1:10">
      <c r="A173" s="2"/>
      <c r="B173" s="2"/>
      <c r="D173" s="134"/>
    </row>
    <row r="174" spans="1:10">
      <c r="A174" s="2" t="s">
        <v>16</v>
      </c>
      <c r="B174" s="2">
        <f>SUM(F174:F187)</f>
        <v>1330</v>
      </c>
      <c r="C174" t="s">
        <v>430</v>
      </c>
      <c r="D174" s="134" t="s">
        <v>561</v>
      </c>
      <c r="E174" s="142">
        <v>41922</v>
      </c>
      <c r="F174">
        <v>200</v>
      </c>
    </row>
    <row r="175" spans="1:10">
      <c r="A175" s="2"/>
      <c r="B175" s="2"/>
      <c r="C175" t="s">
        <v>88</v>
      </c>
      <c r="D175" s="134" t="s">
        <v>347</v>
      </c>
      <c r="E175" s="142">
        <v>41649</v>
      </c>
      <c r="F175">
        <v>100</v>
      </c>
      <c r="G175" t="s">
        <v>89</v>
      </c>
      <c r="I175" t="s">
        <v>109</v>
      </c>
    </row>
    <row r="176" spans="1:10">
      <c r="A176" s="2"/>
      <c r="B176" s="2"/>
      <c r="C176" t="s">
        <v>90</v>
      </c>
      <c r="D176" s="134" t="s">
        <v>561</v>
      </c>
      <c r="E176" s="142">
        <v>41649</v>
      </c>
      <c r="F176">
        <v>150</v>
      </c>
      <c r="G176" t="s">
        <v>90</v>
      </c>
      <c r="I176" t="s">
        <v>444</v>
      </c>
    </row>
    <row r="177" spans="1:9">
      <c r="A177" s="2"/>
      <c r="B177" s="2"/>
      <c r="C177" t="s">
        <v>91</v>
      </c>
      <c r="D177" s="134" t="s">
        <v>561</v>
      </c>
      <c r="E177" s="142">
        <v>41769</v>
      </c>
      <c r="F177">
        <v>50</v>
      </c>
      <c r="G177" t="s">
        <v>92</v>
      </c>
      <c r="I177" t="s">
        <v>445</v>
      </c>
    </row>
    <row r="178" spans="1:9">
      <c r="A178" s="2"/>
      <c r="B178" s="2"/>
      <c r="C178" t="s">
        <v>91</v>
      </c>
      <c r="D178" s="134" t="s">
        <v>561</v>
      </c>
      <c r="E178" s="142">
        <v>41769</v>
      </c>
      <c r="F178">
        <v>100</v>
      </c>
      <c r="G178" t="s">
        <v>436</v>
      </c>
      <c r="I178" t="s">
        <v>437</v>
      </c>
    </row>
    <row r="179" spans="1:9">
      <c r="A179" s="2"/>
      <c r="B179" s="2"/>
      <c r="C179" t="s">
        <v>93</v>
      </c>
      <c r="D179" s="134"/>
      <c r="F179">
        <v>250</v>
      </c>
      <c r="G179" t="s">
        <v>94</v>
      </c>
      <c r="I179" t="s">
        <v>110</v>
      </c>
    </row>
    <row r="180" spans="1:9">
      <c r="A180" s="2"/>
      <c r="B180" s="2"/>
      <c r="C180" t="s">
        <v>93</v>
      </c>
      <c r="D180" s="134"/>
      <c r="F180">
        <v>30</v>
      </c>
      <c r="G180" t="s">
        <v>95</v>
      </c>
    </row>
    <row r="181" spans="1:9">
      <c r="A181" s="2"/>
      <c r="B181" s="2"/>
      <c r="C181" t="s">
        <v>96</v>
      </c>
      <c r="D181" s="134"/>
      <c r="G181" t="s">
        <v>97</v>
      </c>
      <c r="I181" t="s">
        <v>112</v>
      </c>
    </row>
    <row r="182" spans="1:9">
      <c r="A182" s="2"/>
      <c r="B182" s="2"/>
      <c r="C182" t="s">
        <v>98</v>
      </c>
      <c r="D182" s="134"/>
    </row>
    <row r="183" spans="1:9">
      <c r="A183" s="2"/>
      <c r="B183" s="2"/>
      <c r="C183" t="s">
        <v>99</v>
      </c>
      <c r="D183" s="134"/>
    </row>
    <row r="184" spans="1:9">
      <c r="C184" t="s">
        <v>100</v>
      </c>
      <c r="D184" s="134"/>
      <c r="G184" t="s">
        <v>119</v>
      </c>
    </row>
    <row r="185" spans="1:9">
      <c r="A185" s="2"/>
      <c r="B185" s="2"/>
      <c r="C185" t="s">
        <v>455</v>
      </c>
      <c r="D185" s="134" t="s">
        <v>347</v>
      </c>
      <c r="E185" s="142">
        <v>41769</v>
      </c>
      <c r="F185">
        <v>50</v>
      </c>
      <c r="G185" t="s">
        <v>457</v>
      </c>
    </row>
    <row r="186" spans="1:9">
      <c r="A186" s="2"/>
      <c r="B186" s="2"/>
      <c r="C186" t="s">
        <v>824</v>
      </c>
      <c r="D186" s="134" t="s">
        <v>561</v>
      </c>
      <c r="E186" s="142">
        <v>41769</v>
      </c>
      <c r="F186">
        <v>100</v>
      </c>
      <c r="G186" t="s">
        <v>830</v>
      </c>
    </row>
    <row r="187" spans="1:9">
      <c r="A187" s="2"/>
      <c r="B187" s="2"/>
      <c r="C187" t="s">
        <v>786</v>
      </c>
      <c r="D187" s="134">
        <v>1963</v>
      </c>
      <c r="E187" s="142">
        <v>41938</v>
      </c>
      <c r="F187">
        <v>300</v>
      </c>
    </row>
    <row r="188" spans="1:9">
      <c r="A188" s="2"/>
      <c r="B188" s="2"/>
      <c r="D188" s="134"/>
    </row>
    <row r="189" spans="1:9">
      <c r="A189" s="2" t="s">
        <v>17</v>
      </c>
      <c r="B189" s="2">
        <f>SUM(F189:F202)</f>
        <v>1250</v>
      </c>
      <c r="C189" t="s">
        <v>430</v>
      </c>
      <c r="D189" s="134" t="s">
        <v>561</v>
      </c>
      <c r="E189" s="142">
        <v>41923</v>
      </c>
      <c r="F189">
        <v>200</v>
      </c>
    </row>
    <row r="190" spans="1:9">
      <c r="A190" s="2"/>
      <c r="B190" s="2"/>
      <c r="C190" t="s">
        <v>88</v>
      </c>
      <c r="D190" s="134" t="s">
        <v>347</v>
      </c>
      <c r="E190" s="142">
        <v>41650</v>
      </c>
      <c r="F190">
        <v>100</v>
      </c>
      <c r="G190" t="s">
        <v>89</v>
      </c>
      <c r="I190" t="s">
        <v>109</v>
      </c>
    </row>
    <row r="191" spans="1:9">
      <c r="A191" s="2"/>
      <c r="B191" s="2"/>
      <c r="C191" t="s">
        <v>90</v>
      </c>
      <c r="D191" s="134" t="s">
        <v>561</v>
      </c>
      <c r="E191" s="142">
        <v>41650</v>
      </c>
      <c r="F191">
        <v>150</v>
      </c>
      <c r="G191" t="s">
        <v>90</v>
      </c>
      <c r="I191" t="s">
        <v>444</v>
      </c>
    </row>
    <row r="192" spans="1:9">
      <c r="A192" s="2"/>
      <c r="B192" s="2"/>
      <c r="C192" t="s">
        <v>91</v>
      </c>
      <c r="D192" s="134" t="s">
        <v>561</v>
      </c>
      <c r="E192" s="142">
        <v>41770</v>
      </c>
      <c r="F192">
        <v>50</v>
      </c>
      <c r="G192" t="s">
        <v>92</v>
      </c>
      <c r="I192" t="s">
        <v>445</v>
      </c>
    </row>
    <row r="193" spans="1:9">
      <c r="A193" s="2"/>
      <c r="B193" s="2"/>
      <c r="C193" t="s">
        <v>91</v>
      </c>
      <c r="D193" s="134" t="s">
        <v>561</v>
      </c>
      <c r="E193" s="142">
        <v>41770</v>
      </c>
      <c r="F193">
        <v>100</v>
      </c>
      <c r="G193" t="s">
        <v>436</v>
      </c>
      <c r="I193" t="s">
        <v>437</v>
      </c>
    </row>
    <row r="194" spans="1:9">
      <c r="A194" s="2"/>
      <c r="B194" s="2"/>
      <c r="C194" t="s">
        <v>93</v>
      </c>
      <c r="D194" s="134"/>
      <c r="G194" t="s">
        <v>94</v>
      </c>
      <c r="I194" t="s">
        <v>110</v>
      </c>
    </row>
    <row r="195" spans="1:9">
      <c r="A195" s="2"/>
      <c r="B195" s="2"/>
      <c r="C195" t="s">
        <v>93</v>
      </c>
      <c r="D195" s="134"/>
      <c r="G195" t="s">
        <v>95</v>
      </c>
    </row>
    <row r="196" spans="1:9">
      <c r="C196" t="s">
        <v>96</v>
      </c>
      <c r="D196" s="134"/>
      <c r="G196" t="s">
        <v>97</v>
      </c>
      <c r="I196" t="s">
        <v>112</v>
      </c>
    </row>
    <row r="197" spans="1:9">
      <c r="C197" t="s">
        <v>98</v>
      </c>
      <c r="D197" s="134"/>
    </row>
    <row r="198" spans="1:9">
      <c r="C198" t="s">
        <v>99</v>
      </c>
      <c r="D198" s="134"/>
      <c r="F198">
        <v>100</v>
      </c>
    </row>
    <row r="199" spans="1:9">
      <c r="C199" t="s">
        <v>100</v>
      </c>
      <c r="D199" s="134"/>
      <c r="F199">
        <v>100</v>
      </c>
      <c r="G199" t="s">
        <v>119</v>
      </c>
    </row>
    <row r="200" spans="1:9">
      <c r="C200" t="s">
        <v>455</v>
      </c>
      <c r="D200" s="134" t="s">
        <v>347</v>
      </c>
      <c r="E200" s="142">
        <v>41770</v>
      </c>
      <c r="F200">
        <v>50</v>
      </c>
      <c r="G200" t="s">
        <v>457</v>
      </c>
    </row>
    <row r="201" spans="1:9">
      <c r="C201" t="s">
        <v>824</v>
      </c>
      <c r="D201" s="134" t="s">
        <v>561</v>
      </c>
      <c r="E201" s="142">
        <v>41770</v>
      </c>
      <c r="F201">
        <v>100</v>
      </c>
      <c r="G201" t="s">
        <v>830</v>
      </c>
    </row>
    <row r="202" spans="1:9">
      <c r="C202" t="s">
        <v>786</v>
      </c>
      <c r="D202" s="134">
        <v>1967</v>
      </c>
      <c r="E202" s="142">
        <v>41945</v>
      </c>
      <c r="F202">
        <v>300</v>
      </c>
    </row>
    <row r="203" spans="1:9">
      <c r="D203" s="134"/>
    </row>
    <row r="204" spans="1:9">
      <c r="A204" s="2" t="s">
        <v>18</v>
      </c>
      <c r="B204" s="2">
        <f>SUM(F204:F217)</f>
        <v>1400</v>
      </c>
      <c r="C204" t="s">
        <v>430</v>
      </c>
      <c r="D204" s="134" t="s">
        <v>561</v>
      </c>
      <c r="E204" s="142">
        <v>41924</v>
      </c>
      <c r="F204">
        <v>200</v>
      </c>
    </row>
    <row r="205" spans="1:9">
      <c r="C205" t="s">
        <v>88</v>
      </c>
      <c r="D205" s="134" t="s">
        <v>347</v>
      </c>
      <c r="E205" s="142">
        <v>41651</v>
      </c>
      <c r="F205">
        <v>100</v>
      </c>
      <c r="G205" t="s">
        <v>89</v>
      </c>
      <c r="I205" t="s">
        <v>109</v>
      </c>
    </row>
    <row r="206" spans="1:9">
      <c r="C206" t="s">
        <v>90</v>
      </c>
      <c r="D206" s="134" t="s">
        <v>561</v>
      </c>
      <c r="E206" s="142">
        <v>41651</v>
      </c>
      <c r="F206">
        <v>150</v>
      </c>
      <c r="G206" t="s">
        <v>90</v>
      </c>
      <c r="I206" t="s">
        <v>444</v>
      </c>
    </row>
    <row r="207" spans="1:9">
      <c r="C207" t="s">
        <v>91</v>
      </c>
      <c r="D207" s="134" t="s">
        <v>561</v>
      </c>
      <c r="E207" s="142">
        <v>41771</v>
      </c>
      <c r="F207">
        <v>50</v>
      </c>
      <c r="G207" t="s">
        <v>92</v>
      </c>
      <c r="I207" t="s">
        <v>445</v>
      </c>
    </row>
    <row r="208" spans="1:9">
      <c r="C208" t="s">
        <v>91</v>
      </c>
      <c r="D208" s="134" t="s">
        <v>561</v>
      </c>
      <c r="E208" s="142">
        <v>41771</v>
      </c>
      <c r="F208">
        <v>100</v>
      </c>
      <c r="G208" t="s">
        <v>436</v>
      </c>
      <c r="I208" t="s">
        <v>437</v>
      </c>
    </row>
    <row r="209" spans="3:10">
      <c r="C209" t="s">
        <v>93</v>
      </c>
      <c r="D209" s="134"/>
      <c r="G209" t="s">
        <v>94</v>
      </c>
      <c r="I209" t="s">
        <v>110</v>
      </c>
    </row>
    <row r="210" spans="3:10">
      <c r="C210" t="s">
        <v>93</v>
      </c>
      <c r="D210" s="134"/>
      <c r="G210" t="s">
        <v>95</v>
      </c>
    </row>
    <row r="211" spans="3:10">
      <c r="C211" t="s">
        <v>96</v>
      </c>
      <c r="D211" s="134"/>
      <c r="F211">
        <v>200</v>
      </c>
      <c r="G211" t="s">
        <v>97</v>
      </c>
      <c r="I211" t="s">
        <v>112</v>
      </c>
    </row>
    <row r="212" spans="3:10">
      <c r="C212" t="s">
        <v>98</v>
      </c>
      <c r="D212" s="134"/>
      <c r="J212" t="s">
        <v>118</v>
      </c>
    </row>
    <row r="213" spans="3:10">
      <c r="C213" t="s">
        <v>99</v>
      </c>
      <c r="D213" s="134"/>
    </row>
    <row r="214" spans="3:10">
      <c r="C214" t="s">
        <v>100</v>
      </c>
      <c r="D214" s="134"/>
      <c r="G214" t="s">
        <v>115</v>
      </c>
    </row>
    <row r="215" spans="3:10">
      <c r="C215" t="s">
        <v>455</v>
      </c>
      <c r="D215" s="134" t="s">
        <v>347</v>
      </c>
      <c r="E215" s="142">
        <v>41771</v>
      </c>
      <c r="G215" t="s">
        <v>457</v>
      </c>
    </row>
    <row r="216" spans="3:10">
      <c r="C216" t="s">
        <v>824</v>
      </c>
      <c r="D216" s="134" t="s">
        <v>561</v>
      </c>
      <c r="E216" s="142">
        <v>41771</v>
      </c>
      <c r="F216">
        <v>100</v>
      </c>
      <c r="G216" t="s">
        <v>830</v>
      </c>
    </row>
    <row r="217" spans="3:10">
      <c r="C217" t="s">
        <v>786</v>
      </c>
      <c r="D217" s="134">
        <v>1980</v>
      </c>
      <c r="E217" s="142">
        <v>42001</v>
      </c>
      <c r="F217">
        <v>500</v>
      </c>
    </row>
    <row r="218" spans="3:10">
      <c r="E218" s="24"/>
      <c r="F218" s="30">
        <f>SUM(F49:F217)</f>
        <v>15370</v>
      </c>
    </row>
  </sheetData>
  <sheetProtection selectLockedCells="1" selectUnlockedCells="1"/>
  <pageMargins left="0.75" right="0.75" top="1" bottom="1" header="0.51180555555555551" footer="0.51180555555555551"/>
  <pageSetup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A4" zoomScale="84" zoomScaleNormal="84" workbookViewId="0">
      <pane ySplit="1335" activePane="bottomLeft"/>
      <selection activeCell="H89" sqref="H89"/>
      <selection pane="bottomLeft" activeCell="C59" sqref="C59"/>
    </sheetView>
  </sheetViews>
  <sheetFormatPr defaultColWidth="11.5703125" defaultRowHeight="15.75"/>
  <cols>
    <col min="1" max="1" width="46.140625" style="114" customWidth="1"/>
    <col min="2" max="2" width="14.85546875" style="39" customWidth="1"/>
    <col min="3" max="3" width="12.42578125" style="39" customWidth="1"/>
    <col min="4" max="7" width="12.28515625" style="39" customWidth="1"/>
    <col min="8" max="8" width="12.42578125" style="39" customWidth="1"/>
    <col min="9" max="10" width="12.28515625" style="39" customWidth="1"/>
    <col min="11" max="11" width="12.42578125" style="39" customWidth="1"/>
    <col min="12" max="12" width="12.28515625" style="39" customWidth="1"/>
    <col min="13" max="13" width="12.42578125" style="39" customWidth="1"/>
    <col min="14" max="14" width="12.28515625" style="39" customWidth="1"/>
    <col min="15" max="15" width="12.42578125" style="39" customWidth="1"/>
    <col min="16" max="16384" width="11.5703125" style="39"/>
  </cols>
  <sheetData>
    <row r="1" spans="1:15">
      <c r="A1" s="272" t="s">
        <v>470</v>
      </c>
      <c r="B1" s="40"/>
    </row>
    <row r="2" spans="1:15">
      <c r="A2" s="288" t="s">
        <v>586</v>
      </c>
    </row>
    <row r="3" spans="1:15">
      <c r="A3" s="114" t="s">
        <v>258</v>
      </c>
      <c r="B3" s="39" t="s">
        <v>259</v>
      </c>
    </row>
    <row r="4" spans="1:15">
      <c r="B4" s="347" t="s">
        <v>260</v>
      </c>
      <c r="C4" s="347" t="s">
        <v>141</v>
      </c>
      <c r="D4" s="347" t="s">
        <v>148</v>
      </c>
      <c r="E4" s="347" t="s">
        <v>154</v>
      </c>
      <c r="F4" s="347" t="s">
        <v>156</v>
      </c>
      <c r="G4" s="347" t="s">
        <v>10</v>
      </c>
      <c r="H4" s="347" t="s">
        <v>158</v>
      </c>
      <c r="I4" s="347" t="s">
        <v>159</v>
      </c>
      <c r="J4" s="347" t="s">
        <v>161</v>
      </c>
      <c r="K4" s="347" t="s">
        <v>163</v>
      </c>
      <c r="L4" s="347" t="s">
        <v>165</v>
      </c>
      <c r="M4" s="347" t="s">
        <v>167</v>
      </c>
      <c r="N4" s="347" t="s">
        <v>168</v>
      </c>
      <c r="O4" s="347" t="s">
        <v>82</v>
      </c>
    </row>
    <row r="5" spans="1:15">
      <c r="A5" s="115" t="s">
        <v>308</v>
      </c>
    </row>
    <row r="6" spans="1:15">
      <c r="A6" s="116" t="s">
        <v>252</v>
      </c>
      <c r="B6" s="39">
        <v>33</v>
      </c>
      <c r="C6" s="43">
        <f>Jan!$G$14</f>
        <v>800</v>
      </c>
      <c r="D6" s="43">
        <f>Feb!$G$14</f>
        <v>800</v>
      </c>
      <c r="E6" s="43">
        <f>Mar!$G$14</f>
        <v>800</v>
      </c>
      <c r="F6" s="43">
        <f>Apr!$G$14</f>
        <v>800</v>
      </c>
      <c r="G6" s="43">
        <f>May!$G$14</f>
        <v>800</v>
      </c>
      <c r="H6" s="43">
        <f>Jun!$G$14</f>
        <v>800</v>
      </c>
      <c r="I6" s="43">
        <f>July!$G$14</f>
        <v>800</v>
      </c>
      <c r="J6" s="43">
        <f>Aug!$G$14</f>
        <v>800</v>
      </c>
      <c r="K6" s="43">
        <f>Sep!$G$14</f>
        <v>800</v>
      </c>
      <c r="L6" s="43">
        <f>Oct!$G$14</f>
        <v>800</v>
      </c>
      <c r="M6" s="43">
        <f>Nov!$G$14</f>
        <v>800</v>
      </c>
      <c r="N6" s="43">
        <f>Dec!$G$14</f>
        <v>0</v>
      </c>
      <c r="O6" s="39">
        <f>SUM(B6:N6)</f>
        <v>8833</v>
      </c>
    </row>
    <row r="7" spans="1:15">
      <c r="A7" s="116" t="s">
        <v>261</v>
      </c>
      <c r="C7" s="43"/>
      <c r="D7" s="43"/>
      <c r="E7" s="43"/>
      <c r="F7" s="43"/>
      <c r="G7" s="43"/>
      <c r="H7" s="43">
        <v>4560</v>
      </c>
      <c r="I7" s="43"/>
      <c r="J7" s="43"/>
      <c r="K7" s="43"/>
      <c r="L7" s="43"/>
      <c r="M7" s="43"/>
      <c r="N7" s="43">
        <v>4626</v>
      </c>
      <c r="O7" s="43">
        <f>SUM(B7:N7)</f>
        <v>9186</v>
      </c>
    </row>
    <row r="8" spans="1:15">
      <c r="A8" s="116" t="s">
        <v>262</v>
      </c>
      <c r="B8" s="44">
        <f t="shared" ref="B8:O8" si="0">B6-B7</f>
        <v>33</v>
      </c>
      <c r="C8" s="45">
        <f t="shared" si="0"/>
        <v>800</v>
      </c>
      <c r="D8" s="45">
        <f t="shared" si="0"/>
        <v>800</v>
      </c>
      <c r="E8" s="45">
        <f t="shared" si="0"/>
        <v>800</v>
      </c>
      <c r="F8" s="45">
        <f t="shared" si="0"/>
        <v>800</v>
      </c>
      <c r="G8" s="45">
        <f t="shared" si="0"/>
        <v>800</v>
      </c>
      <c r="H8" s="45">
        <f t="shared" si="0"/>
        <v>-3760</v>
      </c>
      <c r="I8" s="45">
        <f t="shared" si="0"/>
        <v>800</v>
      </c>
      <c r="J8" s="45">
        <f t="shared" si="0"/>
        <v>800</v>
      </c>
      <c r="K8" s="45">
        <f t="shared" si="0"/>
        <v>800</v>
      </c>
      <c r="L8" s="45">
        <f t="shared" si="0"/>
        <v>800</v>
      </c>
      <c r="M8" s="45">
        <f t="shared" si="0"/>
        <v>800</v>
      </c>
      <c r="N8" s="45">
        <f t="shared" si="0"/>
        <v>-4626</v>
      </c>
      <c r="O8" s="45">
        <f t="shared" si="0"/>
        <v>-353</v>
      </c>
    </row>
    <row r="9" spans="1:15">
      <c r="A9" s="116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5">
      <c r="A10" s="117" t="s">
        <v>254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5">
      <c r="A11" s="116" t="s">
        <v>33</v>
      </c>
      <c r="B11" s="39">
        <v>800</v>
      </c>
      <c r="C11" s="43">
        <f>Jan!$G$15</f>
        <v>200</v>
      </c>
      <c r="D11" s="43">
        <f>Feb!$G$15</f>
        <v>200</v>
      </c>
      <c r="E11" s="43">
        <f>Mar!$G$15</f>
        <v>200</v>
      </c>
      <c r="F11" s="43">
        <f>Apr!$G$15</f>
        <v>200</v>
      </c>
      <c r="G11" s="43">
        <f>May!$G$15</f>
        <v>200</v>
      </c>
      <c r="H11" s="43">
        <f>Jun!$G$15</f>
        <v>200</v>
      </c>
      <c r="I11" s="43">
        <f>July!$G$15</f>
        <v>200</v>
      </c>
      <c r="J11" s="43">
        <f>Aug!$G$15</f>
        <v>200</v>
      </c>
      <c r="K11" s="43">
        <f>Sep!$G$15</f>
        <v>200</v>
      </c>
      <c r="L11" s="43">
        <f>Oct!$G$15</f>
        <v>200</v>
      </c>
      <c r="M11" s="43">
        <f>Nov!$G$15</f>
        <v>200</v>
      </c>
      <c r="N11" s="43">
        <f>Dec!$G$15</f>
        <v>0</v>
      </c>
      <c r="O11" s="43">
        <f>SUM(B11:N11)</f>
        <v>3000</v>
      </c>
    </row>
    <row r="12" spans="1:15">
      <c r="A12" s="116" t="s">
        <v>326</v>
      </c>
      <c r="B12" s="39">
        <v>0</v>
      </c>
      <c r="C12" s="43">
        <v>-1200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>
        <f>SUM(B12:N12)</f>
        <v>-1200</v>
      </c>
    </row>
    <row r="13" spans="1:15">
      <c r="A13" s="116" t="s">
        <v>318</v>
      </c>
      <c r="B13" s="39">
        <v>1030</v>
      </c>
      <c r="C13" s="43">
        <f>Jan!$G$16</f>
        <v>300</v>
      </c>
      <c r="D13" s="43">
        <f>Feb!$G$16</f>
        <v>300</v>
      </c>
      <c r="E13" s="43">
        <f>Mar!$G$16</f>
        <v>300</v>
      </c>
      <c r="F13" s="43">
        <f>Apr!$G$16</f>
        <v>300</v>
      </c>
      <c r="G13" s="43">
        <f>May!$G$16</f>
        <v>300</v>
      </c>
      <c r="H13" s="43">
        <f>Jun!$G$16</f>
        <v>300</v>
      </c>
      <c r="I13" s="43">
        <f>July!$G$16</f>
        <v>300</v>
      </c>
      <c r="J13" s="43">
        <f>Aug!$G$16</f>
        <v>300</v>
      </c>
      <c r="K13" s="43">
        <f>Sep!$G$16</f>
        <v>300</v>
      </c>
      <c r="L13" s="43">
        <f>Oct!$G$16</f>
        <v>300</v>
      </c>
      <c r="M13" s="43">
        <f>Nov!$G$16</f>
        <v>300</v>
      </c>
      <c r="N13" s="43">
        <f>Dec!$G$16</f>
        <v>0</v>
      </c>
      <c r="O13" s="43">
        <f>SUM(B13:N13)</f>
        <v>4330</v>
      </c>
    </row>
    <row r="14" spans="1:15">
      <c r="A14" s="116" t="s">
        <v>319</v>
      </c>
      <c r="B14" s="39">
        <v>0</v>
      </c>
      <c r="C14" s="43"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>
        <f>SUM(B14:N14)</f>
        <v>0</v>
      </c>
    </row>
    <row r="15" spans="1:15">
      <c r="A15" s="116" t="s">
        <v>262</v>
      </c>
      <c r="B15" s="44">
        <f>SUM(B11:B14)</f>
        <v>1830</v>
      </c>
      <c r="C15" s="44">
        <f t="shared" ref="C15:O15" si="1">SUM(C11:C14)</f>
        <v>-700</v>
      </c>
      <c r="D15" s="44">
        <f t="shared" si="1"/>
        <v>500</v>
      </c>
      <c r="E15" s="44">
        <f t="shared" si="1"/>
        <v>500</v>
      </c>
      <c r="F15" s="44">
        <f t="shared" si="1"/>
        <v>500</v>
      </c>
      <c r="G15" s="44">
        <f t="shared" si="1"/>
        <v>500</v>
      </c>
      <c r="H15" s="44">
        <f t="shared" si="1"/>
        <v>500</v>
      </c>
      <c r="I15" s="44">
        <f t="shared" si="1"/>
        <v>500</v>
      </c>
      <c r="J15" s="44">
        <f t="shared" si="1"/>
        <v>500</v>
      </c>
      <c r="K15" s="44">
        <f t="shared" si="1"/>
        <v>500</v>
      </c>
      <c r="L15" s="44">
        <f t="shared" si="1"/>
        <v>500</v>
      </c>
      <c r="M15" s="44">
        <f t="shared" si="1"/>
        <v>500</v>
      </c>
      <c r="N15" s="44">
        <f t="shared" si="1"/>
        <v>0</v>
      </c>
      <c r="O15" s="44">
        <f t="shared" si="1"/>
        <v>6130</v>
      </c>
    </row>
    <row r="16" spans="1:15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1:15">
      <c r="A17" s="117" t="s">
        <v>566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ht="16.5" thickBot="1">
      <c r="A18" s="116" t="s">
        <v>567</v>
      </c>
      <c r="B18" s="39">
        <v>0</v>
      </c>
      <c r="C18" s="43">
        <f>Jan!$G$17</f>
        <v>200</v>
      </c>
      <c r="D18" s="43">
        <f>Feb!$G$17</f>
        <v>200</v>
      </c>
      <c r="E18" s="43">
        <f>Mar!$G$17</f>
        <v>200</v>
      </c>
      <c r="F18" s="43">
        <f>Apr!$G$17</f>
        <v>200</v>
      </c>
      <c r="G18" s="43">
        <f>May!$G$17</f>
        <v>200</v>
      </c>
      <c r="H18" s="43">
        <f>Jun!$G$17</f>
        <v>200</v>
      </c>
      <c r="I18" s="43">
        <f>July!$G$17</f>
        <v>200</v>
      </c>
      <c r="J18" s="43">
        <f>Aug!$G$17</f>
        <v>200</v>
      </c>
      <c r="K18" s="43">
        <f>Sep!$G$17</f>
        <v>200</v>
      </c>
      <c r="L18" s="43">
        <f>Oct!$G$17</f>
        <v>200</v>
      </c>
      <c r="M18" s="43">
        <f>Nov!$G$17</f>
        <v>200</v>
      </c>
      <c r="N18" s="43">
        <f>Dec!$G$17</f>
        <v>0</v>
      </c>
      <c r="O18" s="43">
        <f t="shared" ref="O18:O26" si="2">SUM(B18:N18)</f>
        <v>2200</v>
      </c>
    </row>
    <row r="19" spans="1:15" ht="16.5" thickBot="1">
      <c r="A19" s="116" t="s">
        <v>829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393">
        <f>SUM(O20:O24)</f>
        <v>5933.6</v>
      </c>
    </row>
    <row r="20" spans="1:15" ht="13.5">
      <c r="A20" s="54" t="s">
        <v>514</v>
      </c>
      <c r="B20" s="39">
        <v>0</v>
      </c>
      <c r="C20" s="43">
        <f>Jan!G156</f>
        <v>0</v>
      </c>
      <c r="D20" s="43">
        <f>Feb!G156</f>
        <v>0</v>
      </c>
      <c r="E20" s="43">
        <f>Mar!G156</f>
        <v>0</v>
      </c>
      <c r="F20" s="43">
        <f>Apr!G156</f>
        <v>0</v>
      </c>
      <c r="G20" s="43">
        <f>May!G156</f>
        <v>0</v>
      </c>
      <c r="H20" s="43">
        <f>Jun!G156</f>
        <v>0</v>
      </c>
      <c r="I20" s="43">
        <f>July!G156</f>
        <v>0</v>
      </c>
      <c r="J20" s="43">
        <f>Aug!G156</f>
        <v>0</v>
      </c>
      <c r="K20" s="43">
        <f>Sep!G156</f>
        <v>0</v>
      </c>
      <c r="L20" s="43">
        <f>Oct!G156</f>
        <v>0</v>
      </c>
      <c r="M20" s="43">
        <f>Nov!G156</f>
        <v>0</v>
      </c>
      <c r="N20" s="43">
        <f>Dec!G156</f>
        <v>0</v>
      </c>
      <c r="O20" s="43">
        <f t="shared" si="2"/>
        <v>0</v>
      </c>
    </row>
    <row r="21" spans="1:15" ht="13.5">
      <c r="A21" s="54" t="s">
        <v>515</v>
      </c>
      <c r="B21" s="39">
        <v>0</v>
      </c>
      <c r="C21" s="43">
        <f>Jan!G157</f>
        <v>0</v>
      </c>
      <c r="D21" s="43">
        <f>Feb!G157</f>
        <v>0</v>
      </c>
      <c r="E21" s="43">
        <f>Mar!G157</f>
        <v>0</v>
      </c>
      <c r="F21" s="43">
        <f>Apr!G157</f>
        <v>0</v>
      </c>
      <c r="G21" s="43">
        <f>May!G157</f>
        <v>5223.6000000000004</v>
      </c>
      <c r="H21" s="43">
        <f>Jun!G157</f>
        <v>0</v>
      </c>
      <c r="I21" s="43">
        <f>July!G157</f>
        <v>0</v>
      </c>
      <c r="J21" s="43">
        <f>Aug!G157</f>
        <v>0</v>
      </c>
      <c r="K21" s="43">
        <f>Sep!G157</f>
        <v>0</v>
      </c>
      <c r="L21" s="43">
        <f>Oct!G157</f>
        <v>0</v>
      </c>
      <c r="M21" s="43">
        <f>Nov!G157</f>
        <v>0</v>
      </c>
      <c r="N21" s="43">
        <f>Dec!G157</f>
        <v>0</v>
      </c>
      <c r="O21" s="43">
        <f t="shared" si="2"/>
        <v>5223.6000000000004</v>
      </c>
    </row>
    <row r="22" spans="1:15" ht="13.5">
      <c r="A22" s="54" t="s">
        <v>545</v>
      </c>
      <c r="B22" s="39">
        <v>0</v>
      </c>
      <c r="C22" s="43">
        <f>Jan!G158</f>
        <v>0</v>
      </c>
      <c r="D22" s="43">
        <f>Feb!G158</f>
        <v>0</v>
      </c>
      <c r="E22" s="43">
        <f>Mar!G158</f>
        <v>0</v>
      </c>
      <c r="F22" s="43">
        <f>Apr!G158</f>
        <v>0</v>
      </c>
      <c r="G22" s="43">
        <f>May!G158</f>
        <v>0</v>
      </c>
      <c r="H22" s="43">
        <f>Jun!G158</f>
        <v>0</v>
      </c>
      <c r="I22" s="43">
        <f>July!G158</f>
        <v>0</v>
      </c>
      <c r="J22" s="43">
        <f>Aug!G158</f>
        <v>0</v>
      </c>
      <c r="K22" s="43">
        <f>Sep!G158</f>
        <v>0</v>
      </c>
      <c r="L22" s="43">
        <f>Oct!G158</f>
        <v>500</v>
      </c>
      <c r="M22" s="43">
        <f>Nov!G158</f>
        <v>0</v>
      </c>
      <c r="N22" s="43">
        <f>Dec!G158</f>
        <v>0</v>
      </c>
      <c r="O22" s="43">
        <f t="shared" si="2"/>
        <v>500</v>
      </c>
    </row>
    <row r="23" spans="1:15" ht="13.5">
      <c r="A23" s="54" t="s">
        <v>516</v>
      </c>
      <c r="B23" s="39">
        <v>0</v>
      </c>
      <c r="C23" s="43">
        <f>Jan!G159</f>
        <v>0</v>
      </c>
      <c r="D23" s="43">
        <f>Feb!G159</f>
        <v>0</v>
      </c>
      <c r="E23" s="43">
        <f>Mar!G159</f>
        <v>0</v>
      </c>
      <c r="F23" s="43">
        <f>Apr!G159</f>
        <v>0</v>
      </c>
      <c r="G23" s="43">
        <f>May!G159</f>
        <v>0</v>
      </c>
      <c r="H23" s="43">
        <f>Jun!G159</f>
        <v>0</v>
      </c>
      <c r="I23" s="43">
        <f>July!G159</f>
        <v>0</v>
      </c>
      <c r="J23" s="43">
        <f>Aug!G159</f>
        <v>0</v>
      </c>
      <c r="K23" s="43">
        <f>Sep!G159</f>
        <v>0</v>
      </c>
      <c r="L23" s="43">
        <f>Oct!G159</f>
        <v>0</v>
      </c>
      <c r="M23" s="43">
        <f>Nov!G159</f>
        <v>0</v>
      </c>
      <c r="N23" s="43">
        <f>Dec!G159</f>
        <v>0</v>
      </c>
      <c r="O23" s="43">
        <f t="shared" si="2"/>
        <v>0</v>
      </c>
    </row>
    <row r="24" spans="1:15" ht="13.5">
      <c r="A24" s="54" t="s">
        <v>544</v>
      </c>
      <c r="B24" s="39">
        <v>0</v>
      </c>
      <c r="C24" s="43">
        <f>Jan!G160</f>
        <v>0</v>
      </c>
      <c r="D24" s="43">
        <f>Feb!G160</f>
        <v>0</v>
      </c>
      <c r="E24" s="43">
        <f>Mar!G160</f>
        <v>0</v>
      </c>
      <c r="F24" s="43">
        <f>Apr!G160</f>
        <v>210</v>
      </c>
      <c r="G24" s="43">
        <f>May!G160</f>
        <v>0</v>
      </c>
      <c r="H24" s="43">
        <f>Jun!G160</f>
        <v>0</v>
      </c>
      <c r="I24" s="43">
        <f>July!G160</f>
        <v>0</v>
      </c>
      <c r="J24" s="43">
        <f>Aug!G160</f>
        <v>0</v>
      </c>
      <c r="K24" s="43">
        <f>Sep!G160</f>
        <v>0</v>
      </c>
      <c r="L24" s="43">
        <f>Oct!G160</f>
        <v>0</v>
      </c>
      <c r="M24" s="43">
        <f>Nov!G160</f>
        <v>0</v>
      </c>
      <c r="N24" s="43">
        <f>Dec!G160</f>
        <v>0</v>
      </c>
      <c r="O24" s="43">
        <f t="shared" si="2"/>
        <v>210</v>
      </c>
    </row>
    <row r="25" spans="1:15" ht="13.5">
      <c r="A25" s="54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spans="1:15" ht="13.5">
      <c r="A26" s="54" t="s">
        <v>755</v>
      </c>
      <c r="C26" s="43">
        <f>C52</f>
        <v>0</v>
      </c>
      <c r="D26" s="43">
        <f t="shared" ref="D26:N26" si="3">D52</f>
        <v>0</v>
      </c>
      <c r="E26" s="43">
        <f t="shared" si="3"/>
        <v>0</v>
      </c>
      <c r="F26" s="43">
        <f t="shared" si="3"/>
        <v>0</v>
      </c>
      <c r="G26" s="43">
        <f t="shared" si="3"/>
        <v>0</v>
      </c>
      <c r="H26" s="43">
        <f t="shared" si="3"/>
        <v>0</v>
      </c>
      <c r="I26" s="43">
        <f t="shared" si="3"/>
        <v>0</v>
      </c>
      <c r="J26" s="43">
        <f t="shared" si="3"/>
        <v>0</v>
      </c>
      <c r="K26" s="43">
        <f t="shared" si="3"/>
        <v>0</v>
      </c>
      <c r="L26" s="43">
        <f t="shared" si="3"/>
        <v>0</v>
      </c>
      <c r="M26" s="43">
        <f t="shared" si="3"/>
        <v>0</v>
      </c>
      <c r="N26" s="43">
        <f t="shared" si="3"/>
        <v>0</v>
      </c>
      <c r="O26" s="43">
        <f t="shared" si="2"/>
        <v>0</v>
      </c>
    </row>
    <row r="27" spans="1:15">
      <c r="A27" s="116" t="s">
        <v>262</v>
      </c>
      <c r="B27" s="44">
        <f>B18-B20</f>
        <v>0</v>
      </c>
      <c r="C27" s="45">
        <f>C18-C19+C26</f>
        <v>200</v>
      </c>
      <c r="D27" s="45">
        <f t="shared" ref="D27:N27" si="4">D18-D19+D26</f>
        <v>200</v>
      </c>
      <c r="E27" s="45">
        <f t="shared" si="4"/>
        <v>200</v>
      </c>
      <c r="F27" s="45">
        <f t="shared" si="4"/>
        <v>200</v>
      </c>
      <c r="G27" s="45">
        <f t="shared" si="4"/>
        <v>200</v>
      </c>
      <c r="H27" s="45">
        <f t="shared" si="4"/>
        <v>200</v>
      </c>
      <c r="I27" s="45">
        <f t="shared" si="4"/>
        <v>200</v>
      </c>
      <c r="J27" s="45">
        <f t="shared" si="4"/>
        <v>200</v>
      </c>
      <c r="K27" s="45">
        <f t="shared" si="4"/>
        <v>200</v>
      </c>
      <c r="L27" s="45">
        <f t="shared" si="4"/>
        <v>200</v>
      </c>
      <c r="M27" s="45">
        <f t="shared" si="4"/>
        <v>200</v>
      </c>
      <c r="N27" s="45">
        <f t="shared" si="4"/>
        <v>0</v>
      </c>
      <c r="O27" s="45">
        <f>O18-O19</f>
        <v>-3733.6000000000004</v>
      </c>
    </row>
    <row r="28" spans="1:15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1:15">
      <c r="A29" s="117" t="s">
        <v>263</v>
      </c>
    </row>
    <row r="30" spans="1:15">
      <c r="A30" s="116" t="s">
        <v>252</v>
      </c>
      <c r="B30" s="39">
        <v>0</v>
      </c>
      <c r="C30" s="39">
        <f>Jan!$G$18</f>
        <v>50</v>
      </c>
      <c r="D30" s="39">
        <f>Feb!$G$18</f>
        <v>50</v>
      </c>
      <c r="E30" s="39">
        <f>Mar!$G$18</f>
        <v>50</v>
      </c>
      <c r="F30" s="39">
        <f>Apr!$G$18</f>
        <v>50</v>
      </c>
      <c r="G30" s="53">
        <f>May!$G$18</f>
        <v>50</v>
      </c>
      <c r="H30" s="39">
        <f>Jun!$G$18</f>
        <v>50</v>
      </c>
      <c r="I30" s="39">
        <f>July!$G$18</f>
        <v>50</v>
      </c>
      <c r="J30" s="39">
        <f>Aug!$G$18</f>
        <v>50</v>
      </c>
      <c r="K30" s="39">
        <f>Sep!$G$18</f>
        <v>50</v>
      </c>
      <c r="L30" s="39">
        <f>Oct!$G$18</f>
        <v>50</v>
      </c>
      <c r="M30" s="39">
        <f>Nov!$G$18</f>
        <v>50</v>
      </c>
      <c r="N30" s="39">
        <f>Dec!$G$18</f>
        <v>0</v>
      </c>
      <c r="O30" s="43">
        <f>SUM(B30:N30)</f>
        <v>550</v>
      </c>
    </row>
    <row r="31" spans="1:15">
      <c r="A31" s="116" t="s">
        <v>588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>
      <c r="A32" s="116" t="s">
        <v>262</v>
      </c>
      <c r="B32" s="44">
        <f>B30-B31</f>
        <v>0</v>
      </c>
      <c r="C32" s="45">
        <f>C30-C31</f>
        <v>50</v>
      </c>
      <c r="D32" s="45">
        <f t="shared" ref="D32:N32" si="5">D30-D31</f>
        <v>50</v>
      </c>
      <c r="E32" s="45">
        <f t="shared" si="5"/>
        <v>50</v>
      </c>
      <c r="F32" s="45">
        <f t="shared" si="5"/>
        <v>50</v>
      </c>
      <c r="G32" s="45">
        <f t="shared" si="5"/>
        <v>50</v>
      </c>
      <c r="H32" s="45">
        <f t="shared" si="5"/>
        <v>50</v>
      </c>
      <c r="I32" s="45">
        <f t="shared" si="5"/>
        <v>50</v>
      </c>
      <c r="J32" s="45">
        <f t="shared" si="5"/>
        <v>50</v>
      </c>
      <c r="K32" s="45">
        <f t="shared" si="5"/>
        <v>50</v>
      </c>
      <c r="L32" s="45">
        <f t="shared" si="5"/>
        <v>50</v>
      </c>
      <c r="M32" s="45">
        <f t="shared" si="5"/>
        <v>50</v>
      </c>
      <c r="N32" s="45">
        <f t="shared" si="5"/>
        <v>0</v>
      </c>
      <c r="O32" s="45">
        <f>O30-O31</f>
        <v>550</v>
      </c>
    </row>
    <row r="33" spans="1:15">
      <c r="A33" s="11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1:15">
      <c r="A35" s="117" t="s">
        <v>307</v>
      </c>
      <c r="B35" s="44"/>
      <c r="C35" s="45">
        <f>Jan!$G$30</f>
        <v>0</v>
      </c>
      <c r="D35" s="45">
        <f>Feb!$G$30</f>
        <v>0</v>
      </c>
      <c r="E35" s="45">
        <f>Mar!$G$30</f>
        <v>0</v>
      </c>
      <c r="F35" s="45">
        <f>Apr!$G$30</f>
        <v>1099</v>
      </c>
      <c r="G35" s="45">
        <f>May!$G$30</f>
        <v>0</v>
      </c>
      <c r="H35" s="45">
        <f>Jun!$G$30</f>
        <v>3429.62</v>
      </c>
      <c r="I35" s="45">
        <f>July!$G$30</f>
        <v>0</v>
      </c>
      <c r="J35" s="45">
        <f>Aug!$G$30</f>
        <v>0</v>
      </c>
      <c r="K35" s="45">
        <f>Sep!$G$30</f>
        <v>0</v>
      </c>
      <c r="L35" s="45">
        <f>Oct!$G$30</f>
        <v>0</v>
      </c>
      <c r="M35" s="45">
        <f>Nov!$G$30</f>
        <v>0</v>
      </c>
      <c r="N35" s="45">
        <f>Dec!$G$30</f>
        <v>0</v>
      </c>
      <c r="O35" s="45">
        <f>SUM(B35:N35)</f>
        <v>4528.62</v>
      </c>
    </row>
    <row r="36" spans="1:15">
      <c r="A36" s="121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119" t="s">
        <v>328</v>
      </c>
      <c r="B37" s="108"/>
      <c r="C37" s="109">
        <f>Jan!$G$33</f>
        <v>-131.16999999999962</v>
      </c>
      <c r="D37" s="109">
        <f>Feb!$G$33</f>
        <v>-319.89000000000124</v>
      </c>
      <c r="E37" s="109">
        <f>Mar!$G$33</f>
        <v>16111.56</v>
      </c>
      <c r="F37" s="109">
        <f>Apr!$G$33</f>
        <v>26.090000000001965</v>
      </c>
      <c r="G37" s="109">
        <f>May!$G$33</f>
        <v>-1609.9499999999989</v>
      </c>
      <c r="H37" s="109">
        <f>Jun!$G$33</f>
        <v>11435.46</v>
      </c>
      <c r="I37" s="109">
        <f>July!$G$33</f>
        <v>967.91000000000031</v>
      </c>
      <c r="J37" s="109">
        <f>Aug!$G$33</f>
        <v>6521.4000000000015</v>
      </c>
      <c r="K37" s="109">
        <f>Sep!$G$33</f>
        <v>1888.5300000000007</v>
      </c>
      <c r="L37" s="109">
        <f>Oct!$G$33</f>
        <v>-3181.6799999999985</v>
      </c>
      <c r="M37" s="109">
        <f>Nov!$G$33</f>
        <v>-3576.1099999999969</v>
      </c>
      <c r="N37" s="109">
        <f>Dec!$G$33</f>
        <v>2272.1700000000028</v>
      </c>
      <c r="O37" s="108">
        <f>SUM(B37:N37)</f>
        <v>30404.320000000007</v>
      </c>
    </row>
    <row r="38" spans="1:15">
      <c r="A38" s="121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118"/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</row>
    <row r="40" spans="1:15">
      <c r="A40" s="120" t="s">
        <v>277</v>
      </c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</row>
    <row r="41" spans="1:15">
      <c r="A41" s="121" t="s">
        <v>327</v>
      </c>
      <c r="B41" s="46">
        <v>0</v>
      </c>
      <c r="C41" s="48">
        <f>Jan!$G$26</f>
        <v>0</v>
      </c>
      <c r="D41" s="48">
        <f>Feb!$G$26</f>
        <v>0</v>
      </c>
      <c r="E41" s="48">
        <f>Mar!$G$26</f>
        <v>0</v>
      </c>
      <c r="F41" s="48">
        <f>Apr!$G$26</f>
        <v>0</v>
      </c>
      <c r="G41" s="48">
        <f>May!$G$26</f>
        <v>0</v>
      </c>
      <c r="H41" s="48">
        <f>Jun!$G$26</f>
        <v>0</v>
      </c>
      <c r="I41" s="48">
        <f>July!$G$26</f>
        <v>0</v>
      </c>
      <c r="J41" s="48">
        <f>Aug!$G$26</f>
        <v>0</v>
      </c>
      <c r="K41" s="48">
        <f>Sep!$G$26</f>
        <v>0</v>
      </c>
      <c r="L41" s="48">
        <f>Oct!$G$26</f>
        <v>0</v>
      </c>
      <c r="M41" s="48">
        <f>Nov!$G$26</f>
        <v>0</v>
      </c>
      <c r="N41" s="48">
        <f>Dec!$G$26</f>
        <v>0</v>
      </c>
      <c r="O41" s="49">
        <f>SUM(B41:N41)</f>
        <v>0</v>
      </c>
    </row>
    <row r="42" spans="1:15">
      <c r="A42" s="122" t="s">
        <v>306</v>
      </c>
      <c r="B42" s="49">
        <f>43428.34-378.57-500</f>
        <v>42549.77</v>
      </c>
      <c r="C42" s="293">
        <f>Jan!$G$33</f>
        <v>-131.16999999999962</v>
      </c>
      <c r="D42" s="293">
        <f>Feb!$G$33</f>
        <v>-319.89000000000124</v>
      </c>
      <c r="E42" s="293">
        <f>Mar!$G$33</f>
        <v>16111.56</v>
      </c>
      <c r="F42" s="293">
        <f>Apr!$G$33</f>
        <v>26.090000000001965</v>
      </c>
      <c r="G42" s="293">
        <f>May!$G$33</f>
        <v>-1609.9499999999989</v>
      </c>
      <c r="H42" s="293">
        <f>Jun!$G$33</f>
        <v>11435.46</v>
      </c>
      <c r="I42" s="293">
        <f>July!$G$33</f>
        <v>967.91000000000031</v>
      </c>
      <c r="J42" s="293">
        <f>Aug!$G$33</f>
        <v>6521.4000000000015</v>
      </c>
      <c r="K42" s="293">
        <f>Sep!$G$33</f>
        <v>1888.5300000000007</v>
      </c>
      <c r="L42" s="293">
        <f>Oct!$G$33</f>
        <v>-3181.6799999999985</v>
      </c>
      <c r="M42" s="293">
        <f>Nov!$G$33</f>
        <v>-3576.1099999999969</v>
      </c>
      <c r="N42" s="293">
        <f>Dec!$G$33</f>
        <v>2272.1700000000028</v>
      </c>
      <c r="O42" s="49">
        <f>SUM(B42:N42)</f>
        <v>72954.09</v>
      </c>
    </row>
    <row r="43" spans="1:15">
      <c r="A43" s="122" t="s">
        <v>440</v>
      </c>
      <c r="B43" s="49"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>
        <f>SUM(B43:N43)</f>
        <v>0</v>
      </c>
    </row>
    <row r="44" spans="1:15">
      <c r="A44" s="122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>
      <c r="A45" s="123" t="s">
        <v>332</v>
      </c>
      <c r="B45" s="46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>
      <c r="A46" s="124" t="s">
        <v>316</v>
      </c>
      <c r="O46" s="49">
        <f>SUM(B46:N46)</f>
        <v>0</v>
      </c>
    </row>
    <row r="47" spans="1:15">
      <c r="A47" s="124" t="s">
        <v>317</v>
      </c>
      <c r="O47" s="49">
        <f t="shared" ref="O47:O58" si="6">SUM(B47:N47)</f>
        <v>0</v>
      </c>
    </row>
    <row r="48" spans="1:15">
      <c r="A48" s="124" t="s">
        <v>320</v>
      </c>
      <c r="O48" s="49">
        <f t="shared" si="6"/>
        <v>0</v>
      </c>
    </row>
    <row r="49" spans="1:16">
      <c r="A49" s="124" t="s">
        <v>329</v>
      </c>
      <c r="O49" s="49">
        <f t="shared" si="6"/>
        <v>0</v>
      </c>
    </row>
    <row r="50" spans="1:16">
      <c r="A50" s="124" t="s">
        <v>582</v>
      </c>
      <c r="B50" s="39">
        <v>-5000</v>
      </c>
      <c r="G50" s="39">
        <v>-5000</v>
      </c>
      <c r="O50" s="49">
        <f t="shared" si="6"/>
        <v>-10000</v>
      </c>
    </row>
    <row r="51" spans="1:16">
      <c r="A51" s="124" t="s">
        <v>354</v>
      </c>
      <c r="B51" s="39">
        <v>-1500</v>
      </c>
      <c r="C51" s="39">
        <v>150</v>
      </c>
      <c r="D51" s="39">
        <v>150</v>
      </c>
      <c r="E51" s="39">
        <v>150</v>
      </c>
      <c r="F51" s="39">
        <v>150</v>
      </c>
      <c r="G51" s="39">
        <v>150</v>
      </c>
      <c r="H51" s="39">
        <v>150</v>
      </c>
      <c r="I51" s="39">
        <v>150</v>
      </c>
      <c r="J51" s="39">
        <v>150</v>
      </c>
      <c r="O51" s="49">
        <f t="shared" si="6"/>
        <v>-300</v>
      </c>
    </row>
    <row r="52" spans="1:16">
      <c r="A52" s="124" t="s">
        <v>756</v>
      </c>
      <c r="O52" s="49">
        <f t="shared" si="6"/>
        <v>0</v>
      </c>
    </row>
    <row r="53" spans="1:16">
      <c r="A53" s="124" t="s">
        <v>757</v>
      </c>
      <c r="O53" s="49">
        <f t="shared" si="6"/>
        <v>0</v>
      </c>
    </row>
    <row r="54" spans="1:16">
      <c r="A54" s="124" t="s">
        <v>1132</v>
      </c>
      <c r="B54" s="39">
        <v>-5660.21</v>
      </c>
      <c r="O54" s="49">
        <f t="shared" si="6"/>
        <v>-5660.21</v>
      </c>
    </row>
    <row r="55" spans="1:16">
      <c r="A55" s="124" t="s">
        <v>1131</v>
      </c>
      <c r="K55" s="39">
        <f>-36095.78</f>
        <v>-36095.78</v>
      </c>
      <c r="O55" s="49">
        <f t="shared" si="6"/>
        <v>-36095.78</v>
      </c>
    </row>
    <row r="56" spans="1:16">
      <c r="A56" s="124" t="s">
        <v>589</v>
      </c>
      <c r="B56" s="39">
        <v>-10000</v>
      </c>
      <c r="O56" s="49">
        <f t="shared" si="6"/>
        <v>-10000</v>
      </c>
    </row>
    <row r="57" spans="1:16">
      <c r="A57" s="124" t="s">
        <v>439</v>
      </c>
      <c r="B57" s="39">
        <v>-10000</v>
      </c>
      <c r="G57" s="39">
        <f>-5000-2000</f>
        <v>-7000</v>
      </c>
      <c r="M57" s="39">
        <v>10471.94</v>
      </c>
      <c r="O57" s="49">
        <f t="shared" si="6"/>
        <v>-6528.0599999999995</v>
      </c>
    </row>
    <row r="58" spans="1:16">
      <c r="A58" s="145" t="s">
        <v>658</v>
      </c>
      <c r="B58" s="39">
        <v>0</v>
      </c>
      <c r="C58" s="39">
        <f>30.6+3.18</f>
        <v>33.78</v>
      </c>
      <c r="D58" s="39">
        <v>3.23</v>
      </c>
      <c r="E58" s="39">
        <v>3.13</v>
      </c>
      <c r="F58" s="39">
        <v>7.59</v>
      </c>
      <c r="G58" s="39">
        <v>8.2899999999999991</v>
      </c>
      <c r="H58" s="39">
        <v>6.36</v>
      </c>
      <c r="I58" s="39">
        <v>8.6999999999999993</v>
      </c>
      <c r="J58" s="39">
        <v>8.9700000000000006</v>
      </c>
      <c r="K58" s="39">
        <v>15.25</v>
      </c>
      <c r="L58" s="39">
        <v>2.8</v>
      </c>
      <c r="M58" s="39">
        <v>0.75</v>
      </c>
      <c r="N58" s="39">
        <v>0.37</v>
      </c>
      <c r="O58" s="49">
        <f t="shared" si="6"/>
        <v>99.22</v>
      </c>
    </row>
    <row r="59" spans="1:16" ht="15">
      <c r="A59" s="144" t="s">
        <v>342</v>
      </c>
      <c r="B59" s="136">
        <f>B41+B42+B43+SUM(B46:B58)</f>
        <v>10389.559999999998</v>
      </c>
      <c r="C59" s="136">
        <f t="shared" ref="C59:N59" si="7">C41+C42+SUM(C46:C58)</f>
        <v>52.610000000000383</v>
      </c>
      <c r="D59" s="136">
        <f t="shared" si="7"/>
        <v>-166.66000000000125</v>
      </c>
      <c r="E59" s="136">
        <f t="shared" si="7"/>
        <v>16264.689999999999</v>
      </c>
      <c r="F59" s="136">
        <f t="shared" si="7"/>
        <v>183.68000000000197</v>
      </c>
      <c r="G59" s="136">
        <f t="shared" si="7"/>
        <v>-13451.659999999998</v>
      </c>
      <c r="H59" s="136">
        <f t="shared" si="7"/>
        <v>11591.82</v>
      </c>
      <c r="I59" s="136">
        <f t="shared" si="7"/>
        <v>1126.6100000000004</v>
      </c>
      <c r="J59" s="136">
        <f t="shared" si="7"/>
        <v>6680.3700000000017</v>
      </c>
      <c r="K59" s="136">
        <f t="shared" si="7"/>
        <v>-34192</v>
      </c>
      <c r="L59" s="136">
        <f t="shared" si="7"/>
        <v>-3178.8799999999983</v>
      </c>
      <c r="M59" s="136">
        <f t="shared" si="7"/>
        <v>6896.5800000000036</v>
      </c>
      <c r="N59" s="136">
        <f t="shared" si="7"/>
        <v>2272.5400000000027</v>
      </c>
      <c r="O59" s="136">
        <f>SUM(B59:N59)</f>
        <v>4469.260000000012</v>
      </c>
      <c r="P59" s="39">
        <f>SUM(O41:O42)+SUM(O46:O58)</f>
        <v>4469.2599999999948</v>
      </c>
    </row>
    <row r="60" spans="1:16">
      <c r="A60" s="114" t="s">
        <v>659</v>
      </c>
      <c r="C60" s="39" t="s">
        <v>660</v>
      </c>
      <c r="D60" s="349">
        <v>41732</v>
      </c>
      <c r="E60" s="349">
        <v>41643</v>
      </c>
      <c r="F60" s="349">
        <v>41675</v>
      </c>
      <c r="G60" s="349">
        <v>41704</v>
      </c>
      <c r="I60" s="349">
        <v>41798</v>
      </c>
    </row>
    <row r="61" spans="1:16" ht="12.75">
      <c r="A61" s="287" t="s">
        <v>569</v>
      </c>
    </row>
    <row r="62" spans="1:16" s="47" customFormat="1" ht="12.75">
      <c r="A62" s="287" t="s">
        <v>570</v>
      </c>
    </row>
    <row r="63" spans="1:16" ht="12.75">
      <c r="A63" s="287" t="s">
        <v>1140</v>
      </c>
    </row>
    <row r="64" spans="1:16" ht="12.75">
      <c r="A64" s="287"/>
    </row>
    <row r="65" spans="1:16">
      <c r="A65" s="288" t="s">
        <v>587</v>
      </c>
    </row>
    <row r="66" spans="1:16" ht="12.75">
      <c r="A66" s="39"/>
    </row>
    <row r="67" spans="1:16">
      <c r="A67" s="120" t="s">
        <v>435</v>
      </c>
      <c r="B67" s="287" t="s">
        <v>754</v>
      </c>
    </row>
    <row r="68" spans="1:16">
      <c r="A68" s="118" t="s">
        <v>330</v>
      </c>
      <c r="B68" s="39">
        <v>10500</v>
      </c>
      <c r="C68" s="39">
        <f>Jan!$G$25</f>
        <v>0</v>
      </c>
      <c r="D68" s="39">
        <f>Feb!$G$25</f>
        <v>0</v>
      </c>
      <c r="E68" s="39">
        <f>Mar!$G$25</f>
        <v>0</v>
      </c>
      <c r="F68" s="39">
        <f>Apr!$G$25</f>
        <v>0</v>
      </c>
      <c r="G68" s="39">
        <f>May!$G$25</f>
        <v>0</v>
      </c>
      <c r="H68" s="39">
        <f>Jun!$G$25</f>
        <v>0</v>
      </c>
      <c r="I68" s="39">
        <f>July!$G$25</f>
        <v>0</v>
      </c>
      <c r="J68" s="39">
        <f>Aug!$G$25</f>
        <v>0</v>
      </c>
      <c r="K68" s="39">
        <f>Sep!$G$25</f>
        <v>0</v>
      </c>
      <c r="L68" s="39">
        <f>Oct!$G$25</f>
        <v>0</v>
      </c>
      <c r="M68" s="39">
        <f>Nov!$G$25</f>
        <v>0</v>
      </c>
      <c r="N68" s="39">
        <f>Dec!$G$25</f>
        <v>0</v>
      </c>
      <c r="O68" s="39">
        <f t="shared" ref="O68:O80" si="8">SUM(B68:N68)</f>
        <v>10500</v>
      </c>
    </row>
    <row r="69" spans="1:16">
      <c r="A69" s="118" t="s">
        <v>331</v>
      </c>
      <c r="B69" s="39">
        <v>4500</v>
      </c>
      <c r="O69" s="39">
        <f t="shared" si="8"/>
        <v>4500</v>
      </c>
    </row>
    <row r="70" spans="1:16">
      <c r="A70" s="114" t="s">
        <v>583</v>
      </c>
      <c r="B70" s="39">
        <v>12050</v>
      </c>
      <c r="C70" s="39">
        <v>0</v>
      </c>
      <c r="D70" s="39">
        <v>0</v>
      </c>
      <c r="K70" s="39">
        <v>400</v>
      </c>
      <c r="O70" s="39">
        <f t="shared" si="8"/>
        <v>12450</v>
      </c>
    </row>
    <row r="71" spans="1:16">
      <c r="A71" s="114" t="s">
        <v>584</v>
      </c>
      <c r="B71" s="39">
        <v>12050</v>
      </c>
      <c r="C71" s="39">
        <v>0</v>
      </c>
      <c r="D71" s="39">
        <v>0</v>
      </c>
      <c r="K71" s="39">
        <v>400</v>
      </c>
      <c r="O71" s="39">
        <f t="shared" si="8"/>
        <v>12450</v>
      </c>
    </row>
    <row r="72" spans="1:16">
      <c r="A72" s="114" t="s">
        <v>446</v>
      </c>
      <c r="B72" s="39">
        <f>5500</f>
        <v>5500</v>
      </c>
      <c r="O72" s="39">
        <f t="shared" si="8"/>
        <v>5500</v>
      </c>
    </row>
    <row r="73" spans="1:16">
      <c r="A73" s="114" t="s">
        <v>447</v>
      </c>
      <c r="B73" s="39">
        <f>5500</f>
        <v>5500</v>
      </c>
      <c r="O73" s="39">
        <f t="shared" si="8"/>
        <v>5500</v>
      </c>
    </row>
    <row r="74" spans="1:16">
      <c r="A74" s="114" t="s">
        <v>431</v>
      </c>
      <c r="B74" s="39">
        <v>0</v>
      </c>
      <c r="O74" s="39">
        <f t="shared" si="8"/>
        <v>0</v>
      </c>
    </row>
    <row r="75" spans="1:16">
      <c r="A75" s="114" t="s">
        <v>432</v>
      </c>
      <c r="B75" s="39">
        <v>0</v>
      </c>
      <c r="O75" s="39">
        <f t="shared" si="8"/>
        <v>0</v>
      </c>
    </row>
    <row r="76" spans="1:16">
      <c r="A76" s="114" t="s">
        <v>335</v>
      </c>
      <c r="B76" s="39">
        <v>1800</v>
      </c>
      <c r="O76" s="39">
        <f t="shared" si="8"/>
        <v>1800</v>
      </c>
    </row>
    <row r="77" spans="1:16">
      <c r="A77" s="114" t="s">
        <v>1133</v>
      </c>
      <c r="B77" s="39">
        <v>-15000</v>
      </c>
      <c r="I77" s="39">
        <v>-36900</v>
      </c>
      <c r="K77" s="39">
        <v>-800</v>
      </c>
      <c r="O77" s="39">
        <f t="shared" si="8"/>
        <v>-52700</v>
      </c>
      <c r="P77" s="39" t="s">
        <v>1141</v>
      </c>
    </row>
    <row r="78" spans="1:16">
      <c r="A78" s="114" t="s">
        <v>1131</v>
      </c>
      <c r="O78" s="39">
        <f t="shared" si="8"/>
        <v>0</v>
      </c>
    </row>
    <row r="79" spans="1:16">
      <c r="A79" s="114" t="s">
        <v>789</v>
      </c>
      <c r="O79" s="39">
        <f t="shared" si="8"/>
        <v>0</v>
      </c>
    </row>
    <row r="80" spans="1:16">
      <c r="A80" s="114" t="s">
        <v>794</v>
      </c>
      <c r="O80" s="39">
        <f t="shared" si="8"/>
        <v>0</v>
      </c>
    </row>
    <row r="81" spans="1:16" ht="15">
      <c r="A81" s="126" t="s">
        <v>341</v>
      </c>
      <c r="B81" s="130">
        <f>SUM(B67:B80)</f>
        <v>36900</v>
      </c>
      <c r="C81" s="130">
        <f t="shared" ref="C81:N81" si="9">SUM(C67:C80)</f>
        <v>0</v>
      </c>
      <c r="D81" s="130">
        <f t="shared" si="9"/>
        <v>0</v>
      </c>
      <c r="E81" s="130">
        <f t="shared" si="9"/>
        <v>0</v>
      </c>
      <c r="F81" s="130">
        <f t="shared" si="9"/>
        <v>0</v>
      </c>
      <c r="G81" s="130">
        <f t="shared" si="9"/>
        <v>0</v>
      </c>
      <c r="H81" s="130">
        <f t="shared" si="9"/>
        <v>0</v>
      </c>
      <c r="I81" s="130">
        <f t="shared" si="9"/>
        <v>-36900</v>
      </c>
      <c r="J81" s="130">
        <f t="shared" si="9"/>
        <v>0</v>
      </c>
      <c r="K81" s="130">
        <f t="shared" si="9"/>
        <v>0</v>
      </c>
      <c r="L81" s="130">
        <f t="shared" si="9"/>
        <v>0</v>
      </c>
      <c r="M81" s="130">
        <f t="shared" si="9"/>
        <v>0</v>
      </c>
      <c r="N81" s="130">
        <f t="shared" si="9"/>
        <v>0</v>
      </c>
      <c r="O81" s="132">
        <f>SUM(O67:O80)</f>
        <v>0</v>
      </c>
    </row>
    <row r="82" spans="1:16" ht="15">
      <c r="A82" s="126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292"/>
    </row>
    <row r="83" spans="1:16" ht="12.75">
      <c r="A83" s="287" t="s">
        <v>585</v>
      </c>
    </row>
    <row r="84" spans="1:16" ht="12.75">
      <c r="A84" s="287" t="s">
        <v>667</v>
      </c>
    </row>
    <row r="85" spans="1:16" ht="12.75">
      <c r="A85" s="287"/>
    </row>
    <row r="86" spans="1:16">
      <c r="A86" s="120" t="s">
        <v>333</v>
      </c>
    </row>
    <row r="87" spans="1:16">
      <c r="A87" s="114" t="s">
        <v>568</v>
      </c>
      <c r="B87" s="50">
        <v>67861.53</v>
      </c>
      <c r="C87" s="39">
        <v>20.55</v>
      </c>
      <c r="D87" s="39">
        <v>19.399999999999999</v>
      </c>
      <c r="E87" s="39">
        <v>21.89</v>
      </c>
      <c r="F87" s="39">
        <v>21.51</v>
      </c>
      <c r="G87" s="53">
        <v>24.4</v>
      </c>
      <c r="H87" s="39">
        <v>24.04</v>
      </c>
      <c r="I87" s="39">
        <v>14.17</v>
      </c>
      <c r="J87" s="39">
        <v>6.95</v>
      </c>
      <c r="K87" s="39">
        <v>3.19</v>
      </c>
      <c r="L87" s="39">
        <v>4.38</v>
      </c>
      <c r="M87" s="39">
        <v>4.8499999999999996</v>
      </c>
      <c r="N87" s="39">
        <v>5.99</v>
      </c>
      <c r="O87" s="50">
        <f t="shared" ref="O87:O93" si="10">SUM(B87:N87)</f>
        <v>68032.849999999991</v>
      </c>
    </row>
    <row r="88" spans="1:16">
      <c r="A88" s="114" t="s">
        <v>632</v>
      </c>
      <c r="C88" s="39">
        <v>1200</v>
      </c>
      <c r="O88" s="50">
        <f t="shared" si="10"/>
        <v>1200</v>
      </c>
    </row>
    <row r="89" spans="1:16">
      <c r="A89" s="114" t="s">
        <v>349</v>
      </c>
      <c r="B89" s="50">
        <v>3600</v>
      </c>
      <c r="C89" s="43">
        <f>Jan!$G$19</f>
        <v>200</v>
      </c>
      <c r="D89" s="39">
        <f>Feb!$G$19</f>
        <v>200</v>
      </c>
      <c r="E89" s="39">
        <f>Mar!$G$19</f>
        <v>200</v>
      </c>
      <c r="F89" s="39">
        <f>Apr!$G$19</f>
        <v>200</v>
      </c>
      <c r="G89" s="53">
        <f>May!$G$19</f>
        <v>200</v>
      </c>
      <c r="H89" s="39">
        <f>Jun!$G$19</f>
        <v>200</v>
      </c>
      <c r="I89" s="39">
        <f>July!$G$19</f>
        <v>200</v>
      </c>
      <c r="J89" s="39">
        <f>Aug!$G$19</f>
        <v>200</v>
      </c>
      <c r="K89" s="39">
        <f>Sep!$G$19</f>
        <v>200</v>
      </c>
      <c r="L89" s="39">
        <f>Oct!$G$19</f>
        <v>200</v>
      </c>
      <c r="M89" s="39">
        <f>Nov!$G$19</f>
        <v>200</v>
      </c>
      <c r="N89" s="39">
        <f>Dec!$G$19</f>
        <v>200</v>
      </c>
      <c r="O89" s="50">
        <f t="shared" si="10"/>
        <v>6000</v>
      </c>
    </row>
    <row r="90" spans="1:16">
      <c r="A90" s="114" t="s">
        <v>338</v>
      </c>
      <c r="B90" s="50">
        <v>3600</v>
      </c>
      <c r="C90" s="39">
        <f>Jan!$G$20</f>
        <v>300</v>
      </c>
      <c r="D90" s="43">
        <f>Feb!$G$20</f>
        <v>300</v>
      </c>
      <c r="E90" s="43">
        <f>Mar!$G$20</f>
        <v>300</v>
      </c>
      <c r="F90" s="43">
        <f>Apr!$G$20</f>
        <v>300</v>
      </c>
      <c r="G90" s="43">
        <f>May!$G$20</f>
        <v>300</v>
      </c>
      <c r="H90" s="43">
        <f>Jun!$G$20</f>
        <v>300</v>
      </c>
      <c r="I90" s="43">
        <f>July!$G$20</f>
        <v>300</v>
      </c>
      <c r="J90" s="43">
        <f>Aug!$G$20</f>
        <v>300</v>
      </c>
      <c r="K90" s="43">
        <f>Sep!$G$20</f>
        <v>300</v>
      </c>
      <c r="L90" s="43">
        <f>Oct!$G$20</f>
        <v>300</v>
      </c>
      <c r="M90" s="43">
        <f>Nov!$G$20</f>
        <v>300</v>
      </c>
      <c r="N90" s="43">
        <f>Dec!$G$20</f>
        <v>300</v>
      </c>
      <c r="O90" s="50">
        <f>SUM(B90:N90)</f>
        <v>7200</v>
      </c>
    </row>
    <row r="91" spans="1:16">
      <c r="A91" s="114" t="s">
        <v>345</v>
      </c>
      <c r="B91" s="50"/>
      <c r="G91" s="53"/>
      <c r="O91" s="50">
        <f t="shared" si="10"/>
        <v>0</v>
      </c>
    </row>
    <row r="92" spans="1:16">
      <c r="A92" s="114" t="s">
        <v>1043</v>
      </c>
      <c r="B92" s="50">
        <v>-52000</v>
      </c>
      <c r="C92" s="39">
        <f>Jan!$G$22</f>
        <v>700</v>
      </c>
      <c r="D92" s="43">
        <f>Feb!$G$22</f>
        <v>700</v>
      </c>
      <c r="E92" s="43">
        <f>Mar!$G$22</f>
        <v>700</v>
      </c>
      <c r="F92" s="43">
        <f>Apr!$G$22</f>
        <v>700</v>
      </c>
      <c r="G92" s="43">
        <f>May!$G$22+5000</f>
        <v>5700</v>
      </c>
      <c r="H92" s="43">
        <f>Jun!$G$22</f>
        <v>700</v>
      </c>
      <c r="I92" s="43">
        <f>July!$G$22+36900</f>
        <v>37600</v>
      </c>
      <c r="J92" s="43">
        <f>Aug!$G$22</f>
        <v>700</v>
      </c>
      <c r="K92" s="43">
        <f>Sep!$G$22+800</f>
        <v>1500</v>
      </c>
      <c r="L92" s="43">
        <f>Oct!$G$22</f>
        <v>700</v>
      </c>
      <c r="M92" s="43">
        <f>Nov!$G$22</f>
        <v>700</v>
      </c>
      <c r="N92" s="43">
        <f>Dec!$G$22</f>
        <v>700</v>
      </c>
      <c r="O92" s="50">
        <f t="shared" si="10"/>
        <v>-900</v>
      </c>
      <c r="P92" s="39" t="s">
        <v>353</v>
      </c>
    </row>
    <row r="93" spans="1:16" ht="16.5" thickBot="1">
      <c r="A93" s="114" t="s">
        <v>1134</v>
      </c>
      <c r="B93" s="50"/>
      <c r="D93" s="43"/>
      <c r="E93" s="43"/>
      <c r="F93" s="43"/>
      <c r="G93" s="43"/>
      <c r="H93" s="43"/>
      <c r="I93" s="43">
        <v>-41800</v>
      </c>
      <c r="J93" s="43">
        <v>-20000</v>
      </c>
      <c r="K93" s="43"/>
      <c r="L93" s="43"/>
      <c r="M93" s="43"/>
      <c r="N93" s="43"/>
      <c r="O93" s="50">
        <f t="shared" si="10"/>
        <v>-61800</v>
      </c>
      <c r="P93" s="39" t="s">
        <v>1019</v>
      </c>
    </row>
    <row r="94" spans="1:16" thickBot="1">
      <c r="A94" s="133" t="s">
        <v>346</v>
      </c>
      <c r="B94" s="131">
        <f t="shared" ref="B94:N94" si="11">SUM(B87:B92)</f>
        <v>23061.53</v>
      </c>
      <c r="C94" s="131">
        <f t="shared" si="11"/>
        <v>2420.5500000000002</v>
      </c>
      <c r="D94" s="131">
        <f t="shared" si="11"/>
        <v>1219.4000000000001</v>
      </c>
      <c r="E94" s="131">
        <f t="shared" si="11"/>
        <v>1221.8899999999999</v>
      </c>
      <c r="F94" s="131">
        <f t="shared" si="11"/>
        <v>1221.51</v>
      </c>
      <c r="G94" s="131">
        <f t="shared" si="11"/>
        <v>6224.4</v>
      </c>
      <c r="H94" s="131">
        <f t="shared" si="11"/>
        <v>1224.04</v>
      </c>
      <c r="I94" s="131">
        <f t="shared" si="11"/>
        <v>38114.17</v>
      </c>
      <c r="J94" s="131">
        <f t="shared" si="11"/>
        <v>1206.95</v>
      </c>
      <c r="K94" s="131">
        <f t="shared" si="11"/>
        <v>2003.19</v>
      </c>
      <c r="L94" s="131">
        <f t="shared" si="11"/>
        <v>1204.3800000000001</v>
      </c>
      <c r="M94" s="131">
        <f t="shared" si="11"/>
        <v>1204.8499999999999</v>
      </c>
      <c r="N94" s="131">
        <f t="shared" si="11"/>
        <v>1205.99</v>
      </c>
      <c r="O94" s="149">
        <f>SUM(O87:O93)</f>
        <v>19732.849999999991</v>
      </c>
    </row>
    <row r="95" spans="1:16">
      <c r="A95" s="344" t="s">
        <v>1135</v>
      </c>
      <c r="B95" s="289"/>
      <c r="C95" s="289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</row>
    <row r="96" spans="1:16">
      <c r="A96" s="291" t="s">
        <v>359</v>
      </c>
      <c r="B96" s="345">
        <f>FV(3%/12,48,,62000)</f>
        <v>-69894.337304475761</v>
      </c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</row>
    <row r="97" spans="1:15">
      <c r="A97" s="291" t="s">
        <v>1145</v>
      </c>
      <c r="B97" s="345">
        <f>-B96-62000</f>
        <v>7894.3373044757609</v>
      </c>
      <c r="C97" s="289"/>
      <c r="D97" s="407" t="s">
        <v>1147</v>
      </c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</row>
    <row r="98" spans="1:15">
      <c r="A98" s="344" t="s">
        <v>640</v>
      </c>
      <c r="B98" s="344" t="s">
        <v>641</v>
      </c>
      <c r="C98" s="289"/>
      <c r="D98" s="407" t="s">
        <v>1146</v>
      </c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</row>
    <row r="99" spans="1:15" ht="12.75">
      <c r="A99" s="3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</row>
    <row r="100" spans="1:15">
      <c r="A100" s="344"/>
      <c r="B100" s="344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</row>
    <row r="101" spans="1:15">
      <c r="A101" s="344"/>
      <c r="B101" s="344"/>
      <c r="C101" s="289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</row>
    <row r="102" spans="1:15">
      <c r="A102" s="344" t="s">
        <v>1143</v>
      </c>
      <c r="B102" s="344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</row>
    <row r="103" spans="1:15">
      <c r="A103" s="344" t="s">
        <v>1144</v>
      </c>
      <c r="B103" s="345">
        <f>FV(3%/12,48,,61800)</f>
        <v>-69668.871700267773</v>
      </c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</row>
    <row r="104" spans="1:15">
      <c r="A104" s="344" t="s">
        <v>1145</v>
      </c>
      <c r="B104" s="406">
        <f>-B103-61800</f>
        <v>7868.8717002677731</v>
      </c>
      <c r="C104" s="289"/>
      <c r="D104" s="407" t="s">
        <v>1147</v>
      </c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</row>
    <row r="105" spans="1:15">
      <c r="A105" s="344" t="s">
        <v>640</v>
      </c>
      <c r="B105" s="344" t="s">
        <v>1142</v>
      </c>
      <c r="C105" s="289"/>
      <c r="D105" s="407" t="s">
        <v>1146</v>
      </c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</row>
    <row r="106" spans="1:15">
      <c r="A106" s="344"/>
      <c r="B106" s="344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</row>
    <row r="107" spans="1:15"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1:15">
      <c r="A108" s="288" t="s">
        <v>571</v>
      </c>
    </row>
    <row r="109" spans="1:15">
      <c r="A109" s="114" t="s">
        <v>578</v>
      </c>
    </row>
    <row r="110" spans="1:15">
      <c r="A110" s="114" t="s">
        <v>579</v>
      </c>
    </row>
    <row r="111" spans="1:15">
      <c r="A111" s="114" t="s">
        <v>580</v>
      </c>
    </row>
    <row r="112" spans="1:15">
      <c r="A112" s="114" t="s">
        <v>581</v>
      </c>
    </row>
    <row r="113" spans="1:5">
      <c r="B113" s="39">
        <v>-1</v>
      </c>
    </row>
    <row r="114" spans="1:5">
      <c r="A114" s="288" t="s">
        <v>573</v>
      </c>
    </row>
    <row r="115" spans="1:5">
      <c r="A115" s="114" t="s">
        <v>574</v>
      </c>
    </row>
    <row r="116" spans="1:5" ht="15">
      <c r="A116" s="133" t="s">
        <v>575</v>
      </c>
      <c r="B116" s="289">
        <f>FV(3%/12,48,,62000)</f>
        <v>-69894.337304475761</v>
      </c>
    </row>
    <row r="117" spans="1:5" ht="15">
      <c r="A117" s="290" t="s">
        <v>576</v>
      </c>
      <c r="B117" s="289">
        <v>10000</v>
      </c>
    </row>
    <row r="118" spans="1:5" ht="15">
      <c r="A118" s="290" t="s">
        <v>577</v>
      </c>
      <c r="B118" s="289">
        <f>SUM(C92:N92)</f>
        <v>51100</v>
      </c>
    </row>
    <row r="119" spans="1:5" ht="15">
      <c r="A119" s="290" t="s">
        <v>1148</v>
      </c>
      <c r="B119" s="289"/>
    </row>
    <row r="120" spans="1:5" ht="15">
      <c r="A120" s="133"/>
      <c r="B120" s="289"/>
    </row>
    <row r="121" spans="1:5">
      <c r="B121" s="47"/>
    </row>
    <row r="122" spans="1:5">
      <c r="A122" s="114" t="s">
        <v>572</v>
      </c>
    </row>
    <row r="123" spans="1:5">
      <c r="A123" s="125" t="s">
        <v>265</v>
      </c>
      <c r="B123" s="39">
        <v>61289.34</v>
      </c>
    </row>
    <row r="124" spans="1:5">
      <c r="A124" s="114" t="s">
        <v>266</v>
      </c>
      <c r="B124" s="39">
        <v>32544.49</v>
      </c>
    </row>
    <row r="125" spans="1:5">
      <c r="A125" s="114" t="s">
        <v>267</v>
      </c>
      <c r="B125" s="44">
        <f>B123-B124</f>
        <v>28744.849999999995</v>
      </c>
    </row>
    <row r="126" spans="1:5">
      <c r="A126" s="114" t="s">
        <v>310</v>
      </c>
      <c r="B126" s="103">
        <f>FV(6%/12, 48,, 18750)</f>
        <v>-23821.671770538363</v>
      </c>
      <c r="C126" s="39" t="s">
        <v>309</v>
      </c>
      <c r="E126" s="39" t="s">
        <v>336</v>
      </c>
    </row>
    <row r="127" spans="1:5">
      <c r="A127" s="114" t="s">
        <v>311</v>
      </c>
      <c r="B127" s="103">
        <f>FV(5%/12, 12,,10000)</f>
        <v>-10511.618978817334</v>
      </c>
      <c r="C127" s="39" t="s">
        <v>264</v>
      </c>
      <c r="E127" s="39" t="s">
        <v>337</v>
      </c>
    </row>
    <row r="128" spans="1:5">
      <c r="A128" s="114" t="s">
        <v>268</v>
      </c>
      <c r="B128" s="104">
        <f>SUM(B125:B127)</f>
        <v>-5588.4407493557028</v>
      </c>
    </row>
    <row r="129" spans="1:2">
      <c r="A129" s="114" t="s">
        <v>334</v>
      </c>
      <c r="B129" s="39">
        <v>608.21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5533"/>
  <sheetViews>
    <sheetView zoomScaleNormal="100" workbookViewId="0">
      <pane ySplit="315" activePane="bottomLeft"/>
      <selection activeCell="P4" sqref="P4"/>
      <selection pane="bottomLeft" activeCell="AE51" sqref="AE51"/>
    </sheetView>
  </sheetViews>
  <sheetFormatPr defaultRowHeight="12.75"/>
  <cols>
    <col min="3" max="3" width="3.5703125" customWidth="1"/>
    <col min="5" max="5" width="3.5703125" customWidth="1"/>
    <col min="7" max="7" width="3.42578125" customWidth="1"/>
    <col min="9" max="10" width="2.42578125" customWidth="1"/>
    <col min="11" max="11" width="10.5703125" customWidth="1"/>
    <col min="12" max="13" width="2.7109375" customWidth="1"/>
    <col min="14" max="14" width="10.5703125" customWidth="1"/>
    <col min="15" max="16" width="3.28515625" customWidth="1"/>
    <col min="17" max="17" width="10" customWidth="1"/>
    <col min="18" max="18" width="2.140625" customWidth="1"/>
    <col min="19" max="19" width="2.5703125" customWidth="1"/>
    <col min="20" max="20" width="10" customWidth="1"/>
    <col min="21" max="22" width="2.5703125" customWidth="1"/>
    <col min="23" max="23" width="9.85546875" customWidth="1"/>
    <col min="24" max="25" width="2.42578125" customWidth="1"/>
    <col min="26" max="26" width="11" customWidth="1"/>
    <col min="27" max="28" width="3.140625" customWidth="1"/>
    <col min="29" max="29" width="11.5703125" customWidth="1"/>
    <col min="30" max="31" width="12.140625" customWidth="1"/>
    <col min="32" max="32" width="13" customWidth="1"/>
    <col min="33" max="33" width="12.7109375" customWidth="1"/>
  </cols>
  <sheetData>
    <row r="1" spans="1:97" ht="15.75">
      <c r="A1" s="31" t="s">
        <v>613</v>
      </c>
    </row>
    <row r="2" spans="1:97">
      <c r="A2" s="4"/>
      <c r="B2" t="s">
        <v>612</v>
      </c>
    </row>
    <row r="3" spans="1:97">
      <c r="B3" s="32" t="s">
        <v>324</v>
      </c>
    </row>
    <row r="4" spans="1:97">
      <c r="A4" t="s">
        <v>123</v>
      </c>
    </row>
    <row r="5" spans="1:97">
      <c r="A5" t="s">
        <v>125</v>
      </c>
      <c r="H5" s="32" t="s">
        <v>323</v>
      </c>
    </row>
    <row r="6" spans="1:97">
      <c r="A6" t="s">
        <v>126</v>
      </c>
      <c r="H6" t="s">
        <v>127</v>
      </c>
    </row>
    <row r="7" spans="1:97">
      <c r="A7" t="s">
        <v>129</v>
      </c>
      <c r="H7" s="51" t="s">
        <v>792</v>
      </c>
    </row>
    <row r="8" spans="1:97">
      <c r="A8" t="s">
        <v>130</v>
      </c>
    </row>
    <row r="9" spans="1:97">
      <c r="A9" t="s">
        <v>131</v>
      </c>
    </row>
    <row r="10" spans="1:97" s="5" customFormat="1">
      <c r="A10" s="113" t="s">
        <v>339</v>
      </c>
      <c r="B10"/>
      <c r="C10"/>
      <c r="D10"/>
      <c r="E10"/>
      <c r="F10"/>
      <c r="G10"/>
      <c r="H10"/>
      <c r="I10"/>
      <c r="J10"/>
      <c r="K10" s="33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CJ10"/>
      <c r="CK10"/>
      <c r="CL10"/>
      <c r="CM10"/>
      <c r="CN10"/>
      <c r="CO10"/>
      <c r="CP10"/>
      <c r="CQ10"/>
      <c r="CR10"/>
      <c r="CS10"/>
    </row>
    <row r="11" spans="1:97">
      <c r="AC11" t="s">
        <v>617</v>
      </c>
      <c r="AD11" t="s">
        <v>133</v>
      </c>
    </row>
    <row r="12" spans="1:97">
      <c r="A12" s="111" t="s">
        <v>136</v>
      </c>
      <c r="B12" s="111">
        <v>2005</v>
      </c>
      <c r="C12" s="111"/>
      <c r="D12" s="111">
        <v>2006</v>
      </c>
      <c r="E12" s="111"/>
      <c r="F12" s="111">
        <v>2007</v>
      </c>
      <c r="G12" s="111"/>
      <c r="H12" s="111">
        <v>2008</v>
      </c>
      <c r="I12" s="111"/>
      <c r="J12" s="141" t="s">
        <v>610</v>
      </c>
      <c r="K12" s="111">
        <v>2009</v>
      </c>
      <c r="L12" s="111" t="s">
        <v>137</v>
      </c>
      <c r="M12" s="141" t="s">
        <v>610</v>
      </c>
      <c r="N12" s="111">
        <v>2010</v>
      </c>
      <c r="O12" s="111"/>
      <c r="P12" s="141" t="s">
        <v>610</v>
      </c>
      <c r="Q12" s="111">
        <v>2011</v>
      </c>
      <c r="R12" s="112"/>
      <c r="S12" s="112" t="s">
        <v>610</v>
      </c>
      <c r="T12" s="111">
        <v>2012</v>
      </c>
      <c r="U12" s="111"/>
      <c r="V12" s="141" t="s">
        <v>610</v>
      </c>
      <c r="W12" s="111">
        <v>2013</v>
      </c>
      <c r="X12" s="141" t="s">
        <v>137</v>
      </c>
      <c r="Y12" s="141" t="s">
        <v>610</v>
      </c>
      <c r="Z12" s="141">
        <v>2014</v>
      </c>
      <c r="AA12" s="141"/>
      <c r="AB12" s="141" t="s">
        <v>610</v>
      </c>
      <c r="AC12" s="141" t="s">
        <v>618</v>
      </c>
      <c r="AD12" s="111" t="s">
        <v>138</v>
      </c>
      <c r="AE12" s="111" t="s">
        <v>139</v>
      </c>
      <c r="AF12" s="111" t="s">
        <v>140</v>
      </c>
    </row>
    <row r="13" spans="1:97">
      <c r="J13" s="35" t="s">
        <v>614</v>
      </c>
      <c r="M13" s="35" t="s">
        <v>614</v>
      </c>
      <c r="P13" s="306" t="s">
        <v>614</v>
      </c>
      <c r="S13" s="306" t="s">
        <v>614</v>
      </c>
      <c r="T13" s="35"/>
      <c r="U13" s="35"/>
      <c r="V13" s="306" t="s">
        <v>614</v>
      </c>
      <c r="W13" s="35"/>
      <c r="X13" s="35"/>
      <c r="Y13" s="306" t="s">
        <v>614</v>
      </c>
      <c r="Z13" s="35"/>
      <c r="AA13" s="35"/>
      <c r="AB13" s="306" t="s">
        <v>614</v>
      </c>
      <c r="AC13" s="306"/>
    </row>
    <row r="14" spans="1:97">
      <c r="A14" t="s">
        <v>141</v>
      </c>
      <c r="B14">
        <v>143.57</v>
      </c>
      <c r="D14">
        <v>88.5</v>
      </c>
      <c r="F14">
        <v>93.15</v>
      </c>
      <c r="H14">
        <v>124.37</v>
      </c>
      <c r="J14" s="35">
        <v>31</v>
      </c>
      <c r="K14">
        <v>205.96</v>
      </c>
      <c r="L14" t="s">
        <v>143</v>
      </c>
      <c r="M14" s="35">
        <f>(28+20.9)/2</f>
        <v>24.45</v>
      </c>
      <c r="N14">
        <v>121.21</v>
      </c>
      <c r="P14" s="35">
        <f>(24.2+25.3)/2</f>
        <v>24.75</v>
      </c>
      <c r="Q14">
        <v>136.62</v>
      </c>
      <c r="R14" t="s">
        <v>194</v>
      </c>
      <c r="S14" s="35">
        <f>(27.6+28.1)/2</f>
        <v>27.85</v>
      </c>
      <c r="T14">
        <v>146.86000000000001</v>
      </c>
      <c r="U14" t="s">
        <v>143</v>
      </c>
      <c r="V14" s="209">
        <f>(31.4+32.5)/2</f>
        <v>31.95</v>
      </c>
      <c r="W14">
        <v>128.13</v>
      </c>
      <c r="X14" t="s">
        <v>340</v>
      </c>
      <c r="Y14" s="209">
        <f>(31.7+29.7)/2</f>
        <v>30.7</v>
      </c>
      <c r="Z14">
        <v>121.13</v>
      </c>
      <c r="AA14" t="s">
        <v>340</v>
      </c>
      <c r="AB14" s="209">
        <f>(26.2+25)/2</f>
        <v>25.6</v>
      </c>
      <c r="AC14" s="311">
        <f>(J14+M14+P14+S14+V14+Y14+AB14)/7</f>
        <v>28.042857142857141</v>
      </c>
      <c r="AD14">
        <f>(633+843+(584+730)+(392+343)+(421+371)+(501+383)+(400+352)+(429+334))/7</f>
        <v>959.42857142857144</v>
      </c>
      <c r="AE14">
        <v>1314</v>
      </c>
      <c r="AF14">
        <v>633</v>
      </c>
    </row>
    <row r="15" spans="1:97">
      <c r="A15" t="s">
        <v>148</v>
      </c>
      <c r="B15">
        <v>0</v>
      </c>
      <c r="D15">
        <v>79.930000000000007</v>
      </c>
      <c r="F15">
        <v>73.63</v>
      </c>
      <c r="H15">
        <v>101.93</v>
      </c>
      <c r="J15" s="35">
        <v>27.4</v>
      </c>
      <c r="K15">
        <v>133.68</v>
      </c>
      <c r="L15" t="s">
        <v>143</v>
      </c>
      <c r="M15" s="35">
        <v>23.2</v>
      </c>
      <c r="N15">
        <v>107.63</v>
      </c>
      <c r="P15" s="35">
        <v>27.5</v>
      </c>
      <c r="Q15">
        <v>116.84</v>
      </c>
      <c r="R15" t="s">
        <v>194</v>
      </c>
      <c r="S15" s="35">
        <v>20.6</v>
      </c>
      <c r="T15">
        <v>125.86</v>
      </c>
      <c r="U15" t="s">
        <v>143</v>
      </c>
      <c r="V15" s="209">
        <v>29.5</v>
      </c>
      <c r="W15">
        <v>112.71</v>
      </c>
      <c r="X15" t="s">
        <v>340</v>
      </c>
      <c r="Y15" s="209">
        <v>24.9</v>
      </c>
      <c r="Z15">
        <v>143.76</v>
      </c>
      <c r="AA15" t="s">
        <v>340</v>
      </c>
      <c r="AB15" s="35">
        <v>22.8</v>
      </c>
      <c r="AC15" s="311">
        <f>(J15+M15+P15+S15+V15+Y15+AB15)/7</f>
        <v>25.12857142857143</v>
      </c>
      <c r="AD15">
        <f>(488+679+815+646+670+759+626+898)/8</f>
        <v>697.625</v>
      </c>
      <c r="AE15">
        <v>898</v>
      </c>
      <c r="AF15">
        <v>488</v>
      </c>
    </row>
    <row r="16" spans="1:97">
      <c r="A16" t="s">
        <v>154</v>
      </c>
      <c r="B16">
        <v>210.42</v>
      </c>
      <c r="D16">
        <v>93.91</v>
      </c>
      <c r="F16">
        <v>75.92</v>
      </c>
      <c r="H16">
        <v>85.76</v>
      </c>
      <c r="J16" s="35">
        <v>31.7</v>
      </c>
      <c r="K16">
        <v>144.54</v>
      </c>
      <c r="L16" t="s">
        <v>143</v>
      </c>
      <c r="M16" s="35">
        <v>31.7</v>
      </c>
      <c r="N16">
        <v>104.92</v>
      </c>
      <c r="P16" s="35">
        <v>37.4</v>
      </c>
      <c r="Q16">
        <v>106.94</v>
      </c>
      <c r="S16" s="35">
        <v>31.8</v>
      </c>
      <c r="T16">
        <v>94.68</v>
      </c>
      <c r="U16" t="s">
        <v>194</v>
      </c>
      <c r="V16" s="209">
        <v>37.9</v>
      </c>
      <c r="W16">
        <v>110.94</v>
      </c>
      <c r="X16" t="s">
        <v>340</v>
      </c>
      <c r="Y16" s="209">
        <v>34.5</v>
      </c>
      <c r="Z16">
        <v>94.78</v>
      </c>
      <c r="AA16" t="s">
        <v>340</v>
      </c>
      <c r="AB16" s="35">
        <v>27.3</v>
      </c>
      <c r="AC16" s="311">
        <f>(J16+M16+P16+S16+V16+Y16+AB16)/7</f>
        <v>33.18571428571429</v>
      </c>
      <c r="AD16">
        <f>(505+561+886+628+607+552+615+563)/8</f>
        <v>614.625</v>
      </c>
      <c r="AE16">
        <v>886</v>
      </c>
      <c r="AF16">
        <v>505</v>
      </c>
    </row>
    <row r="17" spans="1:32">
      <c r="A17" t="s">
        <v>156</v>
      </c>
      <c r="B17">
        <v>111.63</v>
      </c>
      <c r="D17">
        <v>88.03</v>
      </c>
      <c r="F17">
        <v>72.42</v>
      </c>
      <c r="H17">
        <v>84.95</v>
      </c>
      <c r="J17" s="35">
        <v>40.799999999999997</v>
      </c>
      <c r="K17">
        <v>120.2</v>
      </c>
      <c r="L17" t="s">
        <v>143</v>
      </c>
      <c r="M17" s="35">
        <v>42.6</v>
      </c>
      <c r="N17">
        <v>94.63</v>
      </c>
      <c r="P17" s="35">
        <v>49.8</v>
      </c>
      <c r="Q17">
        <v>89.2</v>
      </c>
      <c r="S17" s="35">
        <v>42.2</v>
      </c>
      <c r="T17">
        <v>64.27</v>
      </c>
      <c r="V17" s="209">
        <v>47.7</v>
      </c>
      <c r="W17">
        <v>123.81</v>
      </c>
      <c r="X17" t="s">
        <v>340</v>
      </c>
      <c r="Y17" s="209">
        <v>40.4</v>
      </c>
      <c r="Z17">
        <v>92.29</v>
      </c>
      <c r="AA17" t="s">
        <v>340</v>
      </c>
      <c r="AB17" s="35">
        <v>38</v>
      </c>
      <c r="AC17" s="311">
        <f>(J17+M17+P17+S17+V17+Y17+AB17)/7</f>
        <v>43.071428571428562</v>
      </c>
      <c r="AD17">
        <f>(479+555+727+560+494+350+695+546)/8</f>
        <v>550.75</v>
      </c>
      <c r="AE17">
        <v>727</v>
      </c>
      <c r="AF17">
        <v>350</v>
      </c>
    </row>
    <row r="18" spans="1:32">
      <c r="A18" t="s">
        <v>10</v>
      </c>
      <c r="B18">
        <v>63.07</v>
      </c>
      <c r="D18">
        <v>75.489999999999995</v>
      </c>
      <c r="F18">
        <v>77.400000000000006</v>
      </c>
      <c r="H18">
        <v>79.87</v>
      </c>
      <c r="J18" s="35">
        <v>54.5</v>
      </c>
      <c r="K18">
        <v>87.61</v>
      </c>
      <c r="M18" s="35">
        <v>57.8</v>
      </c>
      <c r="N18">
        <v>103.09</v>
      </c>
      <c r="O18" t="s">
        <v>274</v>
      </c>
      <c r="P18" s="35">
        <v>55</v>
      </c>
      <c r="Q18">
        <v>99.4</v>
      </c>
      <c r="S18" s="35">
        <v>53.7</v>
      </c>
      <c r="T18">
        <v>57.5</v>
      </c>
      <c r="V18" s="209">
        <v>55.8</v>
      </c>
      <c r="W18">
        <v>90.35</v>
      </c>
      <c r="Y18" s="209">
        <v>55.6</v>
      </c>
      <c r="Z18">
        <v>114.5</v>
      </c>
      <c r="AA18" t="s">
        <v>157</v>
      </c>
      <c r="AB18" s="35">
        <v>52.2</v>
      </c>
      <c r="AC18" s="311">
        <f>(J18+M18+P18+S18+V18+Y18+AB18)/7</f>
        <v>54.942857142857143</v>
      </c>
      <c r="AD18">
        <f>(516+518+514+616+559+297+487+698)/8</f>
        <v>525.625</v>
      </c>
      <c r="AE18">
        <v>698</v>
      </c>
      <c r="AF18">
        <v>297</v>
      </c>
    </row>
    <row r="19" spans="1:32">
      <c r="A19" t="s">
        <v>158</v>
      </c>
      <c r="B19">
        <v>61.91</v>
      </c>
      <c r="D19">
        <v>61.04</v>
      </c>
      <c r="F19">
        <v>79.28</v>
      </c>
      <c r="H19">
        <v>95.91</v>
      </c>
      <c r="J19" s="35">
        <v>65.2</v>
      </c>
      <c r="K19">
        <v>107.35</v>
      </c>
      <c r="M19" s="35">
        <v>61.8</v>
      </c>
      <c r="N19">
        <v>87.36</v>
      </c>
      <c r="P19" s="35">
        <v>66.8</v>
      </c>
      <c r="Q19">
        <v>113.08</v>
      </c>
      <c r="R19" t="s">
        <v>160</v>
      </c>
      <c r="S19" s="35">
        <v>65.400000000000006</v>
      </c>
      <c r="T19">
        <v>84.71</v>
      </c>
      <c r="V19" s="209">
        <v>65.400000000000006</v>
      </c>
      <c r="W19">
        <v>124.94</v>
      </c>
      <c r="X19" t="s">
        <v>157</v>
      </c>
      <c r="Y19" s="209">
        <v>63.8</v>
      </c>
      <c r="Z19">
        <v>102.74</v>
      </c>
      <c r="AA19" t="s">
        <v>194</v>
      </c>
      <c r="AB19" s="35">
        <v>63.3</v>
      </c>
      <c r="AC19" s="311">
        <f t="shared" ref="AC19:AC25" si="0">(J19+M19+P19+S19+V19+Y19+AB19)/7</f>
        <v>64.528571428571439</v>
      </c>
      <c r="AD19">
        <f>(530+635+643+512+646+472+702+628)/8</f>
        <v>596</v>
      </c>
      <c r="AE19">
        <v>702</v>
      </c>
      <c r="AF19">
        <v>472</v>
      </c>
    </row>
    <row r="20" spans="1:32">
      <c r="A20" t="s">
        <v>159</v>
      </c>
      <c r="B20">
        <v>56.34</v>
      </c>
      <c r="C20" t="s">
        <v>155</v>
      </c>
      <c r="D20">
        <v>62.68</v>
      </c>
      <c r="F20">
        <v>93.98</v>
      </c>
      <c r="G20" t="s">
        <v>169</v>
      </c>
      <c r="H20">
        <v>76.989999999999995</v>
      </c>
      <c r="J20" s="35">
        <v>71.8</v>
      </c>
      <c r="K20">
        <v>90.51</v>
      </c>
      <c r="L20" t="s">
        <v>157</v>
      </c>
      <c r="M20" s="35">
        <v>66.599999999999994</v>
      </c>
      <c r="N20">
        <v>98.91</v>
      </c>
      <c r="P20" s="35">
        <f>(73.5+78.4)/2</f>
        <v>75.95</v>
      </c>
      <c r="Q20">
        <v>126.63</v>
      </c>
      <c r="R20" t="s">
        <v>160</v>
      </c>
      <c r="S20" s="35">
        <f>(68.5+74.9)/2</f>
        <v>71.7</v>
      </c>
      <c r="T20">
        <v>117.91</v>
      </c>
      <c r="U20" t="s">
        <v>157</v>
      </c>
      <c r="V20" s="209">
        <f>(76.1+70.9)/2</f>
        <v>73.5</v>
      </c>
      <c r="W20">
        <v>162.68</v>
      </c>
      <c r="Y20" s="209">
        <f>(72.2+78.1)/2</f>
        <v>75.150000000000006</v>
      </c>
      <c r="Z20">
        <v>120.86</v>
      </c>
      <c r="AA20" t="s">
        <v>194</v>
      </c>
      <c r="AB20" s="35">
        <v>73.3</v>
      </c>
      <c r="AC20" s="311">
        <f t="shared" si="0"/>
        <v>72.571428571428569</v>
      </c>
      <c r="AD20">
        <f>(634+467+533+568+737+697+966+770)/8</f>
        <v>671.5</v>
      </c>
      <c r="AE20">
        <v>966</v>
      </c>
      <c r="AF20">
        <v>467</v>
      </c>
    </row>
    <row r="21" spans="1:32">
      <c r="A21" t="s">
        <v>161</v>
      </c>
      <c r="B21">
        <v>66.83</v>
      </c>
      <c r="D21">
        <v>95.69</v>
      </c>
      <c r="F21">
        <v>92.9</v>
      </c>
      <c r="G21" t="s">
        <v>157</v>
      </c>
      <c r="H21">
        <v>75.099999999999994</v>
      </c>
      <c r="J21" s="35">
        <v>72</v>
      </c>
      <c r="K21">
        <v>98.06</v>
      </c>
      <c r="L21" t="s">
        <v>157</v>
      </c>
      <c r="M21" s="35">
        <f>(72.7+72.3)/2</f>
        <v>72.5</v>
      </c>
      <c r="N21">
        <v>130.33000000000001</v>
      </c>
      <c r="O21" t="s">
        <v>275</v>
      </c>
      <c r="P21" s="35">
        <v>75.2</v>
      </c>
      <c r="Q21">
        <v>166.33</v>
      </c>
      <c r="R21" t="s">
        <v>164</v>
      </c>
      <c r="S21" s="35">
        <v>75.2</v>
      </c>
      <c r="T21">
        <v>140.66</v>
      </c>
      <c r="U21" t="s">
        <v>157</v>
      </c>
      <c r="V21" s="209">
        <v>76</v>
      </c>
      <c r="W21">
        <v>136.38</v>
      </c>
      <c r="X21" t="s">
        <v>157</v>
      </c>
      <c r="Y21" s="209">
        <v>73.3</v>
      </c>
      <c r="Z21">
        <v>106.43</v>
      </c>
      <c r="AA21" t="s">
        <v>194</v>
      </c>
      <c r="AB21" s="35">
        <v>72</v>
      </c>
      <c r="AC21" s="311">
        <f t="shared" si="0"/>
        <v>73.742857142857147</v>
      </c>
      <c r="AD21">
        <f>(659+626+454+582+749+999+865+823+687)/9</f>
        <v>716</v>
      </c>
      <c r="AE21">
        <v>999</v>
      </c>
      <c r="AF21">
        <v>454</v>
      </c>
    </row>
    <row r="22" spans="1:32">
      <c r="A22" t="s">
        <v>163</v>
      </c>
      <c r="B22">
        <v>68.069999999999993</v>
      </c>
      <c r="D22">
        <v>75.33</v>
      </c>
      <c r="F22">
        <v>95.85</v>
      </c>
      <c r="G22" t="s">
        <v>155</v>
      </c>
      <c r="H22">
        <v>104.25</v>
      </c>
      <c r="J22" s="35">
        <v>68.599999999999994</v>
      </c>
      <c r="K22">
        <v>88.4</v>
      </c>
      <c r="L22" t="s">
        <v>166</v>
      </c>
      <c r="M22" s="35">
        <v>69</v>
      </c>
      <c r="N22">
        <v>110.36</v>
      </c>
      <c r="P22" s="35">
        <v>70.2</v>
      </c>
      <c r="Q22">
        <v>124.33</v>
      </c>
      <c r="R22" t="s">
        <v>155</v>
      </c>
      <c r="S22" s="35">
        <v>70.5</v>
      </c>
      <c r="T22">
        <v>108.82</v>
      </c>
      <c r="U22" t="s">
        <v>194</v>
      </c>
      <c r="V22" s="209">
        <v>70.599999999999994</v>
      </c>
      <c r="W22">
        <v>123.75</v>
      </c>
      <c r="Y22" s="209">
        <v>69.400000000000006</v>
      </c>
      <c r="Z22">
        <v>96.7</v>
      </c>
      <c r="AA22" s="51" t="s">
        <v>1090</v>
      </c>
      <c r="AB22" s="35">
        <v>68.400000000000006</v>
      </c>
      <c r="AC22" s="311">
        <f t="shared" si="0"/>
        <v>69.528571428571425</v>
      </c>
      <c r="AD22">
        <f>(506+648+654+518+623+728+651+739+616)/9</f>
        <v>631.44444444444446</v>
      </c>
      <c r="AE22">
        <v>739</v>
      </c>
      <c r="AF22">
        <v>506</v>
      </c>
    </row>
    <row r="23" spans="1:32">
      <c r="A23" t="s">
        <v>165</v>
      </c>
      <c r="B23">
        <v>77.17</v>
      </c>
      <c r="D23">
        <v>71.59</v>
      </c>
      <c r="F23">
        <v>87.66</v>
      </c>
      <c r="G23" s="34"/>
      <c r="H23">
        <v>99.19</v>
      </c>
      <c r="I23" t="s">
        <v>143</v>
      </c>
      <c r="J23" s="35">
        <v>57.1</v>
      </c>
      <c r="K23">
        <v>92.35</v>
      </c>
      <c r="M23" s="35">
        <v>54.3</v>
      </c>
      <c r="N23">
        <v>115.11</v>
      </c>
      <c r="P23" s="35">
        <v>59</v>
      </c>
      <c r="Q23">
        <v>108.07</v>
      </c>
      <c r="R23" t="s">
        <v>155</v>
      </c>
      <c r="S23" s="35">
        <v>61.6</v>
      </c>
      <c r="T23">
        <v>98.85</v>
      </c>
      <c r="V23" s="209">
        <v>56.7</v>
      </c>
      <c r="W23">
        <v>110.79</v>
      </c>
      <c r="Y23" s="209">
        <v>58.7</v>
      </c>
      <c r="Z23">
        <v>89.19</v>
      </c>
      <c r="AA23" s="51" t="s">
        <v>1090</v>
      </c>
      <c r="AB23" s="35">
        <v>58.5</v>
      </c>
      <c r="AC23" s="311">
        <f t="shared" si="0"/>
        <v>57.98571428571428</v>
      </c>
      <c r="AD23">
        <f>(478+587+618+544+653+623+584+653+561)/9</f>
        <v>589</v>
      </c>
      <c r="AE23">
        <v>653</v>
      </c>
      <c r="AF23">
        <v>478</v>
      </c>
    </row>
    <row r="24" spans="1:32">
      <c r="A24" t="s">
        <v>167</v>
      </c>
      <c r="B24">
        <v>89.35</v>
      </c>
      <c r="C24" t="s">
        <v>157</v>
      </c>
      <c r="D24">
        <v>73.33</v>
      </c>
      <c r="F24">
        <v>88.47</v>
      </c>
      <c r="G24" s="35"/>
      <c r="H24">
        <v>101.38</v>
      </c>
      <c r="I24" t="s">
        <v>143</v>
      </c>
      <c r="J24" s="35">
        <v>46.9</v>
      </c>
      <c r="K24">
        <v>100.99</v>
      </c>
      <c r="M24" s="35">
        <v>47.2</v>
      </c>
      <c r="N24">
        <v>107.81</v>
      </c>
      <c r="P24" s="35">
        <v>46.5</v>
      </c>
      <c r="Q24">
        <v>81.88</v>
      </c>
      <c r="R24" t="s">
        <v>194</v>
      </c>
      <c r="S24" s="35">
        <v>47.4</v>
      </c>
      <c r="T24" s="36">
        <v>82.04</v>
      </c>
      <c r="V24" s="209">
        <v>49.6</v>
      </c>
      <c r="W24">
        <v>115.17</v>
      </c>
      <c r="X24" t="s">
        <v>340</v>
      </c>
      <c r="Y24" s="209">
        <v>46</v>
      </c>
      <c r="Z24">
        <v>62.49</v>
      </c>
      <c r="AA24" t="s">
        <v>340</v>
      </c>
      <c r="AB24" s="35">
        <v>49.7</v>
      </c>
      <c r="AC24" s="311">
        <f t="shared" si="0"/>
        <v>47.614285714285714</v>
      </c>
      <c r="AD24">
        <f>(491+593+633+601+607+454+471+682+366)/9</f>
        <v>544.22222222222217</v>
      </c>
      <c r="AE24">
        <v>682</v>
      </c>
      <c r="AF24">
        <v>366</v>
      </c>
    </row>
    <row r="25" spans="1:32">
      <c r="A25" t="s">
        <v>168</v>
      </c>
      <c r="B25">
        <v>102.62</v>
      </c>
      <c r="D25">
        <v>97.68</v>
      </c>
      <c r="F25">
        <v>91.56</v>
      </c>
      <c r="G25" t="s">
        <v>142</v>
      </c>
      <c r="H25">
        <v>104.87</v>
      </c>
      <c r="I25" t="s">
        <v>143</v>
      </c>
      <c r="J25" s="35">
        <v>33.200000000000003</v>
      </c>
      <c r="K25">
        <v>48.23</v>
      </c>
      <c r="L25" t="s">
        <v>142</v>
      </c>
      <c r="M25" s="35">
        <v>39.799999999999997</v>
      </c>
      <c r="N25">
        <v>99.75</v>
      </c>
      <c r="P25" s="35">
        <v>35.6</v>
      </c>
      <c r="Q25">
        <v>84.51</v>
      </c>
      <c r="S25" s="35">
        <v>42.5</v>
      </c>
      <c r="T25">
        <v>111.5</v>
      </c>
      <c r="U25" t="s">
        <v>340</v>
      </c>
      <c r="V25" s="209">
        <v>36.799999999999997</v>
      </c>
      <c r="W25">
        <v>130.52000000000001</v>
      </c>
      <c r="X25" t="s">
        <v>340</v>
      </c>
      <c r="Y25" s="209">
        <v>33.4</v>
      </c>
      <c r="Z25">
        <v>103.69</v>
      </c>
      <c r="AA25" t="s">
        <v>1091</v>
      </c>
      <c r="AB25" s="35">
        <v>34.6</v>
      </c>
      <c r="AC25" s="311">
        <f t="shared" si="0"/>
        <v>36.557142857142857</v>
      </c>
      <c r="AD25">
        <f>(674+616+657+253+556+471+669+784+667)/9</f>
        <v>594.11111111111109</v>
      </c>
      <c r="AE25">
        <v>784</v>
      </c>
      <c r="AF25">
        <v>471</v>
      </c>
    </row>
    <row r="26" spans="1:32" ht="13.5" thickBot="1">
      <c r="A26" s="37" t="s">
        <v>82</v>
      </c>
      <c r="B26" s="37">
        <f>SUM(B13:B24)</f>
        <v>948.36000000000013</v>
      </c>
      <c r="C26" s="37"/>
      <c r="D26" s="37">
        <f>SUM(D13:D24)</f>
        <v>865.5200000000001</v>
      </c>
      <c r="E26" s="37"/>
      <c r="F26" s="37">
        <f>SUM(F13:F24)</f>
        <v>930.66</v>
      </c>
      <c r="G26" s="37"/>
      <c r="H26" s="37">
        <f>SUM(H13:H24)</f>
        <v>1029.6999999999998</v>
      </c>
      <c r="I26" s="37"/>
      <c r="J26" s="304">
        <f>SUM(J14:J25)/12</f>
        <v>50.016666666666673</v>
      </c>
      <c r="K26" s="37">
        <f>SUM(K13:K24)</f>
        <v>1269.6500000000001</v>
      </c>
      <c r="L26" s="37"/>
      <c r="M26" s="304">
        <f>SUM(M14:M25)/12</f>
        <v>49.24583333333333</v>
      </c>
      <c r="N26" s="37">
        <f>SUM(N13:N24)</f>
        <v>1181.3599999999999</v>
      </c>
      <c r="O26" s="37"/>
      <c r="P26" s="304">
        <f>SUM(P14:P25)/12</f>
        <v>51.974999999999994</v>
      </c>
      <c r="Q26" s="37">
        <f>SUM(Q13:Q24)</f>
        <v>1269.3200000000002</v>
      </c>
      <c r="R26" s="37"/>
      <c r="S26" s="304">
        <f>SUM(S14:S25)/12</f>
        <v>50.87083333333333</v>
      </c>
      <c r="T26" s="107">
        <f>SUM(T13:T24)</f>
        <v>1122.1599999999999</v>
      </c>
      <c r="U26" s="107"/>
      <c r="V26" s="304">
        <f>SUM(V14:V25)/12</f>
        <v>52.620833333333337</v>
      </c>
      <c r="W26" s="107">
        <f>SUM(W13:W24)</f>
        <v>1339.65</v>
      </c>
      <c r="X26" s="107"/>
      <c r="Y26" s="304">
        <f>SUM(Y14:Y25)/12</f>
        <v>50.487500000000004</v>
      </c>
      <c r="Z26" s="107">
        <f>SUM(Z13:Z24)</f>
        <v>1144.8700000000001</v>
      </c>
      <c r="AA26" s="107"/>
      <c r="AB26" s="304">
        <f>SUM(AB14:AB25)/12</f>
        <v>48.808333333333337</v>
      </c>
      <c r="AC26" s="312">
        <f>SUM(AC14:AC25)/12</f>
        <v>50.574999999999996</v>
      </c>
      <c r="AD26" s="107">
        <f>SUM(AD13:AD24)</f>
        <v>7096.2202380952385</v>
      </c>
      <c r="AE26" s="37">
        <f>SUM(AE13:AE24)</f>
        <v>9264</v>
      </c>
      <c r="AF26" s="37">
        <f>SUM(AF13:AF24)</f>
        <v>5016</v>
      </c>
    </row>
    <row r="27" spans="1:32" ht="13.5" thickTop="1">
      <c r="A27" t="s">
        <v>83</v>
      </c>
      <c r="B27">
        <f>B26/12</f>
        <v>79.030000000000015</v>
      </c>
      <c r="D27">
        <f>D26/12</f>
        <v>72.126666666666679</v>
      </c>
      <c r="F27">
        <f>F26/12</f>
        <v>77.554999999999993</v>
      </c>
      <c r="H27">
        <f>H26/12</f>
        <v>85.808333333333323</v>
      </c>
      <c r="K27">
        <f>K26/12</f>
        <v>105.80416666666667</v>
      </c>
      <c r="N27">
        <f>N26/12</f>
        <v>98.446666666666658</v>
      </c>
      <c r="Q27">
        <f>Q26/12</f>
        <v>105.77666666666669</v>
      </c>
      <c r="T27">
        <f>T26/12</f>
        <v>93.513333333333321</v>
      </c>
      <c r="W27">
        <f>W26/12</f>
        <v>111.6375</v>
      </c>
      <c r="Z27">
        <f>Z26/12</f>
        <v>95.405833333333348</v>
      </c>
    </row>
    <row r="28" spans="1:32">
      <c r="A28" t="s">
        <v>170</v>
      </c>
      <c r="D28">
        <f>659+506+478+491+674</f>
        <v>2808</v>
      </c>
      <c r="F28">
        <f>633+488+505+479+516+530+634+626+648+587+593+616</f>
        <v>6855</v>
      </c>
      <c r="H28">
        <f>843+679+561+555+518+635+476+454+654+618+633+657</f>
        <v>7283</v>
      </c>
      <c r="K28">
        <f>1314+815+886+727+514+643+533+582+518+544+601+253</f>
        <v>7930</v>
      </c>
      <c r="N28">
        <f>735+646+628+560+616+512+568+749+623+653+607+556</f>
        <v>7453</v>
      </c>
      <c r="Q28">
        <f>792+670+607+494+559+646+737+999+728+623+454+471</f>
        <v>7780</v>
      </c>
      <c r="T28">
        <f>884+759+552+350+297+472+697+865+651+584+471+669</f>
        <v>7251</v>
      </c>
      <c r="W28">
        <f>752+626+615+695+487+702+966+823+739+653+682+784</f>
        <v>8524</v>
      </c>
      <c r="Z28">
        <f>763+898+563+546+698+628+(420+350)+687+616+561+366+667</f>
        <v>7763</v>
      </c>
      <c r="AD28">
        <f>SUM(AD13:AD24)</f>
        <v>7096.2202380952385</v>
      </c>
      <c r="AE28">
        <f>SUM(AE13:AE24)</f>
        <v>9264</v>
      </c>
      <c r="AF28">
        <f>SUM(AF13:AF24)</f>
        <v>5016</v>
      </c>
    </row>
    <row r="29" spans="1:32">
      <c r="A29" t="s">
        <v>172</v>
      </c>
      <c r="D29">
        <f>D28/5</f>
        <v>561.6</v>
      </c>
      <c r="F29">
        <f>F28/12</f>
        <v>571.25</v>
      </c>
      <c r="H29">
        <f>H28/12</f>
        <v>606.91666666666663</v>
      </c>
      <c r="K29">
        <f>K28/12</f>
        <v>660.83333333333337</v>
      </c>
      <c r="N29">
        <f>N28/12</f>
        <v>621.08333333333337</v>
      </c>
      <c r="Q29">
        <f>Q28/12</f>
        <v>648.33333333333337</v>
      </c>
      <c r="T29">
        <f>T28/12</f>
        <v>604.25</v>
      </c>
      <c r="W29">
        <f>W28/12</f>
        <v>710.33333333333337</v>
      </c>
      <c r="Z29">
        <f>Z28/12</f>
        <v>646.91666666666663</v>
      </c>
    </row>
    <row r="32" spans="1:32" ht="15.75">
      <c r="A32" s="31" t="s">
        <v>179</v>
      </c>
    </row>
    <row r="33" spans="1:31">
      <c r="A33" s="38"/>
    </row>
    <row r="34" spans="1:31">
      <c r="A34" s="38"/>
      <c r="B34" t="s">
        <v>181</v>
      </c>
    </row>
    <row r="35" spans="1:31">
      <c r="A35" s="38"/>
      <c r="B35" t="s">
        <v>182</v>
      </c>
    </row>
    <row r="36" spans="1:31">
      <c r="A36" s="38"/>
      <c r="B36" t="s">
        <v>183</v>
      </c>
    </row>
    <row r="37" spans="1:31">
      <c r="A37" s="38"/>
      <c r="B37" t="s">
        <v>185</v>
      </c>
    </row>
    <row r="38" spans="1:31">
      <c r="A38" s="38"/>
      <c r="B38" t="s">
        <v>187</v>
      </c>
    </row>
    <row r="39" spans="1:31">
      <c r="A39" s="38"/>
      <c r="B39" t="s">
        <v>442</v>
      </c>
    </row>
    <row r="40" spans="1:31">
      <c r="A40" s="38"/>
      <c r="AE40" t="s">
        <v>190</v>
      </c>
    </row>
    <row r="41" spans="1:31">
      <c r="A41" s="110" t="s">
        <v>191</v>
      </c>
      <c r="B41" s="111">
        <v>2005</v>
      </c>
      <c r="C41" s="111"/>
      <c r="D41" s="111">
        <v>2006</v>
      </c>
      <c r="E41" s="111"/>
      <c r="F41" s="111">
        <v>2007</v>
      </c>
      <c r="G41" s="111"/>
      <c r="H41" s="111">
        <v>2008</v>
      </c>
      <c r="I41" s="111"/>
      <c r="J41" s="111"/>
      <c r="K41" s="111">
        <v>2009</v>
      </c>
      <c r="L41" s="111"/>
      <c r="M41" s="111"/>
      <c r="N41" s="111">
        <v>2010</v>
      </c>
      <c r="O41" s="111"/>
      <c r="P41" s="111"/>
      <c r="Q41" s="111">
        <v>2011</v>
      </c>
      <c r="R41" s="111"/>
      <c r="S41" s="111"/>
      <c r="T41" s="111">
        <v>2012</v>
      </c>
      <c r="U41" s="141" t="s">
        <v>443</v>
      </c>
      <c r="V41" s="141"/>
      <c r="W41" s="111">
        <v>2013</v>
      </c>
      <c r="X41" s="141" t="s">
        <v>443</v>
      </c>
      <c r="Y41" s="141"/>
      <c r="Z41" s="141">
        <v>2014</v>
      </c>
      <c r="AA41" s="36"/>
      <c r="AB41" s="36"/>
      <c r="AC41" s="36"/>
      <c r="AE41" t="s">
        <v>172</v>
      </c>
    </row>
    <row r="43" spans="1:31">
      <c r="A43" t="s">
        <v>141</v>
      </c>
    </row>
    <row r="44" spans="1:31">
      <c r="A44" t="s">
        <v>148</v>
      </c>
      <c r="D44">
        <v>53.26</v>
      </c>
      <c r="E44" t="s">
        <v>194</v>
      </c>
      <c r="F44">
        <v>53.21</v>
      </c>
      <c r="G44" t="s">
        <v>194</v>
      </c>
      <c r="H44">
        <v>94.8</v>
      </c>
      <c r="I44" t="s">
        <v>195</v>
      </c>
      <c r="K44">
        <v>70.05</v>
      </c>
      <c r="N44">
        <v>43.65</v>
      </c>
      <c r="Q44">
        <v>52.7</v>
      </c>
      <c r="T44">
        <v>59</v>
      </c>
      <c r="W44">
        <v>53.15</v>
      </c>
      <c r="Z44">
        <v>57.05</v>
      </c>
    </row>
    <row r="45" spans="1:31">
      <c r="A45" t="s">
        <v>154</v>
      </c>
      <c r="AE45">
        <f>(1360+1340+4200+2700+1100+1400+1500+1200+1400)/9</f>
        <v>1800</v>
      </c>
    </row>
    <row r="46" spans="1:31">
      <c r="A46" t="s">
        <v>156</v>
      </c>
    </row>
    <row r="47" spans="1:31">
      <c r="A47" t="s">
        <v>10</v>
      </c>
      <c r="D47">
        <v>98.16</v>
      </c>
      <c r="E47" t="s">
        <v>194</v>
      </c>
      <c r="F47">
        <v>48.56</v>
      </c>
      <c r="H47">
        <v>81.599999999999994</v>
      </c>
      <c r="I47" t="s">
        <v>194</v>
      </c>
      <c r="K47">
        <v>81.599999999999994</v>
      </c>
      <c r="N47" s="33">
        <v>126.15</v>
      </c>
      <c r="O47" t="s">
        <v>197</v>
      </c>
      <c r="Q47">
        <v>58.1</v>
      </c>
      <c r="T47">
        <v>98</v>
      </c>
      <c r="W47">
        <v>66.8</v>
      </c>
      <c r="Z47">
        <v>59</v>
      </c>
    </row>
    <row r="48" spans="1:31">
      <c r="A48" t="s">
        <v>158</v>
      </c>
      <c r="AE48">
        <f>(5500+1700+3400+3400+6100+1700+3500+1900+1500)/9</f>
        <v>3188.8888888888887</v>
      </c>
    </row>
    <row r="49" spans="1:31">
      <c r="A49" t="s">
        <v>159</v>
      </c>
    </row>
    <row r="50" spans="1:31">
      <c r="A50" t="s">
        <v>161</v>
      </c>
      <c r="B50">
        <v>192.06</v>
      </c>
      <c r="C50" t="s">
        <v>194</v>
      </c>
      <c r="D50" s="33">
        <v>312.06</v>
      </c>
      <c r="E50" t="s">
        <v>194</v>
      </c>
      <c r="F50">
        <v>157.06</v>
      </c>
      <c r="H50">
        <v>103.05</v>
      </c>
      <c r="K50">
        <v>147.6</v>
      </c>
      <c r="N50">
        <v>187.2</v>
      </c>
      <c r="O50" t="s">
        <v>197</v>
      </c>
      <c r="Q50">
        <v>157.1</v>
      </c>
      <c r="T50">
        <v>314.45</v>
      </c>
      <c r="W50">
        <v>220.85</v>
      </c>
      <c r="Z50">
        <v>160.4</v>
      </c>
    </row>
    <row r="51" spans="1:31">
      <c r="A51" t="s">
        <v>163</v>
      </c>
      <c r="E51" t="s">
        <v>160</v>
      </c>
      <c r="AE51">
        <f>(11700+17500+8700+4700+7400+9800+7200+14600+9800+6700)/10</f>
        <v>9810</v>
      </c>
    </row>
    <row r="52" spans="1:31">
      <c r="A52" t="s">
        <v>165</v>
      </c>
    </row>
    <row r="53" spans="1:31">
      <c r="A53" t="s">
        <v>167</v>
      </c>
      <c r="B53">
        <v>181.11</v>
      </c>
      <c r="C53" t="s">
        <v>194</v>
      </c>
      <c r="D53">
        <v>191.16</v>
      </c>
      <c r="E53" t="s">
        <v>194</v>
      </c>
      <c r="F53">
        <v>190.25</v>
      </c>
      <c r="H53">
        <v>114.6</v>
      </c>
      <c r="K53" s="33">
        <v>312.60000000000002</v>
      </c>
      <c r="L53" t="s">
        <v>197</v>
      </c>
      <c r="N53">
        <v>94.8</v>
      </c>
      <c r="Q53">
        <v>131.15</v>
      </c>
      <c r="T53">
        <v>264.85000000000002</v>
      </c>
      <c r="W53">
        <v>240.35</v>
      </c>
      <c r="Z53">
        <v>66.8</v>
      </c>
    </row>
    <row r="54" spans="1:31">
      <c r="A54" t="s">
        <v>168</v>
      </c>
      <c r="AE54">
        <f>(10900+11500+11500+5400+17400+4200+5200+11800+10800+1900)/10</f>
        <v>9060</v>
      </c>
    </row>
    <row r="55" spans="1:31" ht="13.5" thickBot="1">
      <c r="A55" s="30" t="s">
        <v>82</v>
      </c>
      <c r="B55" s="30">
        <f>SUM(B50:B53)</f>
        <v>373.17</v>
      </c>
      <c r="C55" s="30"/>
      <c r="D55" s="30">
        <f>SUM(D43:D53)</f>
        <v>654.64</v>
      </c>
      <c r="E55" s="30"/>
      <c r="F55" s="30">
        <f>SUM(F43:F53)</f>
        <v>449.08000000000004</v>
      </c>
      <c r="G55" s="30"/>
      <c r="H55" s="30">
        <f>SUM(H43:H53)</f>
        <v>394.04999999999995</v>
      </c>
      <c r="I55" s="30"/>
      <c r="J55" s="30"/>
      <c r="K55" s="30">
        <f>SUM(K43:K53)</f>
        <v>611.85</v>
      </c>
      <c r="L55" s="30"/>
      <c r="M55" s="30"/>
      <c r="N55" s="30">
        <f>SUM(N43:N53)</f>
        <v>451.8</v>
      </c>
      <c r="O55" s="30"/>
      <c r="P55" s="30"/>
      <c r="Q55" s="30">
        <f>SUM(Q43:Q53)</f>
        <v>399.04999999999995</v>
      </c>
      <c r="R55" s="30"/>
      <c r="S55" s="36"/>
      <c r="T55" s="52">
        <f>SUM(T43:T53)</f>
        <v>736.3</v>
      </c>
      <c r="U55" s="52"/>
      <c r="V55" s="52"/>
      <c r="W55" s="52">
        <f>SUM(W43:W53)</f>
        <v>581.15</v>
      </c>
      <c r="X55" s="52"/>
      <c r="Y55" s="52"/>
      <c r="Z55" s="52">
        <f>SUM(Z43:Z54)</f>
        <v>343.25</v>
      </c>
      <c r="AA55" s="30"/>
      <c r="AB55" s="30"/>
      <c r="AC55" s="30"/>
      <c r="AD55" s="30"/>
      <c r="AE55" s="52">
        <f>SUM(AE43:AE54)</f>
        <v>23858.888888888891</v>
      </c>
    </row>
    <row r="56" spans="1:31" ht="13.5" thickTop="1">
      <c r="A56" t="s">
        <v>203</v>
      </c>
      <c r="B56">
        <f>B55/10</f>
        <v>37.317</v>
      </c>
      <c r="D56">
        <f>D55/12</f>
        <v>54.553333333333335</v>
      </c>
      <c r="F56">
        <f>F55/12</f>
        <v>37.423333333333339</v>
      </c>
      <c r="H56">
        <f>H55/12</f>
        <v>32.837499999999999</v>
      </c>
      <c r="K56">
        <f>K55/12</f>
        <v>50.987500000000004</v>
      </c>
      <c r="N56">
        <f>N55/12</f>
        <v>37.65</v>
      </c>
      <c r="Q56">
        <f>Q55/12</f>
        <v>33.254166666666663</v>
      </c>
      <c r="T56">
        <f>T55/12</f>
        <v>61.358333333333327</v>
      </c>
      <c r="W56">
        <f>W55/12</f>
        <v>48.429166666666667</v>
      </c>
      <c r="Z56">
        <f>Z55/12</f>
        <v>28.604166666666668</v>
      </c>
    </row>
    <row r="57" spans="1:31">
      <c r="A57" t="s">
        <v>175</v>
      </c>
      <c r="B57">
        <f>11700+10900</f>
        <v>22600</v>
      </c>
      <c r="C57" t="s">
        <v>194</v>
      </c>
      <c r="D57">
        <f>1360+5500+17500+11500</f>
        <v>35860</v>
      </c>
      <c r="E57" t="s">
        <v>194</v>
      </c>
      <c r="F57">
        <f>1340+1700+8700+11500</f>
        <v>23240</v>
      </c>
      <c r="H57">
        <f>4200+3400+4700+5400</f>
        <v>17700</v>
      </c>
      <c r="K57">
        <f>2700+3400+7400+17400</f>
        <v>30900</v>
      </c>
      <c r="N57">
        <f>1100+6100+9800+4200</f>
        <v>21200</v>
      </c>
      <c r="Q57">
        <f>1400+1700+7200+5200</f>
        <v>15500</v>
      </c>
      <c r="T57">
        <f>1500+3500+14600+11800</f>
        <v>31400</v>
      </c>
      <c r="W57">
        <f>1200+1900+9800+10800</f>
        <v>23700</v>
      </c>
      <c r="Z57">
        <f>1400+1500+6700+1900</f>
        <v>11500</v>
      </c>
    </row>
    <row r="65533" ht="13.5" customHeight="1"/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ignoredErrors>
    <ignoredError sqref="T2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2"/>
  <sheetViews>
    <sheetView workbookViewId="0">
      <pane ySplit="1335" topLeftCell="A29" activePane="bottomLeft"/>
      <selection activeCell="F2" sqref="F2"/>
      <selection pane="bottomLeft" activeCell="O69" sqref="O69"/>
    </sheetView>
  </sheetViews>
  <sheetFormatPr defaultRowHeight="12.75"/>
  <cols>
    <col min="1" max="1" width="10.140625" style="180" customWidth="1"/>
    <col min="2" max="2" width="9.42578125" style="180" customWidth="1"/>
    <col min="3" max="3" width="3.28515625" style="180" customWidth="1"/>
    <col min="4" max="4" width="9" style="180" customWidth="1"/>
    <col min="5" max="5" width="2.7109375" style="180" customWidth="1"/>
    <col min="6" max="6" width="9.140625" style="180"/>
    <col min="7" max="7" width="2.7109375" style="180" customWidth="1"/>
    <col min="8" max="8" width="9" style="180" customWidth="1"/>
    <col min="9" max="9" width="3.28515625" style="180" customWidth="1"/>
    <col min="10" max="10" width="4.42578125" style="180" customWidth="1"/>
    <col min="11" max="11" width="10.28515625" style="180" customWidth="1"/>
    <col min="12" max="12" width="2.7109375" style="180" customWidth="1"/>
    <col min="13" max="13" width="10.28515625" style="180" customWidth="1"/>
    <col min="14" max="14" width="2.7109375" style="180" customWidth="1"/>
    <col min="15" max="15" width="9.28515625" style="180" customWidth="1"/>
    <col min="16" max="16" width="3.5703125" style="180" customWidth="1"/>
    <col min="17" max="17" width="8" style="180" customWidth="1"/>
    <col min="18" max="18" width="2.85546875" style="180" customWidth="1"/>
    <col min="19" max="19" width="9.42578125" style="180" customWidth="1"/>
    <col min="20" max="20" width="2.7109375" style="180" customWidth="1"/>
    <col min="21" max="21" width="7.42578125" style="180" customWidth="1"/>
    <col min="22" max="22" width="2.7109375" style="180" customWidth="1"/>
    <col min="23" max="23" width="7.5703125" style="180" customWidth="1"/>
    <col min="24" max="24" width="2.7109375" style="180" customWidth="1"/>
    <col min="25" max="25" width="9" style="180" customWidth="1"/>
    <col min="26" max="26" width="2.7109375" style="180" customWidth="1"/>
    <col min="27" max="27" width="10.140625" style="180" customWidth="1"/>
    <col min="28" max="28" width="2.7109375" style="180" customWidth="1"/>
    <col min="29" max="29" width="9.85546875" style="180" customWidth="1"/>
    <col min="30" max="30" width="3.7109375" style="180" customWidth="1"/>
    <col min="31" max="31" width="10.140625" style="180" customWidth="1"/>
    <col min="32" max="32" width="3" style="180" customWidth="1"/>
    <col min="33" max="33" width="10.140625" style="180" customWidth="1"/>
    <col min="34" max="34" width="3" style="180" customWidth="1"/>
    <col min="35" max="35" width="10.140625" style="180" customWidth="1"/>
    <col min="36" max="36" width="3" style="180" customWidth="1"/>
    <col min="37" max="37" width="10.140625" style="180" customWidth="1"/>
    <col min="38" max="38" width="3" style="180" customWidth="1"/>
    <col min="39" max="39" width="1.85546875" style="180" customWidth="1"/>
    <col min="40" max="48" width="9" style="180" customWidth="1"/>
    <col min="49" max="16384" width="9.140625" style="180"/>
  </cols>
  <sheetData>
    <row r="1" spans="1:42" ht="15.75">
      <c r="A1" s="179" t="s">
        <v>120</v>
      </c>
      <c r="F1" s="181" t="s">
        <v>783</v>
      </c>
    </row>
    <row r="2" spans="1:42">
      <c r="A2" s="180" t="s">
        <v>775</v>
      </c>
      <c r="W2" s="180" t="s">
        <v>121</v>
      </c>
      <c r="X2" s="182"/>
    </row>
    <row r="3" spans="1:42">
      <c r="A3" s="180" t="s">
        <v>619</v>
      </c>
      <c r="AN3" s="183"/>
    </row>
    <row r="4" spans="1:42">
      <c r="A4" s="180" t="s">
        <v>604</v>
      </c>
      <c r="AN4" s="183"/>
    </row>
    <row r="5" spans="1:42">
      <c r="A5" s="180" t="s">
        <v>621</v>
      </c>
      <c r="AN5" s="183"/>
    </row>
    <row r="6" spans="1:42">
      <c r="A6" s="180" t="s">
        <v>122</v>
      </c>
      <c r="K6" s="180" t="s">
        <v>124</v>
      </c>
    </row>
    <row r="7" spans="1:42">
      <c r="A7" s="180" t="s">
        <v>130</v>
      </c>
    </row>
    <row r="8" spans="1:42">
      <c r="A8" s="180" t="s">
        <v>128</v>
      </c>
    </row>
    <row r="9" spans="1:42">
      <c r="A9" s="184" t="s">
        <v>648</v>
      </c>
    </row>
    <row r="10" spans="1:42">
      <c r="C10" s="343" t="s">
        <v>665</v>
      </c>
    </row>
    <row r="12" spans="1:42">
      <c r="A12" s="184"/>
      <c r="AP12" s="182"/>
    </row>
    <row r="13" spans="1:42">
      <c r="W13" s="182" t="s">
        <v>135</v>
      </c>
    </row>
    <row r="14" spans="1:42">
      <c r="A14" s="185"/>
      <c r="B14" s="331">
        <v>2005</v>
      </c>
      <c r="C14" s="263"/>
      <c r="D14" s="331">
        <v>2006</v>
      </c>
      <c r="E14" s="263"/>
      <c r="F14" s="331">
        <v>2007</v>
      </c>
      <c r="G14" s="263"/>
      <c r="H14" s="331">
        <v>2008</v>
      </c>
      <c r="I14" s="262"/>
      <c r="J14" s="263"/>
      <c r="K14" s="186">
        <v>2009</v>
      </c>
      <c r="L14" s="186"/>
      <c r="M14" s="331">
        <v>2010</v>
      </c>
      <c r="N14" s="263"/>
      <c r="O14" s="317" t="s">
        <v>622</v>
      </c>
      <c r="P14" s="318"/>
      <c r="Q14" s="319">
        <v>2011</v>
      </c>
      <c r="R14" s="318"/>
      <c r="S14" s="318" t="s">
        <v>162</v>
      </c>
      <c r="T14" s="320"/>
      <c r="W14" s="182"/>
    </row>
    <row r="15" spans="1:42">
      <c r="A15" s="185"/>
      <c r="B15" s="213"/>
      <c r="C15" s="143"/>
      <c r="D15" s="143"/>
      <c r="E15" s="143"/>
      <c r="F15" s="143"/>
      <c r="G15" s="143"/>
      <c r="H15" s="239" t="s">
        <v>144</v>
      </c>
      <c r="I15" s="239"/>
      <c r="J15" s="143"/>
      <c r="K15" s="187"/>
      <c r="L15" s="187"/>
      <c r="M15" s="143"/>
      <c r="N15" s="143"/>
      <c r="O15" s="321" t="s">
        <v>145</v>
      </c>
      <c r="P15" s="192"/>
      <c r="Q15" s="191" t="s">
        <v>146</v>
      </c>
      <c r="R15" s="192"/>
      <c r="S15" s="191" t="s">
        <v>147</v>
      </c>
      <c r="T15" s="322"/>
      <c r="W15" s="182"/>
    </row>
    <row r="16" spans="1:42">
      <c r="A16" s="195"/>
      <c r="B16" s="213"/>
      <c r="C16" s="143"/>
      <c r="D16" s="143"/>
      <c r="E16" s="143"/>
      <c r="F16" s="143"/>
      <c r="G16" s="143"/>
      <c r="H16" s="143"/>
      <c r="I16" s="143"/>
      <c r="J16" s="209" t="s">
        <v>610</v>
      </c>
      <c r="K16" s="143"/>
      <c r="L16" s="209" t="s">
        <v>610</v>
      </c>
      <c r="M16" s="197"/>
      <c r="N16" s="197"/>
      <c r="O16" s="323"/>
      <c r="P16" s="199" t="s">
        <v>610</v>
      </c>
      <c r="Q16" s="200" t="s">
        <v>149</v>
      </c>
      <c r="R16" s="201"/>
      <c r="S16" s="196"/>
      <c r="T16" s="324"/>
      <c r="W16" s="180" t="s">
        <v>152</v>
      </c>
      <c r="Y16" s="180" t="s">
        <v>153</v>
      </c>
      <c r="AA16" s="180" t="s">
        <v>151</v>
      </c>
    </row>
    <row r="17" spans="1:28">
      <c r="A17" s="332" t="s">
        <v>141</v>
      </c>
      <c r="B17" s="210"/>
      <c r="C17" s="264"/>
      <c r="D17" s="210">
        <v>229.43</v>
      </c>
      <c r="E17" s="264"/>
      <c r="F17" s="210">
        <v>291.18</v>
      </c>
      <c r="G17" s="264"/>
      <c r="H17" s="210">
        <v>313.17</v>
      </c>
      <c r="I17" s="309" t="s">
        <v>155</v>
      </c>
      <c r="J17" s="334">
        <v>31</v>
      </c>
      <c r="K17" s="210">
        <v>449.99</v>
      </c>
      <c r="L17" s="334">
        <f>(28+20.9)/2</f>
        <v>24.45</v>
      </c>
      <c r="M17" s="187">
        <v>325.88</v>
      </c>
      <c r="N17" s="35">
        <f>(24.2+25.3)/2</f>
        <v>24.75</v>
      </c>
      <c r="O17" s="216">
        <v>359.66</v>
      </c>
      <c r="P17" s="305">
        <f>(27.6+28.1)/2</f>
        <v>27.85</v>
      </c>
      <c r="Q17" s="188">
        <v>0</v>
      </c>
      <c r="R17" s="192"/>
      <c r="S17" s="188">
        <f t="shared" ref="S17:S28" si="0">O17+Q17</f>
        <v>359.66</v>
      </c>
      <c r="T17" s="325"/>
      <c r="W17" s="180">
        <v>165.5</v>
      </c>
      <c r="Y17" s="180">
        <v>122.1</v>
      </c>
      <c r="AA17" s="180">
        <f>(122.1+149.4+149.2+165.5+144.9+141.1)/6</f>
        <v>145.36666666666667</v>
      </c>
    </row>
    <row r="18" spans="1:28">
      <c r="A18" s="333" t="s">
        <v>148</v>
      </c>
      <c r="B18" s="216"/>
      <c r="C18" s="267"/>
      <c r="D18" s="216">
        <v>268.13</v>
      </c>
      <c r="E18" s="267"/>
      <c r="F18" s="216">
        <v>391.36</v>
      </c>
      <c r="G18" s="267"/>
      <c r="H18" s="216">
        <v>309.60000000000002</v>
      </c>
      <c r="I18" s="143" t="s">
        <v>155</v>
      </c>
      <c r="J18" s="335">
        <v>27.4</v>
      </c>
      <c r="K18" s="216">
        <v>360.54</v>
      </c>
      <c r="L18" s="335">
        <v>23.2</v>
      </c>
      <c r="M18" s="143">
        <v>262.45999999999998</v>
      </c>
      <c r="N18" s="35">
        <v>27.5</v>
      </c>
      <c r="O18" s="216">
        <v>331.88</v>
      </c>
      <c r="P18" s="305">
        <v>20.6</v>
      </c>
      <c r="Q18" s="213">
        <v>0</v>
      </c>
      <c r="R18" s="211"/>
      <c r="S18" s="213">
        <f t="shared" si="0"/>
        <v>331.88</v>
      </c>
      <c r="T18" s="267"/>
      <c r="W18" s="180">
        <v>200.8</v>
      </c>
      <c r="Y18" s="180">
        <v>116.7</v>
      </c>
      <c r="AA18" s="180">
        <f>(142.7+200.8+147.5+132.6+116.7+130.2)/6</f>
        <v>145.08333333333334</v>
      </c>
    </row>
    <row r="19" spans="1:28">
      <c r="A19" s="333" t="s">
        <v>154</v>
      </c>
      <c r="B19" s="216" t="s">
        <v>814</v>
      </c>
      <c r="C19" s="267"/>
      <c r="D19" s="216">
        <v>222.29</v>
      </c>
      <c r="E19" s="267"/>
      <c r="F19" s="216">
        <v>205.23</v>
      </c>
      <c r="G19" s="267"/>
      <c r="H19" s="216">
        <v>258.81</v>
      </c>
      <c r="I19" s="143"/>
      <c r="J19" s="335">
        <v>31.7</v>
      </c>
      <c r="K19" s="216">
        <v>246.89</v>
      </c>
      <c r="L19" s="335">
        <v>31.7</v>
      </c>
      <c r="M19" s="143">
        <v>188.92</v>
      </c>
      <c r="N19" s="35">
        <v>37.4</v>
      </c>
      <c r="O19" s="216">
        <v>217.17</v>
      </c>
      <c r="P19" s="305">
        <v>31.8</v>
      </c>
      <c r="Q19" s="213">
        <v>0</v>
      </c>
      <c r="R19" s="211"/>
      <c r="S19" s="213">
        <f t="shared" si="0"/>
        <v>217.17</v>
      </c>
      <c r="T19" s="267"/>
      <c r="W19" s="180">
        <v>123.3</v>
      </c>
      <c r="Y19" s="180">
        <v>84</v>
      </c>
      <c r="AA19" s="180">
        <f>(118.3+105.3+123.3+90.8+84+85.2)/6</f>
        <v>101.15000000000002</v>
      </c>
    </row>
    <row r="20" spans="1:28">
      <c r="A20" s="333" t="s">
        <v>156</v>
      </c>
      <c r="B20" s="216"/>
      <c r="C20" s="267"/>
      <c r="D20" s="216">
        <v>98.46</v>
      </c>
      <c r="E20" s="267"/>
      <c r="F20" s="216">
        <v>184.38</v>
      </c>
      <c r="G20" s="267"/>
      <c r="H20" s="216">
        <v>183.4</v>
      </c>
      <c r="I20" s="143"/>
      <c r="J20" s="335">
        <v>40.799999999999997</v>
      </c>
      <c r="K20" s="216">
        <v>106.86</v>
      </c>
      <c r="L20" s="335">
        <v>42.6</v>
      </c>
      <c r="M20" s="143">
        <v>79.16</v>
      </c>
      <c r="N20" s="35">
        <v>49.8</v>
      </c>
      <c r="O20" s="216">
        <v>104.51</v>
      </c>
      <c r="P20" s="305">
        <v>42.2</v>
      </c>
      <c r="Q20" s="213">
        <v>0</v>
      </c>
      <c r="R20" s="211"/>
      <c r="S20" s="213">
        <f t="shared" si="0"/>
        <v>104.51</v>
      </c>
      <c r="T20" s="267"/>
      <c r="W20" s="180">
        <v>94.6</v>
      </c>
      <c r="Y20" s="180">
        <v>35.200000000000003</v>
      </c>
      <c r="AA20" s="180">
        <f>(52.4+94.6+74.2+39.3+35.2+41)/6</f>
        <v>56.116666666666667</v>
      </c>
    </row>
    <row r="21" spans="1:28">
      <c r="A21" s="333" t="s">
        <v>10</v>
      </c>
      <c r="B21" s="216"/>
      <c r="C21" s="267"/>
      <c r="D21" s="216"/>
      <c r="E21" s="267"/>
      <c r="F21" s="216"/>
      <c r="G21" s="267"/>
      <c r="H21" s="216"/>
      <c r="I21" s="143"/>
      <c r="J21" s="335">
        <v>54.5</v>
      </c>
      <c r="K21" s="216"/>
      <c r="L21" s="335">
        <v>57.8</v>
      </c>
      <c r="M21" s="143"/>
      <c r="N21" s="35">
        <v>55</v>
      </c>
      <c r="O21" s="216"/>
      <c r="P21" s="305">
        <v>53.7</v>
      </c>
      <c r="Q21" s="213">
        <v>0</v>
      </c>
      <c r="R21" s="211"/>
      <c r="S21" s="213">
        <f t="shared" si="0"/>
        <v>0</v>
      </c>
      <c r="T21" s="267"/>
    </row>
    <row r="22" spans="1:28">
      <c r="A22" s="333" t="s">
        <v>158</v>
      </c>
      <c r="B22" s="216">
        <v>559.53</v>
      </c>
      <c r="C22" s="267"/>
      <c r="D22" s="216"/>
      <c r="E22" s="267"/>
      <c r="F22" s="216"/>
      <c r="G22" s="267"/>
      <c r="H22" s="216"/>
      <c r="I22" s="143"/>
      <c r="J22" s="335">
        <v>65.2</v>
      </c>
      <c r="K22" s="216"/>
      <c r="L22" s="335">
        <v>61.8</v>
      </c>
      <c r="M22" s="143"/>
      <c r="N22" s="35">
        <v>66.8</v>
      </c>
      <c r="O22" s="216"/>
      <c r="P22" s="305">
        <v>65.400000000000006</v>
      </c>
      <c r="Q22" s="213">
        <v>0</v>
      </c>
      <c r="R22" s="211"/>
      <c r="S22" s="213">
        <f t="shared" si="0"/>
        <v>0</v>
      </c>
      <c r="T22" s="267" t="s">
        <v>162</v>
      </c>
    </row>
    <row r="23" spans="1:28">
      <c r="A23" s="333" t="s">
        <v>159</v>
      </c>
      <c r="B23" s="216">
        <v>31.95</v>
      </c>
      <c r="C23" s="267"/>
      <c r="D23" s="216"/>
      <c r="E23" s="267"/>
      <c r="F23" s="216"/>
      <c r="G23" s="267" t="s">
        <v>157</v>
      </c>
      <c r="H23" s="216"/>
      <c r="I23" s="143"/>
      <c r="J23" s="335">
        <v>71.8</v>
      </c>
      <c r="K23" s="216"/>
      <c r="L23" s="335">
        <v>66.599999999999994</v>
      </c>
      <c r="M23" s="143"/>
      <c r="N23" s="35">
        <f>(73.5+78.4)/2</f>
        <v>75.95</v>
      </c>
      <c r="O23" s="216"/>
      <c r="P23" s="305">
        <f>(68.5+74.9)/2</f>
        <v>71.7</v>
      </c>
      <c r="Q23" s="213">
        <v>0</v>
      </c>
      <c r="R23" s="211"/>
      <c r="S23" s="213">
        <f t="shared" si="0"/>
        <v>0</v>
      </c>
      <c r="T23" s="267"/>
    </row>
    <row r="24" spans="1:28">
      <c r="A24" s="333" t="s">
        <v>161</v>
      </c>
      <c r="B24" s="216"/>
      <c r="C24" s="267"/>
      <c r="D24" s="216"/>
      <c r="E24" s="267"/>
      <c r="F24" s="216"/>
      <c r="G24" s="267" t="s">
        <v>157</v>
      </c>
      <c r="H24" s="216"/>
      <c r="I24" s="143"/>
      <c r="J24" s="335">
        <v>72</v>
      </c>
      <c r="K24" s="216"/>
      <c r="L24" s="335">
        <f>(72.7+72.3)/2</f>
        <v>72.5</v>
      </c>
      <c r="M24" s="143"/>
      <c r="N24" s="35">
        <v>75.2</v>
      </c>
      <c r="O24" s="216"/>
      <c r="P24" s="305">
        <v>75.2</v>
      </c>
      <c r="Q24" s="213">
        <v>0</v>
      </c>
      <c r="R24" s="211"/>
      <c r="S24" s="213">
        <f t="shared" si="0"/>
        <v>0</v>
      </c>
      <c r="T24" s="267" t="s">
        <v>157</v>
      </c>
    </row>
    <row r="25" spans="1:28">
      <c r="A25" s="333" t="s">
        <v>163</v>
      </c>
      <c r="B25" s="216">
        <v>133.6</v>
      </c>
      <c r="C25" s="267"/>
      <c r="D25" s="216">
        <v>166.05</v>
      </c>
      <c r="E25" s="267"/>
      <c r="F25" s="216">
        <v>277.91000000000003</v>
      </c>
      <c r="G25" s="267" t="s">
        <v>155</v>
      </c>
      <c r="H25" s="216">
        <v>280.06</v>
      </c>
      <c r="I25" s="143"/>
      <c r="J25" s="335">
        <v>68.599999999999994</v>
      </c>
      <c r="K25" s="216">
        <v>245.82</v>
      </c>
      <c r="L25" s="335">
        <v>69</v>
      </c>
      <c r="M25" s="143">
        <v>254.65</v>
      </c>
      <c r="N25" s="35">
        <v>70.2</v>
      </c>
      <c r="O25" s="216">
        <v>214.53</v>
      </c>
      <c r="P25" s="305">
        <v>70.5</v>
      </c>
      <c r="Q25" s="213">
        <v>0</v>
      </c>
      <c r="R25" s="211"/>
      <c r="S25" s="213">
        <f t="shared" si="0"/>
        <v>214.53</v>
      </c>
      <c r="T25" s="267" t="s">
        <v>155</v>
      </c>
      <c r="W25" s="180">
        <v>132.4</v>
      </c>
      <c r="Y25" s="180">
        <v>71.099999999999994</v>
      </c>
      <c r="AA25" s="180">
        <f>(71.1+85.2+132.4+103+109.3+99.9+74)/7</f>
        <v>96.414285714285725</v>
      </c>
    </row>
    <row r="26" spans="1:28">
      <c r="A26" s="333" t="s">
        <v>165</v>
      </c>
      <c r="B26" s="216">
        <v>0</v>
      </c>
      <c r="C26" s="267"/>
      <c r="D26" s="216"/>
      <c r="E26" s="267"/>
      <c r="F26" s="216"/>
      <c r="G26" s="267" t="s">
        <v>155</v>
      </c>
      <c r="H26" s="216"/>
      <c r="I26" s="143"/>
      <c r="J26" s="335">
        <v>57.1</v>
      </c>
      <c r="K26" s="216"/>
      <c r="L26" s="335">
        <v>54.3</v>
      </c>
      <c r="M26" s="143"/>
      <c r="N26" s="35">
        <v>59</v>
      </c>
      <c r="O26" s="216"/>
      <c r="P26" s="305">
        <v>61.6</v>
      </c>
      <c r="Q26" s="213">
        <f>5.4*R26</f>
        <v>43.2</v>
      </c>
      <c r="R26" s="211">
        <v>8</v>
      </c>
      <c r="S26" s="213">
        <f t="shared" si="0"/>
        <v>43.2</v>
      </c>
      <c r="T26" s="267" t="s">
        <v>155</v>
      </c>
    </row>
    <row r="27" spans="1:28">
      <c r="A27" s="333" t="s">
        <v>167</v>
      </c>
      <c r="B27" s="216">
        <v>394.59</v>
      </c>
      <c r="C27" s="267"/>
      <c r="D27" s="216">
        <v>251.03</v>
      </c>
      <c r="E27" s="267"/>
      <c r="F27" s="216">
        <v>354.1</v>
      </c>
      <c r="G27" s="267" t="s">
        <v>169</v>
      </c>
      <c r="H27" s="216">
        <v>397.25</v>
      </c>
      <c r="I27" s="143"/>
      <c r="J27" s="335">
        <v>46.9</v>
      </c>
      <c r="K27" s="216">
        <v>285.62</v>
      </c>
      <c r="L27" s="335">
        <v>47.2</v>
      </c>
      <c r="M27" s="143">
        <v>321.43</v>
      </c>
      <c r="N27" s="35">
        <v>46.5</v>
      </c>
      <c r="O27" s="216">
        <v>276.81</v>
      </c>
      <c r="P27" s="305">
        <v>47.4</v>
      </c>
      <c r="Q27" s="213">
        <f>5.4*R27</f>
        <v>91.800000000000011</v>
      </c>
      <c r="R27" s="211">
        <v>17</v>
      </c>
      <c r="S27" s="213">
        <f t="shared" si="0"/>
        <v>368.61</v>
      </c>
      <c r="T27" s="267" t="s">
        <v>155</v>
      </c>
      <c r="W27" s="180">
        <v>210</v>
      </c>
      <c r="Y27" s="180">
        <v>126.1</v>
      </c>
      <c r="AA27" s="180">
        <f>(210+128.8+168.7+146.1+127+126.1)/6</f>
        <v>151.11666666666667</v>
      </c>
    </row>
    <row r="28" spans="1:28">
      <c r="A28" s="333" t="s">
        <v>168</v>
      </c>
      <c r="B28" s="216">
        <v>312.10000000000002</v>
      </c>
      <c r="C28" s="267"/>
      <c r="D28" s="216">
        <v>210.88</v>
      </c>
      <c r="E28" s="267"/>
      <c r="F28" s="216">
        <v>264.89</v>
      </c>
      <c r="G28" s="267" t="s">
        <v>155</v>
      </c>
      <c r="H28" s="216">
        <v>336.07</v>
      </c>
      <c r="I28" s="143"/>
      <c r="J28" s="335">
        <v>33.200000000000003</v>
      </c>
      <c r="K28" s="216">
        <v>226.02</v>
      </c>
      <c r="L28" s="335">
        <v>39.799999999999997</v>
      </c>
      <c r="M28" s="143">
        <v>351.51</v>
      </c>
      <c r="N28" s="35">
        <v>35.6</v>
      </c>
      <c r="O28" s="216">
        <v>205.43</v>
      </c>
      <c r="P28" s="305">
        <v>42.5</v>
      </c>
      <c r="Q28" s="213">
        <f>5.4*R28</f>
        <v>199.8</v>
      </c>
      <c r="R28" s="211">
        <f>32+5</f>
        <v>37</v>
      </c>
      <c r="S28" s="219">
        <f t="shared" si="0"/>
        <v>405.23</v>
      </c>
      <c r="T28" s="326"/>
      <c r="W28" s="180">
        <v>166.1</v>
      </c>
      <c r="Y28" s="180">
        <v>100.5</v>
      </c>
      <c r="AA28" s="180">
        <f>(166.1+108.2+126.2+123.6+100.5+137.9)/6</f>
        <v>127.08333333333333</v>
      </c>
    </row>
    <row r="29" spans="1:28" ht="13.5" thickBot="1">
      <c r="A29" s="225"/>
      <c r="B29" s="268">
        <f>SUM(B22:B28)</f>
        <v>1431.77</v>
      </c>
      <c r="C29" s="330"/>
      <c r="D29" s="268">
        <f>SUM(D17:D28)</f>
        <v>1446.27</v>
      </c>
      <c r="E29" s="330"/>
      <c r="F29" s="268">
        <f>SUM(F17:F28)</f>
        <v>1969.0500000000002</v>
      </c>
      <c r="G29" s="330"/>
      <c r="H29" s="268">
        <f>SUM(H17:H28)</f>
        <v>2078.36</v>
      </c>
      <c r="I29" s="336"/>
      <c r="J29" s="337">
        <f>SUM(J17:J28)/12</f>
        <v>50.016666666666673</v>
      </c>
      <c r="K29" s="268">
        <f>SUM(K17:K28)</f>
        <v>1921.7399999999998</v>
      </c>
      <c r="L29" s="337">
        <f>SUM(L17:L28)/12</f>
        <v>49.24583333333333</v>
      </c>
      <c r="M29" s="226">
        <f>SUM(M17:M28)</f>
        <v>1784.01</v>
      </c>
      <c r="N29" s="304">
        <f>SUM(N17:N28)/12</f>
        <v>51.974999999999994</v>
      </c>
      <c r="O29" s="268">
        <f>SUM(O17:O28)</f>
        <v>1709.99</v>
      </c>
      <c r="P29" s="327">
        <f>SUM(P17:P28)/12</f>
        <v>50.87083333333333</v>
      </c>
      <c r="Q29" s="328">
        <f>SUM(Q17:Q28)</f>
        <v>334.8</v>
      </c>
      <c r="R29" s="329">
        <f>SUM(R17:R28)</f>
        <v>62</v>
      </c>
      <c r="S29" s="328">
        <f>SUM(S17:S28)</f>
        <v>2044.79</v>
      </c>
      <c r="T29" s="330"/>
      <c r="W29" s="228">
        <f>SUM(W17:W28)</f>
        <v>1092.7</v>
      </c>
      <c r="Y29" s="228">
        <f>SUM(Y17:Y28)</f>
        <v>655.7</v>
      </c>
      <c r="AA29" s="228">
        <f>SUM(AA17:AA28)</f>
        <v>822.33095238095257</v>
      </c>
      <c r="AB29" s="180" t="s">
        <v>171</v>
      </c>
    </row>
    <row r="30" spans="1:28" ht="13.5" thickTop="1">
      <c r="A30" s="302" t="s">
        <v>173</v>
      </c>
      <c r="B30" s="302">
        <f>B29/10</f>
        <v>143.17699999999999</v>
      </c>
      <c r="C30" s="302"/>
      <c r="D30" s="302">
        <f>D29/12</f>
        <v>120.52249999999999</v>
      </c>
      <c r="E30" s="302"/>
      <c r="F30" s="302">
        <f>F29/12</f>
        <v>164.08750000000001</v>
      </c>
      <c r="G30" s="302"/>
      <c r="H30" s="302">
        <f>H29/12</f>
        <v>173.19666666666669</v>
      </c>
      <c r="I30" s="302"/>
      <c r="J30" s="302"/>
      <c r="K30" s="302">
        <f>K29/12</f>
        <v>160.14499999999998</v>
      </c>
      <c r="L30" s="302"/>
      <c r="M30" s="302">
        <f>M29/12</f>
        <v>148.66749999999999</v>
      </c>
      <c r="N30" s="302"/>
      <c r="O30" s="180">
        <f>O29/12</f>
        <v>142.49916666666667</v>
      </c>
      <c r="S30" s="303">
        <f>S29/12</f>
        <v>170.39916666666667</v>
      </c>
      <c r="U30" s="180" t="s">
        <v>174</v>
      </c>
      <c r="W30" s="180">
        <f>W29/12</f>
        <v>91.058333333333337</v>
      </c>
      <c r="Y30" s="180">
        <f>Y29/12</f>
        <v>54.641666666666673</v>
      </c>
      <c r="AA30" s="180">
        <f>AA29/12</f>
        <v>68.527579365079376</v>
      </c>
    </row>
    <row r="31" spans="1:28">
      <c r="A31" s="302" t="s">
        <v>175</v>
      </c>
      <c r="B31" s="302">
        <f>316.3+71.1+210+166.1</f>
        <v>763.5</v>
      </c>
      <c r="C31" s="302"/>
      <c r="D31" s="302">
        <f>122.1+142.7+118.3+52.4+85.2+128.8+108.2</f>
        <v>757.7</v>
      </c>
      <c r="E31" s="302"/>
      <c r="F31" s="302">
        <f>149.4+200.8+105.3+94.6+132.4+168.7+126.2</f>
        <v>977.40000000000009</v>
      </c>
      <c r="G31" s="302"/>
      <c r="H31" s="302">
        <f>149.2+147.5+123.3+74.2+103+146.1+123.6</f>
        <v>866.90000000000009</v>
      </c>
      <c r="I31" s="302"/>
      <c r="J31" s="302"/>
      <c r="K31" s="302">
        <f>165.5+132.6+90.8+39.3+109.3+127+100.5</f>
        <v>765</v>
      </c>
      <c r="L31" s="302"/>
      <c r="M31" s="302">
        <f>144.9+116.7+84+35.2+99.9+126.1+137.9</f>
        <v>744.7</v>
      </c>
      <c r="N31" s="302"/>
      <c r="O31" s="302">
        <f>141.1+130.2+85.2+41+74+92.3+68.5</f>
        <v>632.29999999999995</v>
      </c>
      <c r="P31" s="307" t="s">
        <v>616</v>
      </c>
      <c r="U31" s="180" t="s">
        <v>176</v>
      </c>
      <c r="W31" s="180">
        <f>W30*W32</f>
        <v>213.89602500000004</v>
      </c>
      <c r="Y31" s="180">
        <f>Y30*Y32</f>
        <v>128.35327500000002</v>
      </c>
      <c r="AA31" s="180">
        <f>AA30*AA32</f>
        <v>160.97128392857147</v>
      </c>
    </row>
    <row r="32" spans="1:28">
      <c r="A32" s="180" t="s">
        <v>177</v>
      </c>
      <c r="B32" s="180">
        <v>1.879</v>
      </c>
      <c r="D32" s="180">
        <v>1.9490000000000001</v>
      </c>
      <c r="F32" s="180">
        <v>2.0990000000000002</v>
      </c>
      <c r="H32" s="180">
        <v>2.7189999999999999</v>
      </c>
      <c r="K32" s="180">
        <v>2.2490000000000001</v>
      </c>
      <c r="M32" s="180">
        <v>2.5489999999999999</v>
      </c>
      <c r="O32" s="180">
        <v>2.9990000000000001</v>
      </c>
      <c r="U32" s="180" t="s">
        <v>178</v>
      </c>
      <c r="W32" s="180">
        <f>SUM(B32:O32)/7</f>
        <v>2.3490000000000002</v>
      </c>
      <c r="Y32" s="180">
        <f>W32</f>
        <v>2.3490000000000002</v>
      </c>
      <c r="AA32" s="180">
        <f>W32</f>
        <v>2.3490000000000002</v>
      </c>
    </row>
    <row r="33" spans="1:25">
      <c r="A33" s="180" t="s">
        <v>180</v>
      </c>
      <c r="B33" s="180">
        <f>B29/B31</f>
        <v>1.8752717747216765</v>
      </c>
      <c r="D33" s="180">
        <f>D29/D31</f>
        <v>1.9087633628084992</v>
      </c>
      <c r="F33" s="180">
        <f>F29/F31</f>
        <v>2.0145794966236954</v>
      </c>
      <c r="H33" s="180">
        <f>H29/H31</f>
        <v>2.3974622217095396</v>
      </c>
      <c r="K33" s="180">
        <f>K29/K31</f>
        <v>2.5120784313725486</v>
      </c>
      <c r="M33" s="180">
        <f>M29/M31</f>
        <v>2.3956089700550556</v>
      </c>
      <c r="O33" s="180">
        <f>O29/O31</f>
        <v>2.704396647161158</v>
      </c>
    </row>
    <row r="34" spans="1:25">
      <c r="A34" s="143" t="s">
        <v>776</v>
      </c>
      <c r="B34" s="180" t="s">
        <v>778</v>
      </c>
      <c r="D34" s="180" t="s">
        <v>778</v>
      </c>
      <c r="F34" s="180" t="s">
        <v>777</v>
      </c>
      <c r="H34" s="180" t="s">
        <v>778</v>
      </c>
      <c r="K34" s="180" t="s">
        <v>779</v>
      </c>
      <c r="M34" s="180" t="s">
        <v>779</v>
      </c>
      <c r="O34" s="180" t="s">
        <v>779</v>
      </c>
    </row>
    <row r="36" spans="1:25">
      <c r="W36" s="294" t="s">
        <v>132</v>
      </c>
    </row>
    <row r="37" spans="1:25">
      <c r="B37" s="313" t="s">
        <v>620</v>
      </c>
      <c r="C37" s="298"/>
      <c r="D37" s="315">
        <v>2012</v>
      </c>
      <c r="E37" s="298"/>
      <c r="F37" s="299" t="s">
        <v>160</v>
      </c>
      <c r="G37" s="300"/>
      <c r="H37" s="313" t="s">
        <v>623</v>
      </c>
      <c r="I37" s="299"/>
      <c r="J37" s="298"/>
      <c r="K37" s="314">
        <v>2013</v>
      </c>
      <c r="L37" s="301"/>
      <c r="M37" s="299" t="s">
        <v>605</v>
      </c>
      <c r="N37" s="186"/>
      <c r="O37" s="295" t="s">
        <v>624</v>
      </c>
      <c r="P37" s="262"/>
      <c r="Q37" s="316">
        <v>2014</v>
      </c>
      <c r="R37" s="262"/>
      <c r="S37" s="296" t="s">
        <v>606</v>
      </c>
      <c r="T37" s="263"/>
      <c r="U37" s="143"/>
      <c r="W37" s="294" t="s">
        <v>134</v>
      </c>
    </row>
    <row r="38" spans="1:25">
      <c r="B38" s="191" t="s">
        <v>145</v>
      </c>
      <c r="C38" s="190"/>
      <c r="D38" s="191" t="s">
        <v>146</v>
      </c>
      <c r="E38" s="192"/>
      <c r="F38" s="191" t="s">
        <v>147</v>
      </c>
      <c r="G38" s="190"/>
      <c r="H38" s="191" t="s">
        <v>145</v>
      </c>
      <c r="I38" s="189"/>
      <c r="J38" s="187"/>
      <c r="K38" s="193" t="s">
        <v>146</v>
      </c>
      <c r="L38" s="194"/>
      <c r="M38" s="189" t="s">
        <v>147</v>
      </c>
      <c r="N38" s="187"/>
      <c r="O38" s="210" t="s">
        <v>46</v>
      </c>
      <c r="P38" s="264"/>
      <c r="Q38" s="210" t="s">
        <v>469</v>
      </c>
      <c r="R38" s="264"/>
      <c r="S38" s="210" t="s">
        <v>147</v>
      </c>
      <c r="T38" s="264"/>
      <c r="U38" s="143"/>
      <c r="W38" s="339" t="s">
        <v>758</v>
      </c>
    </row>
    <row r="39" spans="1:25">
      <c r="B39" s="202" t="s">
        <v>150</v>
      </c>
      <c r="C39" s="198" t="s">
        <v>610</v>
      </c>
      <c r="D39" s="203" t="s">
        <v>363</v>
      </c>
      <c r="E39" s="201" t="s">
        <v>611</v>
      </c>
      <c r="F39" s="196"/>
      <c r="G39" s="198"/>
      <c r="H39" s="204"/>
      <c r="I39" s="308"/>
      <c r="J39" s="143" t="s">
        <v>610</v>
      </c>
      <c r="K39" s="206" t="s">
        <v>364</v>
      </c>
      <c r="L39" s="207" t="s">
        <v>611</v>
      </c>
      <c r="M39" s="197"/>
      <c r="N39" s="197"/>
      <c r="O39" s="265"/>
      <c r="P39" s="266" t="s">
        <v>610</v>
      </c>
      <c r="Q39" s="265" t="s">
        <v>780</v>
      </c>
      <c r="R39" s="266"/>
      <c r="S39" s="216"/>
      <c r="T39" s="267"/>
      <c r="U39" s="143">
        <v>2011</v>
      </c>
      <c r="W39" s="340" t="s">
        <v>34</v>
      </c>
      <c r="Y39" s="340" t="s">
        <v>607</v>
      </c>
    </row>
    <row r="40" spans="1:25">
      <c r="A40" s="208" t="s">
        <v>141</v>
      </c>
      <c r="B40" s="188"/>
      <c r="C40" s="192">
        <f>(31.4+32.5)/2</f>
        <v>31.95</v>
      </c>
      <c r="D40" s="188">
        <f>5.4*E40</f>
        <v>226.8</v>
      </c>
      <c r="E40" s="192">
        <v>42</v>
      </c>
      <c r="F40" s="188">
        <f t="shared" ref="F40:F51" si="1">B40+D40</f>
        <v>226.8</v>
      </c>
      <c r="G40" s="187"/>
      <c r="H40" s="210"/>
      <c r="I40" s="309"/>
      <c r="J40" s="194">
        <f>(31.7+29.7)/2</f>
        <v>30.7</v>
      </c>
      <c r="K40" s="248">
        <f>4.818*L40</f>
        <v>173.44799999999998</v>
      </c>
      <c r="L40" s="211">
        <v>36</v>
      </c>
      <c r="M40" s="188">
        <f t="shared" ref="M40:M51" si="2">H40+K40</f>
        <v>173.44799999999998</v>
      </c>
      <c r="N40" s="187"/>
      <c r="O40" s="216"/>
      <c r="P40" s="215">
        <f>(26.2+25)/2</f>
        <v>25.6</v>
      </c>
      <c r="Q40" s="216">
        <f>5.015*R40</f>
        <v>240.71999999999997</v>
      </c>
      <c r="R40" s="209">
        <v>48</v>
      </c>
      <c r="S40" s="210">
        <f>O40+Q40</f>
        <v>240.71999999999997</v>
      </c>
      <c r="T40" s="264"/>
      <c r="U40" s="143"/>
    </row>
    <row r="41" spans="1:25">
      <c r="A41" s="212" t="s">
        <v>148</v>
      </c>
      <c r="B41" s="214">
        <v>338.81</v>
      </c>
      <c r="C41" s="211">
        <v>29.5</v>
      </c>
      <c r="D41" s="213">
        <f>5.4*E41</f>
        <v>156.60000000000002</v>
      </c>
      <c r="E41" s="211">
        <v>29</v>
      </c>
      <c r="F41" s="213">
        <f t="shared" si="1"/>
        <v>495.41</v>
      </c>
      <c r="G41" s="143" t="s">
        <v>194</v>
      </c>
      <c r="H41" s="338"/>
      <c r="I41" s="205"/>
      <c r="J41" s="215">
        <v>24.9</v>
      </c>
      <c r="K41" s="248">
        <f>4.818*L41</f>
        <v>149.35799999999998</v>
      </c>
      <c r="L41" s="211">
        <v>31</v>
      </c>
      <c r="M41" s="213">
        <f t="shared" si="2"/>
        <v>149.35799999999998</v>
      </c>
      <c r="N41" s="143"/>
      <c r="O41" s="271">
        <v>298.14999999999998</v>
      </c>
      <c r="P41" s="215">
        <v>22.8</v>
      </c>
      <c r="Q41" s="216">
        <f>5.015*R41</f>
        <v>240.71999999999997</v>
      </c>
      <c r="R41" s="209">
        <v>48</v>
      </c>
      <c r="S41" s="216">
        <f t="shared" ref="S41:S51" si="3">O41+Q41</f>
        <v>538.86999999999989</v>
      </c>
      <c r="T41" s="267"/>
      <c r="U41" s="143"/>
      <c r="W41" s="180">
        <f>102.7+93.2</f>
        <v>195.9</v>
      </c>
      <c r="Y41" s="180">
        <f>W41/2</f>
        <v>97.95</v>
      </c>
    </row>
    <row r="42" spans="1:25">
      <c r="A42" s="212" t="s">
        <v>154</v>
      </c>
      <c r="B42" s="213"/>
      <c r="C42" s="211">
        <v>37.9</v>
      </c>
      <c r="D42" s="213">
        <f>5.4*E42</f>
        <v>97.2</v>
      </c>
      <c r="E42" s="211">
        <f>18</f>
        <v>18</v>
      </c>
      <c r="F42" s="213">
        <f t="shared" si="1"/>
        <v>97.2</v>
      </c>
      <c r="G42" s="143"/>
      <c r="H42" s="216"/>
      <c r="I42" s="143"/>
      <c r="J42" s="215">
        <v>34.5</v>
      </c>
      <c r="K42" s="248">
        <f>4.818*3+56+54</f>
        <v>124.45399999999999</v>
      </c>
      <c r="L42" s="211">
        <v>23</v>
      </c>
      <c r="M42" s="213">
        <f t="shared" si="2"/>
        <v>124.45399999999999</v>
      </c>
      <c r="N42" s="143"/>
      <c r="O42" s="216"/>
      <c r="P42" s="215">
        <v>27.3</v>
      </c>
      <c r="Q42" s="216">
        <f>5.015*20+5.4*17</f>
        <v>192.10000000000002</v>
      </c>
      <c r="R42" s="209">
        <v>42</v>
      </c>
      <c r="S42" s="216">
        <f t="shared" si="3"/>
        <v>192.10000000000002</v>
      </c>
      <c r="T42" s="267"/>
      <c r="U42" s="143"/>
    </row>
    <row r="43" spans="1:25">
      <c r="A43" s="212" t="s">
        <v>156</v>
      </c>
      <c r="B43" s="217">
        <v>124.21</v>
      </c>
      <c r="C43" s="211">
        <v>47.7</v>
      </c>
      <c r="D43" s="213">
        <f>5.4*E43+5.3</f>
        <v>43.1</v>
      </c>
      <c r="E43" s="211">
        <f>7</f>
        <v>7</v>
      </c>
      <c r="F43" s="213">
        <f t="shared" si="1"/>
        <v>167.31</v>
      </c>
      <c r="G43" s="143"/>
      <c r="H43" s="218">
        <v>573.14</v>
      </c>
      <c r="I43" s="248"/>
      <c r="J43" s="215">
        <v>40.4</v>
      </c>
      <c r="K43" s="248">
        <v>112</v>
      </c>
      <c r="L43" s="211">
        <v>20</v>
      </c>
      <c r="M43" s="213">
        <f t="shared" si="2"/>
        <v>685.14</v>
      </c>
      <c r="N43" s="143" t="s">
        <v>194</v>
      </c>
      <c r="O43" s="271">
        <v>233.85</v>
      </c>
      <c r="P43" s="215">
        <v>38</v>
      </c>
      <c r="Q43" s="216">
        <f>5.4*R43</f>
        <v>70.2</v>
      </c>
      <c r="R43" s="209">
        <v>13</v>
      </c>
      <c r="S43" s="216">
        <f t="shared" si="3"/>
        <v>304.05</v>
      </c>
      <c r="T43" s="267"/>
      <c r="U43" s="143"/>
      <c r="W43" s="180">
        <f>35.5+163.8+73.1</f>
        <v>272.39999999999998</v>
      </c>
      <c r="Y43" s="180">
        <f>W43/3</f>
        <v>90.8</v>
      </c>
    </row>
    <row r="44" spans="1:25">
      <c r="A44" s="212" t="s">
        <v>10</v>
      </c>
      <c r="B44" s="213"/>
      <c r="C44" s="211">
        <v>55.8</v>
      </c>
      <c r="D44" s="213">
        <v>0</v>
      </c>
      <c r="E44" s="211">
        <v>0</v>
      </c>
      <c r="F44" s="213">
        <f t="shared" si="1"/>
        <v>0</v>
      </c>
      <c r="G44" s="143"/>
      <c r="H44" s="216"/>
      <c r="I44" s="143"/>
      <c r="J44" s="215">
        <v>55.6</v>
      </c>
      <c r="K44" s="248">
        <v>0</v>
      </c>
      <c r="L44" s="211">
        <v>0</v>
      </c>
      <c r="M44" s="213">
        <f t="shared" si="2"/>
        <v>0</v>
      </c>
      <c r="N44" s="143"/>
      <c r="O44" s="216"/>
      <c r="P44" s="215">
        <v>52.2</v>
      </c>
      <c r="Q44" s="216"/>
      <c r="R44" s="209"/>
      <c r="S44" s="216">
        <f t="shared" si="3"/>
        <v>0</v>
      </c>
      <c r="T44" s="267"/>
      <c r="U44" s="143"/>
    </row>
    <row r="45" spans="1:25">
      <c r="A45" s="212" t="s">
        <v>158</v>
      </c>
      <c r="B45" s="213"/>
      <c r="C45" s="211">
        <v>65.400000000000006</v>
      </c>
      <c r="D45" s="213">
        <v>0</v>
      </c>
      <c r="E45" s="211">
        <v>0</v>
      </c>
      <c r="F45" s="213">
        <f t="shared" si="1"/>
        <v>0</v>
      </c>
      <c r="G45" s="143"/>
      <c r="H45" s="216"/>
      <c r="I45" s="143"/>
      <c r="J45" s="215">
        <v>63.8</v>
      </c>
      <c r="K45" s="248">
        <v>0</v>
      </c>
      <c r="L45" s="211">
        <v>0</v>
      </c>
      <c r="M45" s="213">
        <f t="shared" si="2"/>
        <v>0</v>
      </c>
      <c r="N45" s="143" t="s">
        <v>157</v>
      </c>
      <c r="O45" s="216"/>
      <c r="P45" s="215">
        <v>63.3</v>
      </c>
      <c r="Q45" s="216"/>
      <c r="R45" s="209"/>
      <c r="S45" s="216">
        <f t="shared" si="3"/>
        <v>0</v>
      </c>
      <c r="T45" s="267"/>
      <c r="U45" s="143"/>
    </row>
    <row r="46" spans="1:25">
      <c r="A46" s="212" t="s">
        <v>159</v>
      </c>
      <c r="B46" s="213"/>
      <c r="C46" s="211">
        <f>(76.1+70.9)/2</f>
        <v>73.5</v>
      </c>
      <c r="D46" s="213">
        <v>0</v>
      </c>
      <c r="E46" s="211">
        <v>0</v>
      </c>
      <c r="F46" s="213">
        <f t="shared" si="1"/>
        <v>0</v>
      </c>
      <c r="G46" s="143" t="s">
        <v>157</v>
      </c>
      <c r="H46" s="216"/>
      <c r="I46" s="143"/>
      <c r="J46" s="215">
        <f>(72.2+78.1)/2</f>
        <v>75.150000000000006</v>
      </c>
      <c r="K46" s="248">
        <v>0</v>
      </c>
      <c r="L46" s="211">
        <v>0</v>
      </c>
      <c r="M46" s="213">
        <f t="shared" si="2"/>
        <v>0</v>
      </c>
      <c r="N46" s="143"/>
      <c r="O46" s="216"/>
      <c r="P46" s="215">
        <v>73.3</v>
      </c>
      <c r="Q46" s="216"/>
      <c r="R46" s="209"/>
      <c r="S46" s="216">
        <f t="shared" si="3"/>
        <v>0</v>
      </c>
      <c r="T46" s="267"/>
      <c r="U46" s="143"/>
    </row>
    <row r="47" spans="1:25">
      <c r="A47" s="212" t="s">
        <v>161</v>
      </c>
      <c r="B47" s="213"/>
      <c r="C47" s="211">
        <v>76</v>
      </c>
      <c r="D47" s="213">
        <v>0</v>
      </c>
      <c r="E47" s="211">
        <v>0</v>
      </c>
      <c r="F47" s="213">
        <f t="shared" si="1"/>
        <v>0</v>
      </c>
      <c r="G47" s="143" t="s">
        <v>157</v>
      </c>
      <c r="H47" s="216"/>
      <c r="I47" s="143"/>
      <c r="J47" s="215">
        <v>73.3</v>
      </c>
      <c r="K47" s="248">
        <v>0</v>
      </c>
      <c r="L47" s="211">
        <v>0</v>
      </c>
      <c r="M47" s="213">
        <f t="shared" si="2"/>
        <v>0</v>
      </c>
      <c r="N47" s="143" t="s">
        <v>157</v>
      </c>
      <c r="O47" s="216"/>
      <c r="P47" s="215">
        <v>72</v>
      </c>
      <c r="Q47" s="216"/>
      <c r="R47" s="209"/>
      <c r="S47" s="216">
        <f t="shared" si="3"/>
        <v>0</v>
      </c>
      <c r="T47" s="267"/>
      <c r="U47" s="143"/>
    </row>
    <row r="48" spans="1:25">
      <c r="A48" s="212" t="s">
        <v>163</v>
      </c>
      <c r="B48" s="213"/>
      <c r="C48" s="211">
        <v>70.599999999999994</v>
      </c>
      <c r="D48" s="213">
        <v>0</v>
      </c>
      <c r="E48" s="211">
        <v>0</v>
      </c>
      <c r="F48" s="213">
        <f t="shared" si="1"/>
        <v>0</v>
      </c>
      <c r="G48" s="143" t="s">
        <v>194</v>
      </c>
      <c r="H48" s="216"/>
      <c r="I48" s="143"/>
      <c r="J48" s="215">
        <v>69.400000000000006</v>
      </c>
      <c r="K48" s="248">
        <v>0</v>
      </c>
      <c r="L48" s="211">
        <v>0</v>
      </c>
      <c r="M48" s="213">
        <f t="shared" si="2"/>
        <v>0</v>
      </c>
      <c r="N48" s="143" t="s">
        <v>194</v>
      </c>
      <c r="O48" s="216"/>
      <c r="P48" s="215">
        <v>68</v>
      </c>
      <c r="Q48" s="216">
        <f>4.98*R48</f>
        <v>14.940000000000001</v>
      </c>
      <c r="R48" s="209">
        <v>3</v>
      </c>
      <c r="S48" s="216">
        <f t="shared" si="3"/>
        <v>14.940000000000001</v>
      </c>
      <c r="T48" s="267"/>
      <c r="U48" s="143"/>
    </row>
    <row r="49" spans="1:25">
      <c r="A49" s="212" t="s">
        <v>165</v>
      </c>
      <c r="B49" s="213"/>
      <c r="C49" s="211">
        <v>56.7</v>
      </c>
      <c r="D49" s="213">
        <f>5.4*E49</f>
        <v>43.2</v>
      </c>
      <c r="E49" s="211">
        <v>8</v>
      </c>
      <c r="F49" s="213">
        <f t="shared" si="1"/>
        <v>43.2</v>
      </c>
      <c r="G49" s="143"/>
      <c r="H49" s="216"/>
      <c r="I49" s="143"/>
      <c r="J49" s="215">
        <v>58.7</v>
      </c>
      <c r="K49" s="248">
        <f>5.015*L49</f>
        <v>65.194999999999993</v>
      </c>
      <c r="L49" s="211">
        <v>13</v>
      </c>
      <c r="M49" s="213">
        <f t="shared" si="2"/>
        <v>65.194999999999993</v>
      </c>
      <c r="N49" s="143"/>
      <c r="O49" s="216"/>
      <c r="P49" s="215">
        <v>58.5</v>
      </c>
      <c r="Q49" s="216">
        <f>4.98*R49</f>
        <v>34.86</v>
      </c>
      <c r="R49" s="209">
        <v>7</v>
      </c>
      <c r="S49" s="216">
        <f t="shared" si="3"/>
        <v>34.86</v>
      </c>
      <c r="T49" s="267"/>
      <c r="U49" s="143"/>
    </row>
    <row r="50" spans="1:25">
      <c r="A50" s="212" t="s">
        <v>167</v>
      </c>
      <c r="B50" s="213"/>
      <c r="C50" s="211">
        <v>49.6</v>
      </c>
      <c r="D50" s="213">
        <f>5.4*E50</f>
        <v>183.60000000000002</v>
      </c>
      <c r="E50" s="211">
        <v>34</v>
      </c>
      <c r="F50" s="213">
        <f t="shared" si="1"/>
        <v>183.60000000000002</v>
      </c>
      <c r="G50" s="143"/>
      <c r="H50" s="216"/>
      <c r="I50" s="143"/>
      <c r="J50" s="215">
        <v>46</v>
      </c>
      <c r="K50" s="248">
        <f>5.015*L50</f>
        <v>140.41999999999999</v>
      </c>
      <c r="L50" s="211">
        <v>28</v>
      </c>
      <c r="M50" s="213">
        <f t="shared" si="2"/>
        <v>140.41999999999999</v>
      </c>
      <c r="N50" s="143"/>
      <c r="O50" s="216"/>
      <c r="P50" s="215">
        <v>49.7</v>
      </c>
      <c r="Q50" s="216">
        <f>4.98*R50</f>
        <v>74.7</v>
      </c>
      <c r="R50" s="209">
        <v>15</v>
      </c>
      <c r="S50" s="216">
        <f t="shared" si="3"/>
        <v>74.7</v>
      </c>
      <c r="T50" s="267"/>
      <c r="U50" s="143"/>
    </row>
    <row r="51" spans="1:25">
      <c r="A51" s="212" t="s">
        <v>168</v>
      </c>
      <c r="B51" s="217">
        <v>611.63</v>
      </c>
      <c r="C51" s="220">
        <v>36.799999999999997</v>
      </c>
      <c r="D51" s="213">
        <f>4.818*E51</f>
        <v>192.71999999999997</v>
      </c>
      <c r="E51" s="220">
        <v>40</v>
      </c>
      <c r="F51" s="219">
        <f t="shared" si="1"/>
        <v>804.34999999999991</v>
      </c>
      <c r="G51" s="221"/>
      <c r="H51" s="222">
        <v>710.5</v>
      </c>
      <c r="I51" s="310"/>
      <c r="J51" s="223">
        <v>33.4</v>
      </c>
      <c r="K51" s="248">
        <f>5.015*L51</f>
        <v>215.64499999999998</v>
      </c>
      <c r="L51" s="220">
        <v>43</v>
      </c>
      <c r="M51" s="219">
        <f t="shared" si="2"/>
        <v>926.14499999999998</v>
      </c>
      <c r="N51" s="221"/>
      <c r="O51" s="271">
        <v>653.05999999999995</v>
      </c>
      <c r="P51" s="215">
        <v>34.6</v>
      </c>
      <c r="Q51" s="216">
        <f>4.98*R51</f>
        <v>114.54</v>
      </c>
      <c r="R51" s="209">
        <v>23</v>
      </c>
      <c r="S51" s="265">
        <f t="shared" si="3"/>
        <v>767.59999999999991</v>
      </c>
      <c r="T51" s="266"/>
      <c r="U51" s="143">
        <f>74+92.3+68.5</f>
        <v>234.8</v>
      </c>
      <c r="W51" s="180">
        <f>174.8+222.1</f>
        <v>396.9</v>
      </c>
      <c r="Y51" s="180">
        <f>W51/2</f>
        <v>198.45</v>
      </c>
    </row>
    <row r="52" spans="1:25" ht="13.5" thickBot="1">
      <c r="A52" s="224"/>
      <c r="B52" s="225">
        <f>SUM(B40:B51)+150</f>
        <v>1224.6500000000001</v>
      </c>
      <c r="C52" s="270">
        <f>SUM(C40:C51)/12</f>
        <v>52.620833333333337</v>
      </c>
      <c r="D52" s="225">
        <f>SUM(D40:D51)</f>
        <v>943.22</v>
      </c>
      <c r="E52" s="269">
        <f>SUM(E40:E51)</f>
        <v>178</v>
      </c>
      <c r="F52" s="225">
        <f>SUM(F40:F51)</f>
        <v>2017.87</v>
      </c>
      <c r="G52" s="227"/>
      <c r="H52" s="229">
        <f>SUM(H40:H51)+150</f>
        <v>1433.6399999999999</v>
      </c>
      <c r="I52" s="229"/>
      <c r="J52" s="270">
        <f>SUM(J40:J51)/12</f>
        <v>50.487500000000004</v>
      </c>
      <c r="K52" s="225">
        <f>SUM(K40:K51)</f>
        <v>980.51999999999987</v>
      </c>
      <c r="L52" s="269">
        <f>SUM(L40:L51)</f>
        <v>194</v>
      </c>
      <c r="M52" s="225">
        <f>SUM(M40:M51)</f>
        <v>2264.16</v>
      </c>
      <c r="N52" s="225"/>
      <c r="O52" s="265">
        <f>SUM(O40:O51)+150</f>
        <v>1335.06</v>
      </c>
      <c r="P52" s="270">
        <f>SUM(P40:P51)/12</f>
        <v>48.775000000000006</v>
      </c>
      <c r="Q52" s="268">
        <f>SUM(Q40:Q51)</f>
        <v>982.78000000000009</v>
      </c>
      <c r="R52" s="341">
        <f>SUM(R40:R51)</f>
        <v>199</v>
      </c>
      <c r="S52" s="265">
        <f>SUM(S40:S51)</f>
        <v>2167.84</v>
      </c>
      <c r="T52" s="342">
        <f>SUM(T40:T51)</f>
        <v>0</v>
      </c>
      <c r="U52" s="216"/>
      <c r="W52" s="228">
        <f>SUM(W40:W51)</f>
        <v>865.19999999999993</v>
      </c>
      <c r="Y52" s="297">
        <f>W52/2</f>
        <v>432.59999999999997</v>
      </c>
    </row>
    <row r="53" spans="1:25" ht="13.5" thickTop="1">
      <c r="A53" s="180" t="s">
        <v>173</v>
      </c>
      <c r="B53" s="180">
        <f>B52/12</f>
        <v>102.05416666666667</v>
      </c>
      <c r="F53" s="303">
        <f>F52/12</f>
        <v>168.15583333333333</v>
      </c>
      <c r="H53" s="180">
        <f>H52/12</f>
        <v>119.46999999999998</v>
      </c>
      <c r="M53" s="303">
        <f>M52/12</f>
        <v>188.67999999999998</v>
      </c>
      <c r="O53" s="180">
        <f>O52/12</f>
        <v>111.255</v>
      </c>
      <c r="S53" s="302">
        <f>S52/12</f>
        <v>180.65333333333334</v>
      </c>
    </row>
    <row r="54" spans="1:25">
      <c r="A54" s="302" t="s">
        <v>813</v>
      </c>
      <c r="B54" s="302">
        <f>102.7+35.5+174.8</f>
        <v>313</v>
      </c>
      <c r="D54" s="180">
        <f>B54+B57</f>
        <v>355.86</v>
      </c>
      <c r="E54" s="180" t="s">
        <v>647</v>
      </c>
      <c r="H54" s="302">
        <f>163.8+222.1</f>
        <v>385.9</v>
      </c>
      <c r="I54" s="302"/>
      <c r="K54" s="180">
        <f>H54+H57</f>
        <v>432.78999999999996</v>
      </c>
      <c r="L54" s="180" t="s">
        <v>626</v>
      </c>
      <c r="O54" s="302">
        <f>93.2+73.1+195</f>
        <v>361.3</v>
      </c>
      <c r="Q54" s="180">
        <f>O54+O57</f>
        <v>406.09000000000003</v>
      </c>
      <c r="R54" s="180" t="s">
        <v>626</v>
      </c>
    </row>
    <row r="55" spans="1:25">
      <c r="A55" s="180" t="s">
        <v>177</v>
      </c>
      <c r="B55" s="180">
        <v>3.4990000000000001</v>
      </c>
      <c r="D55" s="180">
        <f>D54*B55</f>
        <v>1245.1541400000001</v>
      </c>
      <c r="H55" s="180">
        <v>3.1989999999999998</v>
      </c>
      <c r="K55" s="180">
        <f>K54*H55</f>
        <v>1384.4952099999998</v>
      </c>
      <c r="O55" s="180">
        <v>3.3490000000000002</v>
      </c>
    </row>
    <row r="56" spans="1:25">
      <c r="A56" s="180" t="s">
        <v>180</v>
      </c>
      <c r="B56" s="180">
        <f>B52/(B54+B57)</f>
        <v>3.4413814421401674</v>
      </c>
      <c r="D56" s="180">
        <f>D54*B56</f>
        <v>1224.6500000000001</v>
      </c>
      <c r="H56" s="180">
        <f>H52/(H54+H57)</f>
        <v>3.3125534323806001</v>
      </c>
      <c r="K56" s="180">
        <f>K54*H56</f>
        <v>1433.6399999999999</v>
      </c>
      <c r="O56" s="180">
        <f>O52/(O54+O57)</f>
        <v>3.2875963456376662</v>
      </c>
    </row>
    <row r="57" spans="1:25">
      <c r="A57" s="143" t="s">
        <v>627</v>
      </c>
      <c r="B57" s="180">
        <v>42.86</v>
      </c>
      <c r="C57" s="180" t="s">
        <v>626</v>
      </c>
      <c r="H57" s="180">
        <v>46.89</v>
      </c>
      <c r="I57" s="180" t="s">
        <v>626</v>
      </c>
      <c r="O57" s="180">
        <v>44.79</v>
      </c>
    </row>
    <row r="58" spans="1:25">
      <c r="A58" s="143" t="s">
        <v>776</v>
      </c>
      <c r="B58" s="180" t="s">
        <v>781</v>
      </c>
      <c r="H58" s="180" t="s">
        <v>781</v>
      </c>
      <c r="O58" s="180" t="s">
        <v>1092</v>
      </c>
    </row>
    <row r="60" spans="1:25" ht="15.75">
      <c r="A60" s="391" t="s">
        <v>774</v>
      </c>
      <c r="B60" s="390"/>
      <c r="C60" s="390"/>
      <c r="H60" s="389" t="s">
        <v>222</v>
      </c>
    </row>
    <row r="61" spans="1:25" ht="13.5" thickBot="1">
      <c r="A61" s="237"/>
    </row>
    <row r="62" spans="1:25" ht="13.5" thickBot="1">
      <c r="A62" s="363"/>
      <c r="B62" s="365"/>
      <c r="C62" s="366" t="s">
        <v>44</v>
      </c>
      <c r="D62" s="366"/>
      <c r="E62" s="367"/>
      <c r="F62" s="365"/>
      <c r="G62" s="366" t="s">
        <v>46</v>
      </c>
      <c r="H62" s="366"/>
      <c r="I62" s="367"/>
      <c r="J62" s="365"/>
      <c r="K62" s="367" t="s">
        <v>767</v>
      </c>
      <c r="L62" s="374"/>
      <c r="M62" s="375" t="s">
        <v>144</v>
      </c>
      <c r="N62" s="376"/>
      <c r="O62" s="374" t="s">
        <v>768</v>
      </c>
      <c r="P62" s="376"/>
    </row>
    <row r="63" spans="1:25" ht="13.5" thickBot="1">
      <c r="A63" s="364" t="s">
        <v>770</v>
      </c>
      <c r="B63" s="365" t="s">
        <v>766</v>
      </c>
      <c r="C63" s="367"/>
      <c r="D63" s="369" t="s">
        <v>443</v>
      </c>
      <c r="E63" s="367"/>
      <c r="F63" s="365" t="s">
        <v>765</v>
      </c>
      <c r="G63" s="367"/>
      <c r="H63" s="369" t="s">
        <v>443</v>
      </c>
      <c r="I63" s="367"/>
      <c r="J63" s="365"/>
      <c r="K63" s="373" t="s">
        <v>443</v>
      </c>
      <c r="L63" s="377"/>
      <c r="M63" s="380" t="s">
        <v>443</v>
      </c>
      <c r="N63" s="378"/>
      <c r="O63" s="379" t="s">
        <v>443</v>
      </c>
      <c r="P63" s="378"/>
      <c r="Q63" s="180" t="s">
        <v>812</v>
      </c>
    </row>
    <row r="64" spans="1:25" ht="13.5" thickBot="1">
      <c r="A64" s="368" t="s">
        <v>762</v>
      </c>
      <c r="B64" s="365">
        <v>155</v>
      </c>
      <c r="C64" s="367"/>
      <c r="D64" s="371">
        <v>836.97</v>
      </c>
      <c r="E64" s="367"/>
      <c r="F64" s="365">
        <f>373</f>
        <v>373</v>
      </c>
      <c r="G64" s="367"/>
      <c r="H64" s="371">
        <f>214.53+276.81+205.43+338.81+124.21</f>
        <v>1159.79</v>
      </c>
      <c r="I64" s="367"/>
      <c r="J64" s="365"/>
      <c r="K64" s="372">
        <f>D64+H64</f>
        <v>1996.76</v>
      </c>
      <c r="L64" s="365"/>
      <c r="M64" s="392">
        <f>2.999*823</f>
        <v>2468.1770000000001</v>
      </c>
      <c r="N64" s="367"/>
      <c r="O64" s="371">
        <f>K64-M64</f>
        <v>-471.41700000000014</v>
      </c>
      <c r="P64" s="367"/>
      <c r="Q64" s="180">
        <v>3.109</v>
      </c>
      <c r="S64" s="180" t="s">
        <v>773</v>
      </c>
    </row>
    <row r="65" spans="1:43" ht="13.5" thickBot="1">
      <c r="A65" s="370" t="s">
        <v>763</v>
      </c>
      <c r="B65" s="365">
        <v>195</v>
      </c>
      <c r="C65" s="367"/>
      <c r="D65" s="371">
        <v>994.98</v>
      </c>
      <c r="E65" s="367"/>
      <c r="F65" s="365">
        <f>338.6+42.86</f>
        <v>381.46000000000004</v>
      </c>
      <c r="G65" s="367"/>
      <c r="H65" s="371">
        <f>150+611.63+573.14</f>
        <v>1334.77</v>
      </c>
      <c r="I65" s="367"/>
      <c r="J65" s="365"/>
      <c r="K65" s="372">
        <f>D65+H65</f>
        <v>2329.75</v>
      </c>
      <c r="L65" s="365"/>
      <c r="M65" s="392">
        <f>3.499*823</f>
        <v>2879.6770000000001</v>
      </c>
      <c r="N65" s="367"/>
      <c r="O65" s="371">
        <f>K65-M65</f>
        <v>-549.92700000000013</v>
      </c>
      <c r="P65" s="367"/>
      <c r="Q65" s="180">
        <v>3.4990000000000001</v>
      </c>
      <c r="S65" s="180" t="s">
        <v>772</v>
      </c>
    </row>
    <row r="66" spans="1:43" ht="13.5" thickBot="1">
      <c r="A66" s="370" t="s">
        <v>764</v>
      </c>
      <c r="B66" s="365">
        <v>235</v>
      </c>
      <c r="C66" s="367"/>
      <c r="D66" s="371">
        <v>1192</v>
      </c>
      <c r="E66" s="367"/>
      <c r="F66" s="365">
        <f>388.4+46.89</f>
        <v>435.28999999999996</v>
      </c>
      <c r="G66" s="367"/>
      <c r="H66" s="371">
        <f>150+710.5+298.15+233.85</f>
        <v>1392.5</v>
      </c>
      <c r="I66" s="367"/>
      <c r="J66" s="365"/>
      <c r="K66" s="372">
        <f>D66+H66</f>
        <v>2584.5</v>
      </c>
      <c r="L66" s="365"/>
      <c r="M66" s="392">
        <f>3.199*823</f>
        <v>2632.777</v>
      </c>
      <c r="N66" s="367"/>
      <c r="O66" s="371">
        <f>K66-M66</f>
        <v>-48.277000000000044</v>
      </c>
      <c r="P66" s="367"/>
      <c r="Q66" s="180">
        <v>3.1989999999999998</v>
      </c>
      <c r="S66" s="180" t="s">
        <v>771</v>
      </c>
    </row>
    <row r="67" spans="1:43" ht="13.5" thickBot="1">
      <c r="A67" s="370" t="s">
        <v>782</v>
      </c>
      <c r="B67" s="365">
        <v>200</v>
      </c>
      <c r="C67" s="367"/>
      <c r="D67" s="365">
        <v>996</v>
      </c>
      <c r="E67" s="367"/>
      <c r="F67" s="365">
        <f>44.79+195</f>
        <v>239.79</v>
      </c>
      <c r="G67" s="367"/>
      <c r="H67" s="365">
        <f>150+653.06</f>
        <v>803.06</v>
      </c>
      <c r="I67" s="367"/>
      <c r="J67" s="365"/>
      <c r="K67" s="372">
        <f>D67+H67</f>
        <v>1799.06</v>
      </c>
      <c r="L67" s="365"/>
      <c r="M67" s="392">
        <f>3.349*823</f>
        <v>2756.2270000000003</v>
      </c>
      <c r="N67" s="367"/>
      <c r="O67" s="371">
        <f>K67-M67</f>
        <v>-957.16700000000037</v>
      </c>
      <c r="P67" s="367"/>
      <c r="Q67" s="180">
        <v>3.3490000000000002</v>
      </c>
    </row>
    <row r="68" spans="1:43">
      <c r="M68" s="381" t="s">
        <v>769</v>
      </c>
      <c r="O68" s="382">
        <f>SUM(O64:O67)</f>
        <v>-2026.7880000000007</v>
      </c>
      <c r="P68" s="180" t="s">
        <v>1093</v>
      </c>
    </row>
    <row r="70" spans="1:43" ht="15.75">
      <c r="A70" s="230" t="s">
        <v>603</v>
      </c>
    </row>
    <row r="71" spans="1:43">
      <c r="F71" s="232" t="s">
        <v>184</v>
      </c>
      <c r="K71" s="340" t="s">
        <v>625</v>
      </c>
      <c r="O71" s="180">
        <v>2014</v>
      </c>
      <c r="S71" s="340" t="s">
        <v>759</v>
      </c>
    </row>
    <row r="72" spans="1:43">
      <c r="F72" s="232" t="s">
        <v>645</v>
      </c>
      <c r="K72" s="232" t="s">
        <v>646</v>
      </c>
      <c r="O72" s="232" t="s">
        <v>186</v>
      </c>
      <c r="S72" s="232" t="s">
        <v>760</v>
      </c>
    </row>
    <row r="73" spans="1:43">
      <c r="A73" s="180" t="s">
        <v>188</v>
      </c>
      <c r="F73" s="180">
        <f>(71.1+85.2+132.4+103+109.3+99.9+74)/7</f>
        <v>96.414285714285725</v>
      </c>
      <c r="H73" s="180">
        <v>100</v>
      </c>
      <c r="O73" s="180">
        <v>0</v>
      </c>
      <c r="AQ73" s="184"/>
    </row>
    <row r="74" spans="1:43">
      <c r="A74" s="180" t="s">
        <v>189</v>
      </c>
      <c r="F74" s="180">
        <f>(210+128.8+168.7+146.1+127+126.1)/6</f>
        <v>151.11666666666667</v>
      </c>
      <c r="H74" s="180">
        <v>150</v>
      </c>
      <c r="O74" s="180">
        <f>15+30</f>
        <v>45</v>
      </c>
    </row>
    <row r="75" spans="1:43">
      <c r="A75" s="180" t="s">
        <v>168</v>
      </c>
      <c r="F75" s="180">
        <f>(166.1+108.2+126.2+123.6+100.5+137.9)/6</f>
        <v>127.08333333333333</v>
      </c>
      <c r="H75" s="180">
        <v>125</v>
      </c>
      <c r="K75" s="180">
        <f>((74+92.3+68.5)+174.8+222.1)/3</f>
        <v>210.56666666666669</v>
      </c>
      <c r="O75" s="180">
        <v>50</v>
      </c>
    </row>
    <row r="76" spans="1:43">
      <c r="A76" s="180" t="s">
        <v>141</v>
      </c>
      <c r="F76" s="180">
        <f>(122.1+149.4+149.2+165.5+144.9+141.1)/6</f>
        <v>145.36666666666667</v>
      </c>
      <c r="H76" s="180">
        <v>145</v>
      </c>
      <c r="O76" s="180">
        <v>50</v>
      </c>
    </row>
    <row r="77" spans="1:43">
      <c r="A77" s="180" t="s">
        <v>148</v>
      </c>
      <c r="F77" s="180">
        <f>(142.7+200.8+147.5+132.6+116.7+130.2)/6</f>
        <v>145.08333333333334</v>
      </c>
      <c r="H77" s="180">
        <v>145</v>
      </c>
      <c r="O77" s="180">
        <v>50</v>
      </c>
      <c r="U77" s="184"/>
    </row>
    <row r="78" spans="1:43">
      <c r="A78" s="180" t="s">
        <v>8</v>
      </c>
      <c r="F78" s="180">
        <f>(118.3+105.3+123.3+90.8+84+85.2)/6</f>
        <v>101.15000000000002</v>
      </c>
      <c r="H78" s="180">
        <v>101</v>
      </c>
      <c r="O78" s="180">
        <f>30+10</f>
        <v>40</v>
      </c>
      <c r="U78" s="184"/>
    </row>
    <row r="79" spans="1:43">
      <c r="A79" s="180" t="s">
        <v>9</v>
      </c>
      <c r="F79" s="180">
        <f>(52.4+94.6+74.2+39.3+35.2+41)/6</f>
        <v>56.116666666666667</v>
      </c>
      <c r="H79" s="180">
        <v>56</v>
      </c>
      <c r="K79" s="180">
        <f>((102.7+35.5)+163.8+166.3)/3</f>
        <v>156.1</v>
      </c>
      <c r="O79" s="180">
        <v>15</v>
      </c>
      <c r="Q79" s="180" t="s">
        <v>192</v>
      </c>
      <c r="U79" s="180" t="s">
        <v>193</v>
      </c>
    </row>
    <row r="80" spans="1:43" ht="13.5" thickBot="1">
      <c r="A80" s="182"/>
      <c r="D80" s="180" t="s">
        <v>34</v>
      </c>
      <c r="F80" s="297">
        <f>SUM(F73:F79)</f>
        <v>822.33095238095245</v>
      </c>
      <c r="H80" s="346">
        <f>SUM(H73:H79)</f>
        <v>822</v>
      </c>
      <c r="K80" s="297">
        <f>SUM(K73:K79)</f>
        <v>366.66666666666669</v>
      </c>
      <c r="O80" s="233">
        <f>SUM(O73:O79)</f>
        <v>250</v>
      </c>
      <c r="S80" s="234">
        <f>SUM(S73:S78)</f>
        <v>0</v>
      </c>
      <c r="U80" s="184"/>
    </row>
    <row r="81" spans="1:29" ht="13.5" thickTop="1">
      <c r="A81" s="182"/>
      <c r="O81" s="180" t="s">
        <v>799</v>
      </c>
      <c r="S81" s="180" t="s">
        <v>196</v>
      </c>
      <c r="U81" s="184"/>
    </row>
    <row r="82" spans="1:29">
      <c r="A82" s="182"/>
      <c r="O82" s="235">
        <f>O80*5</f>
        <v>1250</v>
      </c>
      <c r="S82" s="235" t="s">
        <v>761</v>
      </c>
    </row>
    <row r="84" spans="1:29" ht="16.5" thickBot="1">
      <c r="A84" s="230" t="s">
        <v>219</v>
      </c>
    </row>
    <row r="85" spans="1:29" ht="13.5" thickBot="1">
      <c r="A85" s="182" t="s">
        <v>220</v>
      </c>
      <c r="M85" s="238">
        <v>823</v>
      </c>
      <c r="N85" s="180" t="s">
        <v>221</v>
      </c>
    </row>
    <row r="86" spans="1:29">
      <c r="A86" s="180" t="s">
        <v>222</v>
      </c>
    </row>
    <row r="87" spans="1:29">
      <c r="A87" s="180" t="s">
        <v>629</v>
      </c>
    </row>
    <row r="88" spans="1:29">
      <c r="A88" s="180" t="s">
        <v>630</v>
      </c>
    </row>
    <row r="89" spans="1:29">
      <c r="B89" s="143"/>
      <c r="C89" s="143"/>
      <c r="D89" s="239" t="s">
        <v>223</v>
      </c>
      <c r="E89" s="143"/>
      <c r="F89" s="143"/>
      <c r="G89" s="143"/>
      <c r="H89" s="143"/>
      <c r="I89" s="143"/>
      <c r="J89" s="143"/>
      <c r="K89" s="143"/>
      <c r="Q89" s="143"/>
      <c r="R89" s="143"/>
      <c r="S89" s="239" t="s">
        <v>224</v>
      </c>
      <c r="T89" s="143"/>
      <c r="U89" s="143"/>
      <c r="V89" s="143"/>
      <c r="W89" s="143"/>
      <c r="X89" s="143"/>
      <c r="Y89" s="143"/>
    </row>
    <row r="90" spans="1:29">
      <c r="A90" s="240" t="s">
        <v>202</v>
      </c>
      <c r="B90" s="340" t="s">
        <v>628</v>
      </c>
      <c r="C90" s="143"/>
      <c r="D90" s="241" t="s">
        <v>225</v>
      </c>
      <c r="E90" s="143"/>
      <c r="F90" s="241" t="s">
        <v>226</v>
      </c>
      <c r="G90" s="143"/>
      <c r="H90" s="242" t="s">
        <v>227</v>
      </c>
      <c r="I90" s="242"/>
      <c r="J90" s="143"/>
      <c r="K90" s="239" t="s">
        <v>204</v>
      </c>
      <c r="M90" s="180" t="s">
        <v>228</v>
      </c>
      <c r="Q90" s="240" t="s">
        <v>229</v>
      </c>
      <c r="R90" s="143"/>
      <c r="S90" s="240" t="s">
        <v>225</v>
      </c>
      <c r="T90" s="143"/>
      <c r="U90" s="241" t="s">
        <v>230</v>
      </c>
      <c r="V90" s="143"/>
      <c r="W90" s="240" t="s">
        <v>227</v>
      </c>
      <c r="X90" s="143"/>
      <c r="Y90" s="240" t="s">
        <v>231</v>
      </c>
      <c r="AA90" s="180" t="s">
        <v>228</v>
      </c>
    </row>
    <row r="91" spans="1:29">
      <c r="A91" s="241"/>
      <c r="C91" s="205"/>
      <c r="D91" s="241"/>
      <c r="E91" s="143"/>
      <c r="F91" s="244">
        <f>$M$85*D91</f>
        <v>0</v>
      </c>
      <c r="G91" s="143"/>
      <c r="H91" s="143"/>
      <c r="I91" s="143"/>
      <c r="J91" s="143"/>
      <c r="K91" s="143"/>
      <c r="Q91" s="143"/>
      <c r="R91" s="143"/>
      <c r="S91" s="143"/>
      <c r="T91" s="143"/>
      <c r="U91" s="143"/>
      <c r="V91" s="143"/>
      <c r="W91" s="143"/>
      <c r="X91" s="143"/>
      <c r="Y91" s="143"/>
    </row>
    <row r="92" spans="1:29">
      <c r="A92" s="351">
        <v>2014</v>
      </c>
      <c r="B92" s="180">
        <v>199</v>
      </c>
      <c r="C92" s="143"/>
      <c r="D92" s="388">
        <v>3.3490000000000002</v>
      </c>
      <c r="E92" s="143"/>
      <c r="F92" s="244">
        <f>$M$85*D92</f>
        <v>2756.2270000000003</v>
      </c>
      <c r="G92" s="143"/>
      <c r="H92" s="143">
        <f>S52</f>
        <v>2167.84</v>
      </c>
      <c r="I92" s="143"/>
      <c r="J92" s="143"/>
      <c r="K92" s="244">
        <f>F92-H92</f>
        <v>588.38700000000017</v>
      </c>
      <c r="M92" s="245">
        <f>M93+K92</f>
        <v>2242.1980000000008</v>
      </c>
      <c r="O92" s="343" t="s">
        <v>1094</v>
      </c>
      <c r="Q92" s="351">
        <v>2014</v>
      </c>
      <c r="R92" s="143"/>
      <c r="S92" s="143">
        <f>O56</f>
        <v>3.2875963456376662</v>
      </c>
      <c r="T92" s="143"/>
      <c r="U92" s="248">
        <f>$M$85*S92</f>
        <v>2705.6917924597992</v>
      </c>
      <c r="V92" s="143"/>
      <c r="W92" s="143">
        <f>S52</f>
        <v>2167.84</v>
      </c>
      <c r="X92" s="143"/>
      <c r="Y92" s="248">
        <f>U92-W92</f>
        <v>537.85179245979907</v>
      </c>
      <c r="AA92" s="246">
        <f>AA93+Y92</f>
        <v>1995.2386348040241</v>
      </c>
      <c r="AC92" s="343" t="s">
        <v>1094</v>
      </c>
    </row>
    <row r="93" spans="1:29">
      <c r="A93" s="143">
        <v>2013</v>
      </c>
      <c r="B93" s="180">
        <f>194</f>
        <v>194</v>
      </c>
      <c r="C93" s="143"/>
      <c r="D93" s="247">
        <v>3.1989999999999998</v>
      </c>
      <c r="E93" s="143"/>
      <c r="F93" s="244">
        <f>$M$85*D93</f>
        <v>2632.777</v>
      </c>
      <c r="G93" s="143"/>
      <c r="H93" s="143">
        <f>M52</f>
        <v>2264.16</v>
      </c>
      <c r="I93" s="143"/>
      <c r="J93" s="143"/>
      <c r="K93" s="244">
        <f>F93-H93</f>
        <v>368.61700000000019</v>
      </c>
      <c r="M93" s="245">
        <f>M94+K93</f>
        <v>1653.8110000000006</v>
      </c>
      <c r="Q93" s="143">
        <v>2013</v>
      </c>
      <c r="R93" s="143"/>
      <c r="S93" s="143">
        <f>H56</f>
        <v>3.3125534323806001</v>
      </c>
      <c r="T93" s="143"/>
      <c r="U93" s="248">
        <f>$M$85*S93</f>
        <v>2726.231474849234</v>
      </c>
      <c r="V93" s="143"/>
      <c r="W93" s="143">
        <f>M52</f>
        <v>2264.16</v>
      </c>
      <c r="X93" s="143"/>
      <c r="Y93" s="248">
        <f>U93-W93</f>
        <v>462.07147484923416</v>
      </c>
      <c r="AA93" s="246">
        <f>AA94+Y93</f>
        <v>1457.386842344225</v>
      </c>
    </row>
    <row r="94" spans="1:29">
      <c r="A94" s="143">
        <v>2012</v>
      </c>
      <c r="B94" s="180">
        <v>178</v>
      </c>
      <c r="C94" s="205"/>
      <c r="D94" s="249">
        <v>3.4990000000000001</v>
      </c>
      <c r="E94" s="143"/>
      <c r="F94" s="244">
        <f>$M$85*D94</f>
        <v>2879.6770000000001</v>
      </c>
      <c r="G94" s="143"/>
      <c r="H94" s="143">
        <f>F52</f>
        <v>2017.87</v>
      </c>
      <c r="I94" s="143"/>
      <c r="J94" s="143"/>
      <c r="K94" s="244">
        <f>F94-H94</f>
        <v>861.80700000000024</v>
      </c>
      <c r="M94" s="245">
        <f>M95+K94</f>
        <v>1285.1940000000004</v>
      </c>
      <c r="Q94" s="143">
        <v>2012</v>
      </c>
      <c r="R94" s="143"/>
      <c r="S94" s="143">
        <f>B56</f>
        <v>3.4413814421401674</v>
      </c>
      <c r="T94" s="143"/>
      <c r="U94" s="248">
        <f>$M$85*S94</f>
        <v>2832.2569268813577</v>
      </c>
      <c r="V94" s="143"/>
      <c r="W94" s="143">
        <f>F52</f>
        <v>2017.87</v>
      </c>
      <c r="X94" s="143"/>
      <c r="Y94" s="248">
        <f>U94-W94</f>
        <v>814.38692688135779</v>
      </c>
      <c r="AA94" s="246">
        <f>AA95+Y94</f>
        <v>995.31536749499082</v>
      </c>
    </row>
    <row r="95" spans="1:29">
      <c r="A95" s="143">
        <v>2011</v>
      </c>
      <c r="B95" s="180">
        <v>62</v>
      </c>
      <c r="C95" s="143"/>
      <c r="D95" s="249">
        <v>2.9990000000000001</v>
      </c>
      <c r="E95" s="143"/>
      <c r="F95" s="244">
        <f>$M$85*D95</f>
        <v>2468.1770000000001</v>
      </c>
      <c r="G95" s="143"/>
      <c r="H95" s="143">
        <f>S29</f>
        <v>2044.79</v>
      </c>
      <c r="I95" s="143"/>
      <c r="J95" s="143"/>
      <c r="K95" s="244">
        <f>F95-H95</f>
        <v>423.38700000000017</v>
      </c>
      <c r="M95" s="250">
        <f>K95</f>
        <v>423.38700000000017</v>
      </c>
      <c r="Q95" s="143">
        <v>2011</v>
      </c>
      <c r="R95" s="143"/>
      <c r="S95" s="143">
        <f>O33</f>
        <v>2.704396647161158</v>
      </c>
      <c r="T95" s="143"/>
      <c r="U95" s="248">
        <f>$M$85*S95</f>
        <v>2225.718440613633</v>
      </c>
      <c r="V95" s="143"/>
      <c r="W95" s="143">
        <f>S29</f>
        <v>2044.79</v>
      </c>
      <c r="X95" s="143"/>
      <c r="Y95" s="248">
        <f>U95-W95</f>
        <v>180.92844061363303</v>
      </c>
      <c r="AA95" s="246">
        <f>Y95</f>
        <v>180.92844061363303</v>
      </c>
    </row>
    <row r="96" spans="1:29">
      <c r="A96" s="182"/>
    </row>
    <row r="98" spans="1:33">
      <c r="A98" s="182"/>
    </row>
    <row r="100" spans="1:33" ht="15.75">
      <c r="A100" s="230" t="s">
        <v>232</v>
      </c>
    </row>
    <row r="101" spans="1:33" ht="38.25">
      <c r="A101" s="354" t="s">
        <v>202</v>
      </c>
      <c r="B101" s="336" t="s">
        <v>233</v>
      </c>
      <c r="C101" s="336"/>
      <c r="D101" s="336" t="s">
        <v>225</v>
      </c>
      <c r="E101" s="336"/>
      <c r="F101" s="336" t="s">
        <v>234</v>
      </c>
      <c r="G101" s="336"/>
      <c r="H101" s="336" t="s">
        <v>82</v>
      </c>
      <c r="I101" s="336"/>
      <c r="J101" s="336"/>
      <c r="K101" s="336" t="s">
        <v>235</v>
      </c>
      <c r="L101" s="336"/>
      <c r="M101" s="336"/>
      <c r="N101" s="336"/>
      <c r="O101" s="336"/>
      <c r="P101" s="336"/>
      <c r="Q101" s="336"/>
      <c r="R101" s="336"/>
      <c r="S101" s="336" t="s">
        <v>236</v>
      </c>
      <c r="T101" s="336"/>
      <c r="U101" s="336" t="s">
        <v>237</v>
      </c>
      <c r="V101" s="336"/>
      <c r="W101" s="355" t="s">
        <v>365</v>
      </c>
      <c r="X101" s="336"/>
      <c r="Y101" s="336" t="s">
        <v>678</v>
      </c>
      <c r="Z101" s="336"/>
      <c r="AA101" s="143" t="s">
        <v>608</v>
      </c>
      <c r="AB101" s="143"/>
      <c r="AC101" s="143"/>
      <c r="AD101" s="143"/>
      <c r="AE101" s="143"/>
    </row>
    <row r="102" spans="1:33">
      <c r="A102" s="336">
        <v>2011</v>
      </c>
      <c r="B102" s="336">
        <v>4</v>
      </c>
      <c r="C102" s="336"/>
      <c r="D102" s="336">
        <v>259.99</v>
      </c>
      <c r="E102" s="336"/>
      <c r="F102" s="336">
        <v>40</v>
      </c>
      <c r="G102" s="336"/>
      <c r="H102" s="336">
        <f>B102*D102+F102</f>
        <v>1079.96</v>
      </c>
      <c r="I102" s="336"/>
      <c r="J102" s="336"/>
      <c r="K102" s="336">
        <f>H102/(B102*50)</f>
        <v>5.3997999999999999</v>
      </c>
      <c r="L102" s="336"/>
      <c r="M102" s="336" t="s">
        <v>238</v>
      </c>
      <c r="N102" s="336"/>
      <c r="O102" s="336"/>
      <c r="P102" s="336"/>
      <c r="Q102" s="336"/>
      <c r="R102" s="336"/>
      <c r="S102" s="336">
        <v>155</v>
      </c>
      <c r="T102" s="336"/>
      <c r="U102" s="336">
        <f>K102*S102</f>
        <v>836.96899999999994</v>
      </c>
      <c r="V102" s="336"/>
      <c r="W102" s="336">
        <v>45</v>
      </c>
      <c r="X102" s="336"/>
      <c r="Y102" s="336">
        <f>U102</f>
        <v>836.96899999999994</v>
      </c>
      <c r="Z102" s="262"/>
      <c r="AA102" s="262" t="s">
        <v>631</v>
      </c>
      <c r="AB102" s="262"/>
      <c r="AC102" s="262"/>
      <c r="AD102" s="262"/>
      <c r="AE102" s="262"/>
      <c r="AF102" s="262"/>
      <c r="AG102" s="262"/>
    </row>
    <row r="103" spans="1:33">
      <c r="A103" s="180">
        <v>2012</v>
      </c>
      <c r="B103" s="180">
        <v>2</v>
      </c>
      <c r="D103" s="180">
        <v>249.99</v>
      </c>
      <c r="F103" s="180">
        <v>30</v>
      </c>
      <c r="H103" s="180">
        <f>B103*D103+F103</f>
        <v>529.98</v>
      </c>
      <c r="K103" s="180">
        <f>H103/(B103*55)</f>
        <v>4.8180000000000005</v>
      </c>
      <c r="M103" s="180" t="s">
        <v>239</v>
      </c>
      <c r="S103" s="180">
        <f>45+110</f>
        <v>155</v>
      </c>
      <c r="U103" s="180">
        <f>45*K102+110*K103</f>
        <v>772.971</v>
      </c>
      <c r="W103" s="180">
        <v>0</v>
      </c>
      <c r="AA103" s="180" t="s">
        <v>362</v>
      </c>
    </row>
    <row r="104" spans="1:33">
      <c r="A104" s="251" t="s">
        <v>360</v>
      </c>
      <c r="H104" s="180">
        <v>56</v>
      </c>
      <c r="K104" s="180">
        <v>5.6</v>
      </c>
      <c r="M104" s="180" t="s">
        <v>239</v>
      </c>
      <c r="S104" s="180">
        <v>10</v>
      </c>
      <c r="U104" s="180">
        <v>56</v>
      </c>
      <c r="W104" s="180">
        <v>0</v>
      </c>
    </row>
    <row r="105" spans="1:33">
      <c r="A105" s="180" t="s">
        <v>366</v>
      </c>
      <c r="H105" s="180">
        <v>54</v>
      </c>
      <c r="K105" s="180">
        <v>5.4</v>
      </c>
      <c r="M105" s="180" t="s">
        <v>361</v>
      </c>
      <c r="S105" s="180">
        <v>10</v>
      </c>
      <c r="U105" s="180">
        <v>54</v>
      </c>
      <c r="W105" s="180">
        <v>0</v>
      </c>
      <c r="AA105" s="180" t="s">
        <v>679</v>
      </c>
    </row>
    <row r="106" spans="1:33">
      <c r="A106" s="336"/>
      <c r="B106" s="336"/>
      <c r="C106" s="336"/>
      <c r="D106" s="336"/>
      <c r="E106" s="336"/>
      <c r="F106" s="336"/>
      <c r="G106" s="336"/>
      <c r="H106" s="336">
        <v>112</v>
      </c>
      <c r="I106" s="336"/>
      <c r="J106" s="336"/>
      <c r="K106" s="336">
        <v>5.6</v>
      </c>
      <c r="L106" s="336"/>
      <c r="M106" s="336" t="s">
        <v>367</v>
      </c>
      <c r="N106" s="336"/>
      <c r="O106" s="336"/>
      <c r="P106" s="336"/>
      <c r="Q106" s="336"/>
      <c r="R106" s="336"/>
      <c r="S106" s="336">
        <v>20</v>
      </c>
      <c r="T106" s="336"/>
      <c r="U106" s="336">
        <v>112</v>
      </c>
      <c r="V106" s="336"/>
      <c r="W106" s="336">
        <v>0</v>
      </c>
      <c r="X106" s="336"/>
      <c r="Y106" s="336">
        <f>SUM(U103:U106)</f>
        <v>994.971</v>
      </c>
      <c r="Z106" s="336"/>
      <c r="AA106" s="336"/>
      <c r="AB106" s="336"/>
      <c r="AC106" s="336"/>
      <c r="AD106" s="336"/>
      <c r="AE106" s="336"/>
      <c r="AF106" s="336"/>
      <c r="AG106" s="336"/>
    </row>
    <row r="107" spans="1:33">
      <c r="A107" s="180">
        <v>2013</v>
      </c>
      <c r="B107" s="180">
        <v>4</v>
      </c>
      <c r="D107" s="180">
        <v>242</v>
      </c>
      <c r="F107" s="180">
        <v>35</v>
      </c>
      <c r="H107" s="180">
        <f>B107*D107+F107</f>
        <v>1003</v>
      </c>
      <c r="K107" s="180">
        <f>H107/200</f>
        <v>5.0149999999999997</v>
      </c>
      <c r="L107" s="343"/>
      <c r="M107" s="180" t="s">
        <v>361</v>
      </c>
      <c r="S107" s="180">
        <f>50*4</f>
        <v>200</v>
      </c>
      <c r="U107" s="180">
        <f>1003</f>
        <v>1003</v>
      </c>
      <c r="W107" s="143">
        <v>0</v>
      </c>
      <c r="AA107" s="180" t="s">
        <v>681</v>
      </c>
    </row>
    <row r="108" spans="1:33">
      <c r="A108" s="350" t="s">
        <v>674</v>
      </c>
      <c r="B108" s="143"/>
      <c r="C108" s="143"/>
      <c r="D108" s="143"/>
      <c r="E108" s="143"/>
      <c r="F108" s="143"/>
      <c r="G108" s="143"/>
      <c r="H108" s="143">
        <v>54</v>
      </c>
      <c r="I108" s="143"/>
      <c r="J108" s="143"/>
      <c r="K108" s="143">
        <v>5.4</v>
      </c>
      <c r="L108" s="351"/>
      <c r="M108" s="143" t="s">
        <v>361</v>
      </c>
      <c r="N108" s="143"/>
      <c r="O108" s="143"/>
      <c r="P108" s="143"/>
      <c r="Q108" s="143"/>
      <c r="R108" s="143"/>
      <c r="S108" s="143">
        <v>10</v>
      </c>
      <c r="T108" s="143"/>
      <c r="U108" s="143">
        <v>54</v>
      </c>
      <c r="V108" s="143"/>
      <c r="W108" s="143">
        <v>0</v>
      </c>
    </row>
    <row r="109" spans="1:33">
      <c r="A109" s="352" t="s">
        <v>677</v>
      </c>
      <c r="B109" s="336"/>
      <c r="C109" s="336"/>
      <c r="D109" s="336"/>
      <c r="E109" s="336"/>
      <c r="F109" s="336"/>
      <c r="G109" s="336"/>
      <c r="H109" s="336">
        <f>5.4*25</f>
        <v>135</v>
      </c>
      <c r="I109" s="336"/>
      <c r="J109" s="336"/>
      <c r="K109" s="336">
        <v>5.4</v>
      </c>
      <c r="L109" s="353"/>
      <c r="M109" s="336" t="s">
        <v>361</v>
      </c>
      <c r="N109" s="336"/>
      <c r="O109" s="336"/>
      <c r="P109" s="336"/>
      <c r="Q109" s="336"/>
      <c r="R109" s="336"/>
      <c r="S109" s="336">
        <v>25</v>
      </c>
      <c r="T109" s="336"/>
      <c r="U109" s="336">
        <v>135</v>
      </c>
      <c r="V109" s="336"/>
      <c r="W109" s="336">
        <v>0</v>
      </c>
      <c r="X109" s="336"/>
      <c r="Y109" s="336">
        <f>SUM(U107:U109)</f>
        <v>1192</v>
      </c>
      <c r="Z109" s="336"/>
      <c r="AA109" s="336" t="s">
        <v>680</v>
      </c>
      <c r="AB109" s="336"/>
      <c r="AC109" s="336"/>
      <c r="AD109" s="336"/>
      <c r="AE109" s="336"/>
      <c r="AF109" s="336"/>
      <c r="AG109" s="336"/>
    </row>
    <row r="110" spans="1:33">
      <c r="A110" s="180">
        <v>2014</v>
      </c>
      <c r="B110" s="180">
        <v>4</v>
      </c>
      <c r="D110" s="180">
        <v>239</v>
      </c>
      <c r="F110" s="180">
        <v>40</v>
      </c>
      <c r="H110" s="180">
        <f>B110*D110+F110</f>
        <v>996</v>
      </c>
      <c r="K110" s="180">
        <f>H110/200</f>
        <v>4.9800000000000004</v>
      </c>
      <c r="M110" s="180" t="s">
        <v>701</v>
      </c>
    </row>
    <row r="114" spans="1:17" ht="15.75">
      <c r="A114" s="230" t="s">
        <v>198</v>
      </c>
    </row>
    <row r="115" spans="1:17">
      <c r="A115" s="236" t="s">
        <v>199</v>
      </c>
      <c r="H115" s="180" t="s">
        <v>200</v>
      </c>
    </row>
    <row r="116" spans="1:17">
      <c r="A116" s="237" t="s">
        <v>201</v>
      </c>
    </row>
    <row r="117" spans="1:17">
      <c r="A117" s="180" t="s">
        <v>202</v>
      </c>
      <c r="B117" s="180">
        <v>2005</v>
      </c>
      <c r="D117" s="180">
        <v>2006</v>
      </c>
      <c r="F117" s="180">
        <v>2007</v>
      </c>
      <c r="H117" s="180">
        <v>2008</v>
      </c>
      <c r="K117" s="180">
        <v>2009</v>
      </c>
      <c r="M117" s="180">
        <v>2010</v>
      </c>
      <c r="O117" s="180">
        <v>2011</v>
      </c>
      <c r="P117" s="180" t="s">
        <v>160</v>
      </c>
      <c r="Q117" s="180">
        <v>2012</v>
      </c>
    </row>
    <row r="118" spans="1:17">
      <c r="A118" s="180" t="s">
        <v>46</v>
      </c>
      <c r="B118" s="180">
        <f>350*B33+150</f>
        <v>806.34512115258678</v>
      </c>
      <c r="C118" s="180">
        <f>350*C33+150</f>
        <v>150</v>
      </c>
      <c r="D118" s="180">
        <f>350*D33+150</f>
        <v>818.06717698297473</v>
      </c>
      <c r="E118" s="180">
        <f>350*E33+150</f>
        <v>150</v>
      </c>
      <c r="F118" s="180">
        <f>350*F33+150</f>
        <v>855.10282381829336</v>
      </c>
      <c r="H118" s="180">
        <f>350*H33+150</f>
        <v>989.1117775983389</v>
      </c>
      <c r="K118" s="180">
        <f>350*K33+150</f>
        <v>1029.2274509803919</v>
      </c>
      <c r="M118" s="180">
        <f>350*M33+150</f>
        <v>988.46313951926948</v>
      </c>
      <c r="O118" s="180">
        <f>350*O33+150</f>
        <v>1096.5388265064053</v>
      </c>
      <c r="Q118" s="180">
        <f>350*B56+150</f>
        <v>1354.4835047490585</v>
      </c>
    </row>
    <row r="119" spans="1:17">
      <c r="A119" s="180" t="s">
        <v>44</v>
      </c>
      <c r="B119" s="180">
        <v>810</v>
      </c>
      <c r="C119" s="180">
        <v>810</v>
      </c>
      <c r="D119" s="180">
        <v>810</v>
      </c>
      <c r="E119" s="180">
        <v>810</v>
      </c>
      <c r="F119" s="180">
        <v>810</v>
      </c>
      <c r="H119" s="180">
        <v>810</v>
      </c>
      <c r="K119" s="180">
        <v>810</v>
      </c>
      <c r="M119" s="180">
        <v>810</v>
      </c>
      <c r="O119" s="180">
        <v>810</v>
      </c>
      <c r="Q119" s="180">
        <v>810</v>
      </c>
    </row>
    <row r="120" spans="1:17">
      <c r="A120" s="180" t="s">
        <v>82</v>
      </c>
      <c r="B120" s="180">
        <f>SUM(B118:B119)</f>
        <v>1616.3451211525867</v>
      </c>
      <c r="C120" s="180">
        <f>SUM(C118:C119)</f>
        <v>960</v>
      </c>
      <c r="D120" s="180">
        <f>SUM(D118:D119)</f>
        <v>1628.0671769829746</v>
      </c>
      <c r="E120" s="180">
        <f>SUM(E118:E119)</f>
        <v>960</v>
      </c>
      <c r="F120" s="180">
        <f>SUM(F118:F119)</f>
        <v>1665.1028238182935</v>
      </c>
      <c r="H120" s="180">
        <f>SUM(H118:H119)</f>
        <v>1799.1117775983389</v>
      </c>
      <c r="K120" s="180">
        <f>SUM(K118:K119)</f>
        <v>1839.2274509803919</v>
      </c>
      <c r="M120" s="180">
        <f>SUM(M118:M119)</f>
        <v>1798.4631395192696</v>
      </c>
      <c r="O120" s="180">
        <f>SUM(O118:O119)</f>
        <v>1906.5388265064053</v>
      </c>
      <c r="Q120" s="180">
        <f>SUM(Q118:Q119)</f>
        <v>2164.4835047490587</v>
      </c>
    </row>
    <row r="121" spans="1:17">
      <c r="A121" s="180" t="s">
        <v>204</v>
      </c>
      <c r="B121" s="180">
        <f>B29-B120</f>
        <v>-184.57512115258669</v>
      </c>
      <c r="C121" s="180">
        <f>C29-C120</f>
        <v>-960</v>
      </c>
      <c r="D121" s="180">
        <f>D29-D120</f>
        <v>-181.79717698297463</v>
      </c>
      <c r="E121" s="180">
        <f>E29-E120</f>
        <v>-960</v>
      </c>
      <c r="F121" s="180">
        <f>F29-F120</f>
        <v>303.94717618170671</v>
      </c>
      <c r="H121" s="180">
        <f>H29-H120</f>
        <v>279.24822240166122</v>
      </c>
      <c r="K121" s="180">
        <f>K29-K120</f>
        <v>82.512549019607832</v>
      </c>
      <c r="M121" s="180">
        <f>M29-M120</f>
        <v>-14.453139519269598</v>
      </c>
      <c r="O121" s="180">
        <f>S29-O120</f>
        <v>138.25117349359471</v>
      </c>
    </row>
    <row r="122" spans="1:17">
      <c r="A122" s="180" t="s">
        <v>205</v>
      </c>
      <c r="B122" s="231" t="s">
        <v>206</v>
      </c>
      <c r="C122" s="231"/>
      <c r="D122" s="231" t="s">
        <v>206</v>
      </c>
      <c r="E122" s="231"/>
      <c r="F122" s="231" t="s">
        <v>207</v>
      </c>
      <c r="G122" s="231"/>
      <c r="H122" s="231" t="s">
        <v>207</v>
      </c>
      <c r="I122" s="231"/>
      <c r="J122" s="231"/>
      <c r="K122" s="231" t="s">
        <v>207</v>
      </c>
      <c r="M122" s="231" t="s">
        <v>208</v>
      </c>
      <c r="O122" s="231" t="s">
        <v>207</v>
      </c>
    </row>
    <row r="124" spans="1:17">
      <c r="A124" s="180" t="s">
        <v>209</v>
      </c>
      <c r="B124" s="180">
        <v>1431.77</v>
      </c>
      <c r="D124" s="180">
        <v>1446.27</v>
      </c>
      <c r="F124" s="180">
        <v>1969.0500000000002</v>
      </c>
      <c r="H124" s="180">
        <v>2078.36</v>
      </c>
      <c r="K124" s="180">
        <v>1921.7399999999998</v>
      </c>
      <c r="M124" s="180">
        <v>1784.01</v>
      </c>
      <c r="O124" s="180">
        <v>2017.79</v>
      </c>
    </row>
    <row r="125" spans="1:17">
      <c r="A125" s="180" t="s">
        <v>210</v>
      </c>
      <c r="B125" s="180">
        <f>316.3+71.1+210+166.1</f>
        <v>763.5</v>
      </c>
      <c r="D125" s="180">
        <f>122.1+142.7+118.3+52.4+85.2+128.8+108.2</f>
        <v>757.7</v>
      </c>
      <c r="F125" s="180">
        <f>149.4+200.8+105.3+94.6+132.4+168.7+126.2</f>
        <v>977.40000000000009</v>
      </c>
      <c r="H125" s="180">
        <f>149.2+147.5+123.3+74.2+103+146.1+123.6</f>
        <v>866.90000000000009</v>
      </c>
      <c r="K125" s="180">
        <f>165.5+132.6+90.8+39.3+109.3+127+100.5</f>
        <v>765</v>
      </c>
      <c r="M125" s="180">
        <f>144.9+116.7+84+35.2+99.9+126.1+137.9</f>
        <v>744.7</v>
      </c>
      <c r="O125" s="180">
        <f>141.1+130.2+85.2+41+74+92.3+68.5</f>
        <v>632.29999999999995</v>
      </c>
    </row>
    <row r="126" spans="1:17">
      <c r="A126" s="180" t="s">
        <v>211</v>
      </c>
      <c r="B126" s="180">
        <v>1.8752717747216765</v>
      </c>
      <c r="D126" s="180">
        <v>1.9087633628084992</v>
      </c>
      <c r="F126" s="180">
        <v>2.0145794966236954</v>
      </c>
      <c r="H126" s="180">
        <v>2.3974622217095396</v>
      </c>
      <c r="K126" s="180">
        <v>2.5120784313725486</v>
      </c>
      <c r="M126" s="180">
        <v>2.3956089700550556</v>
      </c>
      <c r="O126" s="180">
        <v>2.704396647161158</v>
      </c>
      <c r="Q126" s="180">
        <f>B56</f>
        <v>3.4413814421401674</v>
      </c>
    </row>
    <row r="128" spans="1:17">
      <c r="A128" s="237" t="s">
        <v>212</v>
      </c>
    </row>
    <row r="129" spans="1:17">
      <c r="A129" s="180" t="s">
        <v>202</v>
      </c>
      <c r="B129" s="180">
        <v>2005</v>
      </c>
      <c r="D129" s="180">
        <v>2006</v>
      </c>
      <c r="F129" s="180">
        <v>2007</v>
      </c>
      <c r="H129" s="180">
        <v>2008</v>
      </c>
      <c r="K129" s="180">
        <v>2009</v>
      </c>
      <c r="M129" s="180">
        <v>2010</v>
      </c>
      <c r="O129" s="180">
        <v>2011</v>
      </c>
      <c r="Q129" s="180">
        <v>2012</v>
      </c>
    </row>
    <row r="130" spans="1:17">
      <c r="A130" s="180" t="s">
        <v>213</v>
      </c>
      <c r="B130" s="180">
        <f>806*B126</f>
        <v>1511.4690504256712</v>
      </c>
      <c r="C130" s="180">
        <f>806*C126</f>
        <v>0</v>
      </c>
      <c r="D130" s="180">
        <f>806*D126</f>
        <v>1538.4632704236503</v>
      </c>
      <c r="E130" s="180">
        <f>806*E126</f>
        <v>0</v>
      </c>
      <c r="F130" s="180">
        <f>806*F126</f>
        <v>1623.7510742786985</v>
      </c>
      <c r="H130" s="180">
        <f>806*H126</f>
        <v>1932.354550697889</v>
      </c>
      <c r="K130" s="180">
        <f>806*K126</f>
        <v>2024.7352156862742</v>
      </c>
      <c r="M130" s="180">
        <f>806*M126</f>
        <v>1930.8608298643749</v>
      </c>
      <c r="O130" s="180">
        <f>806*O126</f>
        <v>2179.7436976118934</v>
      </c>
      <c r="Q130" s="180">
        <f>806*Q126</f>
        <v>2773.7534423649749</v>
      </c>
    </row>
    <row r="131" spans="1:17">
      <c r="A131" s="180" t="s">
        <v>204</v>
      </c>
      <c r="B131" s="180">
        <f>B130-B120</f>
        <v>-104.87607072691549</v>
      </c>
      <c r="C131" s="180">
        <f>C130-C120</f>
        <v>-960</v>
      </c>
      <c r="D131" s="180">
        <f>D130-D120</f>
        <v>-89.603906559324287</v>
      </c>
      <c r="E131" s="180">
        <f>E130-E120</f>
        <v>-960</v>
      </c>
      <c r="F131" s="180">
        <f>F130-F120</f>
        <v>-41.351749539594948</v>
      </c>
      <c r="H131" s="180">
        <f>H130-H120</f>
        <v>133.24277309955005</v>
      </c>
      <c r="K131" s="180">
        <f>K130-K120</f>
        <v>185.50776470588221</v>
      </c>
      <c r="M131" s="180">
        <f>M130-M120</f>
        <v>132.39769034510527</v>
      </c>
      <c r="O131" s="180">
        <f>O130-O120</f>
        <v>273.20487110548811</v>
      </c>
      <c r="Q131" s="180">
        <f>Q130-Q120</f>
        <v>609.26993761591621</v>
      </c>
    </row>
    <row r="132" spans="1:17">
      <c r="A132" s="180" t="s">
        <v>205</v>
      </c>
      <c r="B132" s="231" t="s">
        <v>206</v>
      </c>
      <c r="C132" s="231"/>
      <c r="D132" s="231" t="s">
        <v>206</v>
      </c>
      <c r="E132" s="231"/>
      <c r="F132" s="231" t="s">
        <v>208</v>
      </c>
      <c r="G132" s="231"/>
      <c r="H132" s="231" t="s">
        <v>207</v>
      </c>
      <c r="I132" s="231"/>
      <c r="J132" s="231"/>
      <c r="K132" s="231" t="s">
        <v>207</v>
      </c>
      <c r="L132" s="231"/>
      <c r="M132" s="231" t="s">
        <v>207</v>
      </c>
      <c r="N132" s="231"/>
      <c r="O132" s="231" t="s">
        <v>207</v>
      </c>
    </row>
    <row r="133" spans="1:17">
      <c r="A133" s="180" t="s">
        <v>211</v>
      </c>
      <c r="B133" s="180">
        <v>1.8752717747216765</v>
      </c>
      <c r="D133" s="180">
        <v>1.9087633628084992</v>
      </c>
      <c r="F133" s="180">
        <v>2.0145794966236954</v>
      </c>
      <c r="H133" s="180">
        <v>2.3974622217095396</v>
      </c>
      <c r="K133" s="180">
        <v>2.5120784313725486</v>
      </c>
      <c r="M133" s="180">
        <v>2.3956089700550556</v>
      </c>
      <c r="O133" s="180">
        <v>2.704396647161158</v>
      </c>
      <c r="Q133" s="180">
        <v>3.2990262901655307</v>
      </c>
    </row>
    <row r="136" spans="1:17">
      <c r="A136" s="236" t="s">
        <v>214</v>
      </c>
      <c r="H136" s="180" t="s">
        <v>200</v>
      </c>
    </row>
    <row r="137" spans="1:17">
      <c r="A137" s="237" t="s">
        <v>201</v>
      </c>
    </row>
    <row r="138" spans="1:17">
      <c r="A138" s="180" t="s">
        <v>202</v>
      </c>
      <c r="B138" s="180">
        <v>2005</v>
      </c>
      <c r="D138" s="180">
        <v>2006</v>
      </c>
      <c r="F138" s="180">
        <v>2007</v>
      </c>
      <c r="H138" s="180">
        <v>2008</v>
      </c>
      <c r="K138" s="180">
        <v>2009</v>
      </c>
      <c r="M138" s="180">
        <v>2010</v>
      </c>
      <c r="O138" s="180">
        <v>2011</v>
      </c>
      <c r="P138" s="180" t="s">
        <v>160</v>
      </c>
      <c r="Q138" s="180">
        <v>2012</v>
      </c>
    </row>
    <row r="139" spans="1:17">
      <c r="A139" s="180" t="s">
        <v>46</v>
      </c>
      <c r="B139" s="180">
        <f>350*B32+150</f>
        <v>807.65</v>
      </c>
      <c r="C139" s="180">
        <f>350*C32+150</f>
        <v>150</v>
      </c>
      <c r="D139" s="180">
        <f>350*D32+150</f>
        <v>832.15</v>
      </c>
      <c r="E139" s="180">
        <f>350*E32+150</f>
        <v>150</v>
      </c>
      <c r="F139" s="180">
        <f>350*F32+150</f>
        <v>884.65000000000009</v>
      </c>
      <c r="H139" s="180">
        <f>350*H32+150</f>
        <v>1101.6500000000001</v>
      </c>
      <c r="K139" s="180">
        <f>350*K32+150</f>
        <v>937.15000000000009</v>
      </c>
      <c r="M139" s="180">
        <f>350*M32+150</f>
        <v>1042.1500000000001</v>
      </c>
      <c r="O139" s="180">
        <f>350*O32+150</f>
        <v>1199.6500000000001</v>
      </c>
      <c r="Q139" s="180">
        <f>350*B55+150</f>
        <v>1374.65</v>
      </c>
    </row>
    <row r="140" spans="1:17">
      <c r="A140" s="180" t="s">
        <v>44</v>
      </c>
      <c r="B140" s="180">
        <v>810</v>
      </c>
      <c r="C140" s="180">
        <v>810</v>
      </c>
      <c r="D140" s="180">
        <v>810</v>
      </c>
      <c r="E140" s="180">
        <v>810</v>
      </c>
      <c r="F140" s="180">
        <v>810</v>
      </c>
      <c r="H140" s="180">
        <v>810</v>
      </c>
      <c r="K140" s="180">
        <v>810</v>
      </c>
      <c r="M140" s="180">
        <v>810</v>
      </c>
      <c r="O140" s="180">
        <v>810</v>
      </c>
      <c r="Q140" s="180">
        <v>810</v>
      </c>
    </row>
    <row r="141" spans="1:17">
      <c r="A141" s="180" t="s">
        <v>82</v>
      </c>
      <c r="B141" s="180">
        <f>SUM(B139:B140)</f>
        <v>1617.65</v>
      </c>
      <c r="C141" s="180">
        <f>SUM(C139:C140)</f>
        <v>960</v>
      </c>
      <c r="D141" s="180">
        <f>SUM(D139:D140)</f>
        <v>1642.15</v>
      </c>
      <c r="E141" s="180">
        <f>SUM(E139:E140)</f>
        <v>960</v>
      </c>
      <c r="F141" s="180">
        <f>SUM(F139:F140)</f>
        <v>1694.65</v>
      </c>
      <c r="H141" s="180">
        <f>SUM(H139:H140)</f>
        <v>1911.65</v>
      </c>
      <c r="K141" s="180">
        <f>SUM(K139:K140)</f>
        <v>1747.15</v>
      </c>
      <c r="M141" s="180">
        <f>SUM(M139:M140)</f>
        <v>1852.15</v>
      </c>
      <c r="O141" s="180">
        <f>SUM(O139:O140)</f>
        <v>2009.65</v>
      </c>
      <c r="Q141" s="180">
        <f>SUM(Q139:Q140)</f>
        <v>2184.65</v>
      </c>
    </row>
    <row r="142" spans="1:17">
      <c r="A142" s="180" t="s">
        <v>204</v>
      </c>
      <c r="B142" s="180">
        <f>B145-B141</f>
        <v>-185.88000000000011</v>
      </c>
      <c r="C142" s="180">
        <f>C29-C141</f>
        <v>-960</v>
      </c>
      <c r="D142" s="180">
        <f>D145-D141</f>
        <v>-195.88000000000011</v>
      </c>
      <c r="E142" s="180">
        <f>E29-E141</f>
        <v>-960</v>
      </c>
      <c r="F142" s="180">
        <f>F145-F141</f>
        <v>274.40000000000009</v>
      </c>
      <c r="H142" s="180">
        <f>H145-H141</f>
        <v>166.71000000000004</v>
      </c>
      <c r="K142" s="180">
        <f>K145-K141</f>
        <v>174.58999999999969</v>
      </c>
      <c r="M142" s="180">
        <f>M145-M141</f>
        <v>-68.1400000000001</v>
      </c>
      <c r="O142" s="180">
        <f>O145-O141</f>
        <v>8.1399999999998727</v>
      </c>
      <c r="Q142" s="180">
        <f>Q145-Q141</f>
        <v>-2184.65</v>
      </c>
    </row>
    <row r="143" spans="1:17">
      <c r="A143" s="180" t="s">
        <v>205</v>
      </c>
      <c r="B143" s="231" t="s">
        <v>206</v>
      </c>
      <c r="C143" s="231"/>
      <c r="D143" s="231" t="s">
        <v>206</v>
      </c>
      <c r="E143" s="231"/>
      <c r="F143" s="231" t="s">
        <v>207</v>
      </c>
      <c r="G143" s="231"/>
      <c r="H143" s="231" t="s">
        <v>206</v>
      </c>
      <c r="I143" s="231"/>
      <c r="J143" s="231"/>
      <c r="K143" s="231" t="s">
        <v>207</v>
      </c>
      <c r="L143" s="231"/>
      <c r="M143" s="231" t="s">
        <v>208</v>
      </c>
      <c r="N143" s="231"/>
      <c r="O143" s="231" t="s">
        <v>207</v>
      </c>
    </row>
    <row r="145" spans="1:17">
      <c r="A145" s="180" t="s">
        <v>209</v>
      </c>
      <c r="B145" s="180">
        <v>1431.77</v>
      </c>
      <c r="D145" s="180">
        <v>1446.27</v>
      </c>
      <c r="F145" s="180">
        <v>1969.0500000000002</v>
      </c>
      <c r="H145" s="180">
        <v>2078.36</v>
      </c>
      <c r="K145" s="180">
        <v>1921.7399999999998</v>
      </c>
      <c r="M145" s="180">
        <v>1784.01</v>
      </c>
      <c r="O145" s="180">
        <v>2017.79</v>
      </c>
      <c r="Q145" s="180">
        <v>0</v>
      </c>
    </row>
    <row r="146" spans="1:17">
      <c r="A146" s="180" t="s">
        <v>210</v>
      </c>
      <c r="B146" s="180">
        <f>316.3+71.1+210+166.1</f>
        <v>763.5</v>
      </c>
      <c r="D146" s="180">
        <f>122.1+142.7+118.3+52.4+85.2+128.8+108.2</f>
        <v>757.7</v>
      </c>
      <c r="F146" s="180">
        <f>149.4+200.8+105.3+94.6+132.4+168.7+126.2</f>
        <v>977.40000000000009</v>
      </c>
      <c r="H146" s="180">
        <f>149.2+147.5+123.3+74.2+103+146.1+123.6</f>
        <v>866.90000000000009</v>
      </c>
      <c r="K146" s="180">
        <f>165.5+132.6+90.8+39.3+109.3+127+100.5</f>
        <v>765</v>
      </c>
      <c r="M146" s="180">
        <f>144.9+116.7+84+35.2+99.9+126.1+137.9</f>
        <v>744.7</v>
      </c>
      <c r="O146" s="180">
        <f>141.1+130.2+85.2+41+74+92.3+68.5</f>
        <v>632.29999999999995</v>
      </c>
    </row>
    <row r="147" spans="1:17">
      <c r="A147" s="180" t="s">
        <v>215</v>
      </c>
      <c r="B147" s="180">
        <v>1.879</v>
      </c>
      <c r="D147" s="180">
        <v>1.9490000000000001</v>
      </c>
      <c r="F147" s="180">
        <v>2.0990000000000002</v>
      </c>
      <c r="H147" s="180">
        <v>2.7189999999999999</v>
      </c>
      <c r="K147" s="180">
        <v>2.2490000000000001</v>
      </c>
      <c r="M147" s="180">
        <v>2.5489999999999999</v>
      </c>
      <c r="O147" s="180">
        <v>2.9990000000000001</v>
      </c>
      <c r="Q147" s="180">
        <v>3.4998999999999998</v>
      </c>
    </row>
    <row r="149" spans="1:17">
      <c r="A149" s="237" t="s">
        <v>212</v>
      </c>
    </row>
    <row r="150" spans="1:17">
      <c r="A150" s="180" t="s">
        <v>202</v>
      </c>
      <c r="B150" s="180">
        <v>2005</v>
      </c>
      <c r="D150" s="180">
        <v>2006</v>
      </c>
      <c r="F150" s="180">
        <v>2007</v>
      </c>
      <c r="H150" s="180">
        <v>2008</v>
      </c>
      <c r="K150" s="180">
        <v>2009</v>
      </c>
      <c r="M150" s="180">
        <v>2010</v>
      </c>
      <c r="O150" s="180">
        <v>2011</v>
      </c>
      <c r="Q150" s="180">
        <v>2012</v>
      </c>
    </row>
    <row r="151" spans="1:17">
      <c r="A151" s="180" t="s">
        <v>213</v>
      </c>
      <c r="B151" s="180">
        <f>806*B147</f>
        <v>1514.4739999999999</v>
      </c>
      <c r="C151" s="180">
        <f>806*C147</f>
        <v>0</v>
      </c>
      <c r="D151" s="180">
        <f>806*D147</f>
        <v>1570.894</v>
      </c>
      <c r="E151" s="180">
        <f>806*E147</f>
        <v>0</v>
      </c>
      <c r="F151" s="180">
        <f>806*F147</f>
        <v>1691.7940000000001</v>
      </c>
      <c r="H151" s="180">
        <f>806*H147</f>
        <v>2191.5139999999997</v>
      </c>
      <c r="K151" s="180">
        <f>806*K147</f>
        <v>1812.6940000000002</v>
      </c>
      <c r="M151" s="180">
        <f>806*M147</f>
        <v>2054.4940000000001</v>
      </c>
      <c r="O151" s="180">
        <f>806*O147</f>
        <v>2417.194</v>
      </c>
      <c r="Q151" s="180">
        <f>806*Q147</f>
        <v>2820.9193999999998</v>
      </c>
    </row>
    <row r="152" spans="1:17">
      <c r="A152" s="180" t="s">
        <v>204</v>
      </c>
      <c r="B152" s="180">
        <f>B151-B141</f>
        <v>-103.17600000000016</v>
      </c>
      <c r="C152" s="180">
        <f>C151-C141</f>
        <v>-960</v>
      </c>
      <c r="D152" s="180">
        <f>D151-D141</f>
        <v>-71.256000000000085</v>
      </c>
      <c r="E152" s="180">
        <f>E151-E141</f>
        <v>-960</v>
      </c>
      <c r="F152" s="180">
        <f>F151-F141</f>
        <v>-2.8559999999999945</v>
      </c>
      <c r="H152" s="180">
        <f>H151-H141</f>
        <v>279.86399999999958</v>
      </c>
      <c r="K152" s="180">
        <f>K151-K141</f>
        <v>65.544000000000096</v>
      </c>
      <c r="M152" s="180">
        <f>M151-M141</f>
        <v>202.34400000000005</v>
      </c>
      <c r="O152" s="180">
        <f>O151-O141</f>
        <v>407.54399999999987</v>
      </c>
      <c r="Q152" s="180">
        <f>Q151-Q141</f>
        <v>636.26939999999968</v>
      </c>
    </row>
    <row r="153" spans="1:17">
      <c r="A153" s="180" t="s">
        <v>205</v>
      </c>
      <c r="B153" s="231" t="s">
        <v>206</v>
      </c>
      <c r="C153" s="231"/>
      <c r="D153" s="231" t="s">
        <v>206</v>
      </c>
      <c r="E153" s="231"/>
      <c r="F153" s="231" t="s">
        <v>208</v>
      </c>
      <c r="G153" s="231"/>
      <c r="H153" s="231" t="s">
        <v>207</v>
      </c>
      <c r="I153" s="231"/>
      <c r="J153" s="231"/>
      <c r="K153" s="231" t="s">
        <v>207</v>
      </c>
      <c r="L153" s="231"/>
      <c r="M153" s="231" t="s">
        <v>207</v>
      </c>
      <c r="N153" s="231"/>
      <c r="O153" s="231" t="s">
        <v>207</v>
      </c>
      <c r="Q153" s="231" t="s">
        <v>207</v>
      </c>
    </row>
    <row r="154" spans="1:17">
      <c r="A154" s="180" t="s">
        <v>215</v>
      </c>
      <c r="B154" s="180">
        <v>1.879</v>
      </c>
      <c r="D154" s="180">
        <v>1.9490000000000001</v>
      </c>
      <c r="F154" s="180">
        <v>2.0990000000000002</v>
      </c>
      <c r="H154" s="180">
        <v>2.7189999999999999</v>
      </c>
      <c r="K154" s="180">
        <v>2.2490000000000001</v>
      </c>
      <c r="M154" s="180">
        <v>2.5489999999999999</v>
      </c>
      <c r="O154" s="180">
        <v>2.9990000000000001</v>
      </c>
      <c r="Q154" s="180">
        <v>3.5998999999999999</v>
      </c>
    </row>
    <row r="157" spans="1:17" ht="15.75">
      <c r="A157" s="179" t="s">
        <v>216</v>
      </c>
    </row>
    <row r="158" spans="1:17" ht="15.75">
      <c r="A158" s="179" t="s">
        <v>217</v>
      </c>
    </row>
    <row r="159" spans="1:17" ht="15.75">
      <c r="A159" s="179" t="s">
        <v>218</v>
      </c>
    </row>
    <row r="169" spans="40:40">
      <c r="AN169" s="243" t="s">
        <v>228</v>
      </c>
    </row>
    <row r="171" spans="40:40">
      <c r="AN171" s="246">
        <f>AN172+Y92</f>
        <v>1995.2386348040241</v>
      </c>
    </row>
    <row r="172" spans="40:40">
      <c r="AN172" s="246">
        <f>AN173+Y93</f>
        <v>1457.386842344225</v>
      </c>
    </row>
    <row r="173" spans="40:40">
      <c r="AN173" s="246">
        <f>AN174+Y94</f>
        <v>995.31536749499082</v>
      </c>
    </row>
    <row r="174" spans="40:40">
      <c r="AN174" s="246">
        <f>Y95</f>
        <v>180.92844061363303</v>
      </c>
    </row>
    <row r="191" spans="1:20">
      <c r="A191" s="182"/>
      <c r="O191" s="250"/>
      <c r="P191" s="184"/>
    </row>
    <row r="192" spans="1:20">
      <c r="A192" s="182"/>
      <c r="O192" s="235"/>
      <c r="S192" s="252"/>
      <c r="T192" s="252"/>
    </row>
    <row r="193" spans="1:15">
      <c r="A193" s="182" t="s">
        <v>240</v>
      </c>
      <c r="K193" s="180" t="s">
        <v>241</v>
      </c>
      <c r="M193" s="180" t="s">
        <v>242</v>
      </c>
      <c r="O193" s="180" t="s">
        <v>196</v>
      </c>
    </row>
    <row r="194" spans="1:15">
      <c r="A194" s="182"/>
      <c r="D194" s="180" t="s">
        <v>243</v>
      </c>
      <c r="K194" s="180">
        <v>110</v>
      </c>
      <c r="M194" s="180">
        <v>75</v>
      </c>
    </row>
    <row r="195" spans="1:15">
      <c r="A195" s="182"/>
      <c r="D195" s="180" t="s">
        <v>244</v>
      </c>
      <c r="K195" s="253">
        <f>7*L195</f>
        <v>210</v>
      </c>
      <c r="L195" s="180">
        <v>30</v>
      </c>
      <c r="M195" s="253">
        <f>7*N195</f>
        <v>210</v>
      </c>
      <c r="N195" s="180">
        <v>30</v>
      </c>
    </row>
    <row r="196" spans="1:15">
      <c r="A196" s="182"/>
      <c r="K196" s="253"/>
      <c r="M196" s="253"/>
    </row>
    <row r="197" spans="1:15" ht="13.5" thickBot="1">
      <c r="A197" s="182"/>
      <c r="K197" s="228">
        <f>K194+K195</f>
        <v>320</v>
      </c>
      <c r="M197" s="228">
        <f>M194+M195</f>
        <v>285</v>
      </c>
      <c r="O197" s="180" t="s">
        <v>245</v>
      </c>
    </row>
    <row r="198" spans="1:15" ht="13.5" thickTop="1">
      <c r="A198" s="182"/>
      <c r="F198" s="180" t="s">
        <v>246</v>
      </c>
      <c r="K198" s="254">
        <f>3*K197+150</f>
        <v>1110</v>
      </c>
      <c r="M198" s="254">
        <f>3*M197+150</f>
        <v>1005</v>
      </c>
      <c r="N198" s="180" t="s">
        <v>247</v>
      </c>
    </row>
    <row r="200" spans="1:15">
      <c r="D200" s="180" t="s">
        <v>248</v>
      </c>
      <c r="K200" s="254">
        <v>810</v>
      </c>
      <c r="M200" s="254">
        <v>810</v>
      </c>
      <c r="O200" s="182" t="s">
        <v>249</v>
      </c>
    </row>
    <row r="201" spans="1:15" ht="13.5" thickBot="1">
      <c r="E201" s="184" t="s">
        <v>250</v>
      </c>
      <c r="F201" s="184"/>
      <c r="G201" s="184"/>
      <c r="H201" s="184"/>
      <c r="I201" s="184"/>
      <c r="J201" s="184"/>
      <c r="K201" s="255">
        <f>K198+K200</f>
        <v>1920</v>
      </c>
      <c r="L201" s="184"/>
      <c r="M201" s="255">
        <f>M198+M200</f>
        <v>1815</v>
      </c>
    </row>
    <row r="202" spans="1:15" ht="13.5" thickTop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opLeftCell="A25" zoomScale="82" zoomScaleNormal="82" workbookViewId="0">
      <selection activeCell="L83" sqref="L83"/>
    </sheetView>
  </sheetViews>
  <sheetFormatPr defaultColWidth="9" defaultRowHeight="15.75"/>
  <cols>
    <col min="1" max="1" width="31" style="76" customWidth="1"/>
    <col min="2" max="2" width="18" style="67" customWidth="1"/>
    <col min="3" max="3" width="17.140625" style="67" customWidth="1"/>
    <col min="4" max="5" width="16.5703125" style="67" customWidth="1"/>
    <col min="6" max="6" width="6.42578125" style="100" customWidth="1"/>
    <col min="7" max="7" width="14.5703125" style="67" customWidth="1"/>
    <col min="8" max="8" width="13.85546875" style="67" customWidth="1"/>
    <col min="9" max="10" width="14" style="67" customWidth="1"/>
    <col min="11" max="11" width="2.28515625" style="82" customWidth="1"/>
    <col min="12" max="13" width="11.8554687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9">
      <c r="A1" s="73" t="s">
        <v>202</v>
      </c>
      <c r="B1" s="74">
        <v>2014</v>
      </c>
      <c r="C1" s="74"/>
      <c r="L1" s="75" t="s">
        <v>557</v>
      </c>
    </row>
    <row r="2" spans="1:19">
      <c r="A2" s="73" t="s">
        <v>191</v>
      </c>
      <c r="B2" s="75" t="s">
        <v>6</v>
      </c>
      <c r="C2" s="75"/>
      <c r="M2" s="75" t="s">
        <v>540</v>
      </c>
    </row>
    <row r="3" spans="1:19">
      <c r="B3" s="67" t="s">
        <v>102</v>
      </c>
      <c r="M3" s="75" t="s">
        <v>539</v>
      </c>
      <c r="P3" s="77"/>
    </row>
    <row r="4" spans="1:19">
      <c r="A4" s="73" t="s">
        <v>4</v>
      </c>
      <c r="B4" s="78">
        <f>SUM(G5:G8)</f>
        <v>6802.05</v>
      </c>
      <c r="C4" s="78"/>
      <c r="G4" s="67" t="s">
        <v>34</v>
      </c>
      <c r="M4" s="79" t="s">
        <v>550</v>
      </c>
      <c r="P4" s="77"/>
      <c r="S4" s="67" t="s">
        <v>555</v>
      </c>
    </row>
    <row r="5" spans="1:19" ht="12.75">
      <c r="A5" s="67" t="s">
        <v>25</v>
      </c>
      <c r="B5" s="128">
        <v>3245.18</v>
      </c>
      <c r="C5" s="129">
        <v>3245.19</v>
      </c>
      <c r="G5" s="128">
        <f>SUM(B5:E5)</f>
        <v>6490.37</v>
      </c>
      <c r="H5" s="79"/>
      <c r="I5" s="79"/>
      <c r="J5" s="79"/>
      <c r="K5" s="83"/>
      <c r="M5" s="79" t="s">
        <v>551</v>
      </c>
      <c r="P5" s="77"/>
      <c r="S5" s="67" t="s">
        <v>554</v>
      </c>
    </row>
    <row r="6" spans="1:19" ht="12.75">
      <c r="A6" s="67" t="s">
        <v>251</v>
      </c>
      <c r="C6" s="77"/>
      <c r="G6" s="128">
        <f>SUM(B6:E6)</f>
        <v>0</v>
      </c>
      <c r="H6" s="79"/>
      <c r="I6" s="79"/>
      <c r="J6" s="79"/>
      <c r="K6" s="83"/>
      <c r="M6" s="79" t="s">
        <v>552</v>
      </c>
      <c r="P6" s="77"/>
      <c r="S6" s="67" t="s">
        <v>553</v>
      </c>
    </row>
    <row r="7" spans="1:19" ht="12.75">
      <c r="A7" s="67" t="s">
        <v>27</v>
      </c>
      <c r="B7" s="67">
        <v>311.68</v>
      </c>
      <c r="G7" s="128">
        <f>SUM(B7:E7)</f>
        <v>311.68</v>
      </c>
      <c r="H7" s="79"/>
      <c r="I7" s="79"/>
      <c r="J7" s="79"/>
      <c r="K7" s="83"/>
      <c r="L7" s="79"/>
      <c r="O7" s="77"/>
    </row>
    <row r="8" spans="1:19">
      <c r="G8" s="128"/>
      <c r="H8" s="79"/>
      <c r="I8" s="79"/>
      <c r="J8" s="79"/>
      <c r="K8" s="83"/>
      <c r="P8" s="77"/>
    </row>
    <row r="9" spans="1:19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9" s="54" customFormat="1" ht="15" customHeight="1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9" s="54" customFormat="1" ht="15" customHeight="1">
      <c r="A11" s="60" t="s">
        <v>297</v>
      </c>
      <c r="B11" s="277">
        <f>G11</f>
        <v>1230</v>
      </c>
      <c r="D11" s="54" t="s">
        <v>299</v>
      </c>
      <c r="E11" s="54">
        <f>G11/B4</f>
        <v>0.18082783866628444</v>
      </c>
      <c r="F11" s="275"/>
      <c r="G11" s="55">
        <f>Tithe!D6</f>
        <v>1230</v>
      </c>
      <c r="H11" s="54">
        <v>1200</v>
      </c>
      <c r="I11" s="66">
        <f>H11-G11</f>
        <v>-30</v>
      </c>
      <c r="J11" s="99">
        <f>I11</f>
        <v>-30</v>
      </c>
      <c r="K11" s="85"/>
    </row>
    <row r="12" spans="1:19" s="54" customFormat="1" ht="15.95" customHeight="1">
      <c r="I12" s="66"/>
      <c r="J12" s="99"/>
      <c r="K12" s="86"/>
      <c r="L12" s="286" t="s">
        <v>558</v>
      </c>
    </row>
    <row r="13" spans="1:19" s="54" customFormat="1" ht="15.95" customHeight="1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  <c r="M13" s="54" t="s">
        <v>556</v>
      </c>
    </row>
    <row r="14" spans="1:19" s="54" customFormat="1" ht="15.95" customHeight="1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 t="shared" ref="J14:J26" si="1">I14</f>
        <v>0</v>
      </c>
      <c r="K14" s="86"/>
      <c r="M14" s="54" t="s">
        <v>594</v>
      </c>
    </row>
    <row r="15" spans="1:19" s="54" customFormat="1" ht="15.95" customHeight="1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 t="shared" si="1"/>
        <v>0</v>
      </c>
      <c r="K15" s="86"/>
      <c r="M15" s="54" t="s">
        <v>593</v>
      </c>
    </row>
    <row r="16" spans="1:19" s="54" customFormat="1" ht="15.95" customHeight="1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 t="shared" si="1"/>
        <v>0</v>
      </c>
      <c r="K16" s="86"/>
      <c r="M16" s="54" t="s">
        <v>635</v>
      </c>
    </row>
    <row r="17" spans="1:13" s="54" customFormat="1" ht="15.95" customHeight="1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 t="shared" si="1"/>
        <v>0</v>
      </c>
      <c r="K17" s="86"/>
    </row>
    <row r="18" spans="1:13" s="54" customFormat="1" ht="15.95" customHeight="1">
      <c r="B18" s="60" t="s">
        <v>284</v>
      </c>
      <c r="E18" s="54" t="s">
        <v>524</v>
      </c>
      <c r="F18" s="275"/>
      <c r="G18" s="55">
        <v>50</v>
      </c>
      <c r="H18" s="54">
        <v>50</v>
      </c>
      <c r="I18" s="66">
        <f t="shared" si="0"/>
        <v>0</v>
      </c>
      <c r="J18" s="99">
        <f t="shared" si="1"/>
        <v>0</v>
      </c>
      <c r="K18" s="86"/>
    </row>
    <row r="19" spans="1:13" s="54" customFormat="1" ht="15.95" customHeight="1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 t="shared" si="1"/>
        <v>0</v>
      </c>
      <c r="K19" s="86"/>
    </row>
    <row r="20" spans="1:13" s="54" customFormat="1" ht="15.95" customHeight="1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 t="shared" si="1"/>
        <v>0</v>
      </c>
      <c r="K20" s="86"/>
    </row>
    <row r="21" spans="1:13" s="54" customFormat="1" ht="15.95" customHeight="1">
      <c r="A21" s="60"/>
      <c r="F21" s="275"/>
      <c r="G21" s="55"/>
      <c r="I21" s="66"/>
      <c r="J21" s="99"/>
      <c r="K21" s="86"/>
      <c r="L21" s="60" t="s">
        <v>559</v>
      </c>
    </row>
    <row r="22" spans="1:13" s="54" customFormat="1" ht="15.95" customHeight="1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 t="shared" si="1"/>
        <v>0</v>
      </c>
      <c r="K22" s="86"/>
    </row>
    <row r="23" spans="1:13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5.95" customHeight="1">
      <c r="B25" s="60" t="s">
        <v>276</v>
      </c>
      <c r="E25" s="54" t="s">
        <v>525</v>
      </c>
      <c r="F25" s="275"/>
      <c r="G25" s="55"/>
      <c r="H25" s="54">
        <v>500</v>
      </c>
      <c r="I25" s="66">
        <f>H25-G25</f>
        <v>500</v>
      </c>
      <c r="J25" s="99">
        <f t="shared" si="1"/>
        <v>500</v>
      </c>
      <c r="K25" s="86"/>
    </row>
    <row r="26" spans="1:13" s="54" customFormat="1" ht="12.75" customHeight="1">
      <c r="B26" s="60" t="s">
        <v>286</v>
      </c>
      <c r="E26" s="54" t="s">
        <v>524</v>
      </c>
      <c r="F26" s="275"/>
      <c r="G26" s="55"/>
      <c r="H26" s="54">
        <v>300</v>
      </c>
      <c r="I26" s="66">
        <f>H26-G26</f>
        <v>300</v>
      </c>
      <c r="J26" s="102">
        <f t="shared" si="1"/>
        <v>300</v>
      </c>
      <c r="K26" s="86"/>
    </row>
    <row r="27" spans="1:13" s="54" customFormat="1" ht="12.75" customHeight="1">
      <c r="A27" s="60"/>
      <c r="F27" s="275"/>
      <c r="G27" s="68"/>
      <c r="H27" s="68"/>
      <c r="I27" s="70"/>
      <c r="J27" s="81"/>
      <c r="K27" s="81"/>
    </row>
    <row r="28" spans="1:13" s="54" customFormat="1" ht="12.75" customHeight="1" thickBot="1">
      <c r="A28" s="60"/>
      <c r="B28" s="60"/>
      <c r="F28" s="275"/>
      <c r="G28" s="69">
        <f>SUM(G11:G26)</f>
        <v>3980</v>
      </c>
      <c r="H28" s="69">
        <f>SUM(H11:H26)</f>
        <v>4750</v>
      </c>
      <c r="I28" s="69">
        <f>SUM(I11:I26)</f>
        <v>770</v>
      </c>
      <c r="J28" s="69">
        <f>SUM(J11:J26)</f>
        <v>770</v>
      </c>
      <c r="K28" s="87"/>
    </row>
    <row r="29" spans="1:13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3" s="54" customFormat="1" ht="12.75" customHeight="1" thickBot="1">
      <c r="A30" s="60" t="s">
        <v>305</v>
      </c>
      <c r="B30" s="60"/>
      <c r="F30" s="275"/>
      <c r="G30" s="95"/>
      <c r="H30" s="58"/>
      <c r="I30" s="58"/>
      <c r="J30" s="58"/>
      <c r="K30" s="87"/>
      <c r="M30" s="54" t="s">
        <v>595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2822.05</v>
      </c>
      <c r="H31" s="58"/>
      <c r="I31" s="58"/>
      <c r="J31" s="58"/>
      <c r="K31" s="87"/>
      <c r="L31" s="58"/>
      <c r="M31" s="54" t="s">
        <v>597</v>
      </c>
    </row>
    <row r="32" spans="1:13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3053.22</v>
      </c>
      <c r="H32" s="58"/>
      <c r="I32" s="58"/>
      <c r="J32" s="58"/>
      <c r="K32" s="87"/>
      <c r="L32" s="58"/>
      <c r="M32" s="54" t="s">
        <v>600</v>
      </c>
    </row>
    <row r="33" spans="1:14" s="54" customFormat="1" ht="12.75" customHeight="1">
      <c r="A33" s="60" t="s">
        <v>655</v>
      </c>
      <c r="B33" s="60"/>
      <c r="F33" s="275"/>
      <c r="G33" s="80">
        <f>G31-G32-M42</f>
        <v>-131.16999999999962</v>
      </c>
      <c r="H33" s="58"/>
      <c r="I33" s="58"/>
      <c r="J33" s="58"/>
      <c r="K33" s="87"/>
      <c r="L33" s="58"/>
    </row>
    <row r="34" spans="1:14" s="54" customFormat="1" ht="12.75" customHeight="1">
      <c r="H34" s="58"/>
      <c r="I34" s="58"/>
      <c r="J34" s="58"/>
      <c r="K34" s="87"/>
      <c r="L34" s="58"/>
    </row>
    <row r="35" spans="1:14" s="54" customFormat="1" ht="12.75" customHeight="1">
      <c r="A35" s="60" t="s">
        <v>527</v>
      </c>
      <c r="B35" s="60"/>
      <c r="E35" s="54">
        <f>B47</f>
        <v>1622.3600000000001</v>
      </c>
      <c r="F35" s="275"/>
      <c r="G35" s="135"/>
      <c r="H35" s="58"/>
      <c r="I35" s="58"/>
      <c r="J35" s="58"/>
      <c r="K35" s="87"/>
      <c r="L35" s="58"/>
    </row>
    <row r="36" spans="1:14" s="54" customFormat="1" ht="12.75" customHeight="1">
      <c r="A36" s="60" t="s">
        <v>491</v>
      </c>
      <c r="B36" s="60"/>
      <c r="E36" s="54">
        <f>B76</f>
        <v>1245.01</v>
      </c>
      <c r="F36" s="275"/>
      <c r="G36" s="80"/>
      <c r="H36" s="58"/>
      <c r="I36" s="58"/>
      <c r="J36" s="58"/>
      <c r="K36" s="87"/>
      <c r="L36" s="58"/>
    </row>
    <row r="37" spans="1:14" s="54" customFormat="1" ht="12.75" customHeight="1">
      <c r="A37" s="60"/>
      <c r="B37" s="60" t="s">
        <v>528</v>
      </c>
      <c r="D37" s="54">
        <f>B93+B102</f>
        <v>130.43</v>
      </c>
      <c r="F37" s="275"/>
      <c r="G37" s="80"/>
      <c r="H37" s="58"/>
      <c r="I37" s="58"/>
      <c r="J37" s="58"/>
      <c r="K37" s="87"/>
      <c r="L37" s="58"/>
    </row>
    <row r="38" spans="1:14" s="54" customFormat="1" ht="12.75" customHeight="1" thickBot="1">
      <c r="A38" s="60"/>
      <c r="B38" s="60" t="s">
        <v>529</v>
      </c>
      <c r="D38" s="54">
        <f>B82</f>
        <v>251.65</v>
      </c>
      <c r="F38" s="275"/>
      <c r="G38" s="80"/>
      <c r="H38" s="58"/>
      <c r="I38" s="58"/>
      <c r="J38" s="58"/>
      <c r="K38" s="87"/>
      <c r="L38" s="58"/>
    </row>
    <row r="39" spans="1:14" s="54" customFormat="1" ht="12.75" customHeight="1" thickBot="1">
      <c r="A39" s="60"/>
      <c r="B39" s="60" t="s">
        <v>530</v>
      </c>
      <c r="D39" s="54">
        <f>B88</f>
        <v>0</v>
      </c>
      <c r="F39" s="275"/>
      <c r="G39" s="96"/>
      <c r="H39" s="58"/>
      <c r="I39" s="58"/>
      <c r="J39" s="58"/>
      <c r="K39" s="87"/>
      <c r="L39" s="58"/>
    </row>
    <row r="40" spans="1:14" s="54" customFormat="1" ht="12.75" customHeight="1">
      <c r="A40" s="60"/>
      <c r="B40" s="60" t="s">
        <v>531</v>
      </c>
      <c r="D40" s="54">
        <f>B107</f>
        <v>52.68</v>
      </c>
      <c r="F40" s="275"/>
      <c r="G40" s="105"/>
      <c r="H40" s="58"/>
      <c r="I40" s="58"/>
      <c r="J40" s="58"/>
      <c r="K40" s="87"/>
      <c r="L40" s="58"/>
    </row>
    <row r="41" spans="1:14" s="54" customFormat="1" ht="12.75" customHeight="1">
      <c r="A41" s="106"/>
      <c r="B41" s="60" t="s">
        <v>532</v>
      </c>
      <c r="D41" s="54">
        <f>B112</f>
        <v>160</v>
      </c>
      <c r="F41" s="275"/>
      <c r="G41" s="105"/>
      <c r="H41" s="58"/>
      <c r="I41" s="58"/>
      <c r="J41" s="58"/>
      <c r="K41" s="87"/>
      <c r="L41" s="58"/>
      <c r="M41" s="54">
        <f>M46+M44+M43+M42</f>
        <v>1718.8999999999999</v>
      </c>
      <c r="N41" s="54">
        <v>317.70999999999998</v>
      </c>
    </row>
    <row r="42" spans="1:14" s="54" customFormat="1" ht="12.75" customHeight="1">
      <c r="B42" s="60" t="s">
        <v>533</v>
      </c>
      <c r="C42" s="61"/>
      <c r="D42" s="61">
        <f>B130</f>
        <v>0</v>
      </c>
      <c r="F42" s="275"/>
      <c r="G42" s="105"/>
      <c r="H42" s="58"/>
      <c r="I42" s="58"/>
      <c r="J42" s="58"/>
      <c r="K42" s="87"/>
      <c r="L42" s="54" t="s">
        <v>348</v>
      </c>
      <c r="M42" s="54">
        <v>-100</v>
      </c>
    </row>
    <row r="43" spans="1:14" s="54" customFormat="1" ht="12.75" customHeight="1">
      <c r="B43" s="60" t="s">
        <v>549</v>
      </c>
      <c r="D43" s="54">
        <f>B117+B133+B138+B141</f>
        <v>650.25000000000011</v>
      </c>
      <c r="F43" s="275"/>
      <c r="I43" s="63"/>
      <c r="J43" s="97" t="s">
        <v>302</v>
      </c>
      <c r="K43" s="84"/>
      <c r="L43" s="54" t="s">
        <v>546</v>
      </c>
      <c r="M43" s="54">
        <f>50</f>
        <v>50</v>
      </c>
    </row>
    <row r="44" spans="1:14" s="54" customFormat="1" ht="12.75" customHeight="1">
      <c r="A44" s="60" t="s">
        <v>535</v>
      </c>
      <c r="E44" s="54">
        <f>B147</f>
        <v>185.85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f>100</f>
        <v>100</v>
      </c>
    </row>
    <row r="45" spans="1:14" s="54" customFormat="1" ht="12.75" customHeight="1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562</v>
      </c>
      <c r="N45" s="91" t="s">
        <v>563</v>
      </c>
    </row>
    <row r="46" spans="1:14" s="54" customFormat="1" ht="12.75" customHeight="1" thickBot="1">
      <c r="D46"/>
      <c r="E46" s="279"/>
      <c r="F46" s="275"/>
      <c r="G46" s="101">
        <f>SUM(G48:G162)</f>
        <v>3053.22</v>
      </c>
      <c r="H46" s="101">
        <f>SUM(H48:H162)</f>
        <v>4673</v>
      </c>
      <c r="I46" s="101">
        <f>H46-G46</f>
        <v>1619.7800000000002</v>
      </c>
      <c r="J46" s="101">
        <f>SUM(J48:J162)</f>
        <v>1746.4599999999998</v>
      </c>
      <c r="K46" s="88"/>
      <c r="L46" s="92">
        <f>SUM(L49:L162)</f>
        <v>1066.6100000000001</v>
      </c>
      <c r="M46" s="93">
        <f>SUM(M49:M162)</f>
        <v>1668.8999999999999</v>
      </c>
      <c r="N46" s="94">
        <f>SUM(N49:N162)</f>
        <v>317.71000000000004</v>
      </c>
    </row>
    <row r="47" spans="1:14" s="54" customFormat="1" ht="12.75" customHeight="1" thickBot="1">
      <c r="A47" s="106" t="s">
        <v>492</v>
      </c>
      <c r="B47" s="273">
        <f>B48+B61+B65</f>
        <v>1622.3600000000001</v>
      </c>
      <c r="C47" s="273">
        <f>C48+C61+C65</f>
        <v>1378</v>
      </c>
      <c r="D47" s="95">
        <f>D48+D61+D65</f>
        <v>-244.36000000000007</v>
      </c>
      <c r="I47" s="63"/>
      <c r="J47" s="97"/>
      <c r="K47" s="84"/>
      <c r="L47" s="41"/>
      <c r="M47" s="42"/>
      <c r="N47" s="42"/>
    </row>
    <row r="48" spans="1:14" s="54" customFormat="1" ht="12.75" customHeight="1">
      <c r="A48" s="60" t="s">
        <v>477</v>
      </c>
      <c r="B48" s="60">
        <f>SUM(G49:G57)</f>
        <v>553.96</v>
      </c>
      <c r="C48" s="60">
        <f>SUM(H49:H57)</f>
        <v>911</v>
      </c>
      <c r="D48" s="60">
        <f>SUM(I49:I57)</f>
        <v>357.03999999999996</v>
      </c>
      <c r="I48" s="63"/>
      <c r="J48" s="97"/>
      <c r="K48" s="84"/>
      <c r="L48" s="41"/>
      <c r="M48" s="42"/>
      <c r="N48" s="42"/>
    </row>
    <row r="49" spans="1:14" s="54" customFormat="1" ht="12.75" customHeight="1">
      <c r="B49" s="54" t="s">
        <v>351</v>
      </c>
      <c r="G49" s="54">
        <f t="shared" ref="G49:G57" si="2">SUM(L49:N49)</f>
        <v>0</v>
      </c>
      <c r="H49" s="54">
        <v>0</v>
      </c>
      <c r="I49" s="63">
        <f t="shared" ref="I49:I57" si="3">H49-G49</f>
        <v>0</v>
      </c>
      <c r="J49" s="97">
        <f t="shared" ref="J49:J56" si="4">I49</f>
        <v>0</v>
      </c>
      <c r="K49" s="84"/>
      <c r="L49" s="41"/>
      <c r="M49" s="42"/>
      <c r="N49" s="42"/>
    </row>
    <row r="50" spans="1:14" s="54" customFormat="1" ht="12.75" customHeight="1">
      <c r="A50" s="60"/>
      <c r="B50" s="54" t="s">
        <v>479</v>
      </c>
      <c r="G50" s="54">
        <f t="shared" si="2"/>
        <v>0</v>
      </c>
      <c r="H50" s="54">
        <v>100</v>
      </c>
      <c r="I50" s="63">
        <f t="shared" si="3"/>
        <v>100</v>
      </c>
      <c r="J50" s="97">
        <f t="shared" si="4"/>
        <v>100</v>
      </c>
      <c r="K50" s="84"/>
      <c r="L50" s="41"/>
      <c r="M50" s="42"/>
      <c r="N50" s="42"/>
    </row>
    <row r="51" spans="1:14" s="54" customFormat="1" ht="12.75" customHeight="1">
      <c r="A51" s="60"/>
      <c r="B51" s="54" t="s">
        <v>480</v>
      </c>
      <c r="G51" s="54">
        <f t="shared" si="2"/>
        <v>0</v>
      </c>
      <c r="H51" s="54">
        <v>100</v>
      </c>
      <c r="I51" s="63">
        <f t="shared" si="3"/>
        <v>100</v>
      </c>
      <c r="J51" s="97">
        <f t="shared" si="4"/>
        <v>100</v>
      </c>
      <c r="K51" s="84"/>
      <c r="L51" s="41"/>
      <c r="M51" s="42"/>
      <c r="N51" s="42"/>
    </row>
    <row r="52" spans="1:14" s="54" customFormat="1" ht="12.75" customHeight="1">
      <c r="A52" s="60"/>
      <c r="B52" s="54" t="s">
        <v>478</v>
      </c>
      <c r="G52" s="54">
        <f t="shared" si="2"/>
        <v>0</v>
      </c>
      <c r="H52" s="54">
        <v>100</v>
      </c>
      <c r="I52" s="63">
        <f t="shared" si="3"/>
        <v>100</v>
      </c>
      <c r="J52" s="97">
        <f t="shared" si="4"/>
        <v>100</v>
      </c>
      <c r="K52" s="84"/>
      <c r="L52" s="41"/>
      <c r="M52" s="42"/>
      <c r="N52" s="42"/>
    </row>
    <row r="53" spans="1:14" s="54" customFormat="1" ht="12.75" customHeight="1">
      <c r="A53" s="60"/>
      <c r="B53" s="54" t="s">
        <v>521</v>
      </c>
      <c r="G53" s="54">
        <f t="shared" si="2"/>
        <v>553.96</v>
      </c>
      <c r="H53" s="54">
        <v>554</v>
      </c>
      <c r="I53" s="63">
        <f t="shared" si="3"/>
        <v>3.999999999996362E-2</v>
      </c>
      <c r="J53" s="97">
        <f t="shared" si="4"/>
        <v>3.999999999996362E-2</v>
      </c>
      <c r="K53" s="84"/>
      <c r="L53" s="41">
        <v>553.96</v>
      </c>
      <c r="M53" s="42"/>
      <c r="N53" s="42"/>
    </row>
    <row r="54" spans="1:14" s="54" customFormat="1" ht="12.75" customHeight="1">
      <c r="A54" s="60"/>
      <c r="B54" s="54" t="s">
        <v>487</v>
      </c>
      <c r="G54" s="54">
        <f t="shared" si="2"/>
        <v>0</v>
      </c>
      <c r="H54" s="54">
        <v>57</v>
      </c>
      <c r="I54" s="63">
        <f t="shared" si="3"/>
        <v>57</v>
      </c>
      <c r="J54" s="97">
        <f t="shared" si="4"/>
        <v>57</v>
      </c>
      <c r="K54" s="84"/>
      <c r="L54" s="41"/>
      <c r="M54" s="42"/>
      <c r="N54" s="42"/>
    </row>
    <row r="55" spans="1:14" s="54" customFormat="1" ht="12.75" customHeight="1">
      <c r="A55" s="60"/>
      <c r="B55" s="54" t="s">
        <v>352</v>
      </c>
      <c r="G55" s="54">
        <f t="shared" si="2"/>
        <v>1687.49</v>
      </c>
      <c r="H55" s="54">
        <f>1636.68+50.81</f>
        <v>1687.49</v>
      </c>
      <c r="I55" s="63">
        <f t="shared" si="3"/>
        <v>0</v>
      </c>
      <c r="J55" s="97">
        <f t="shared" si="4"/>
        <v>0</v>
      </c>
      <c r="K55" s="84"/>
      <c r="L55" s="41">
        <v>1687.49</v>
      </c>
      <c r="M55" s="42"/>
      <c r="N55" s="42"/>
    </row>
    <row r="56" spans="1:14" s="54" customFormat="1" ht="12.75" customHeight="1">
      <c r="A56" s="60"/>
      <c r="B56" s="54" t="s">
        <v>425</v>
      </c>
      <c r="G56" s="54">
        <f t="shared" si="2"/>
        <v>312.51</v>
      </c>
      <c r="H56" s="54">
        <v>312.51</v>
      </c>
      <c r="I56" s="63">
        <f t="shared" si="3"/>
        <v>0</v>
      </c>
      <c r="J56" s="97">
        <f t="shared" si="4"/>
        <v>0</v>
      </c>
      <c r="K56" s="84"/>
      <c r="L56" s="41">
        <v>312.51</v>
      </c>
      <c r="M56" s="42"/>
      <c r="N56" s="42"/>
    </row>
    <row r="57" spans="1:14" s="54" customFormat="1" ht="12.75" customHeight="1">
      <c r="A57" s="60"/>
      <c r="B57" s="54" t="s">
        <v>379</v>
      </c>
      <c r="G57" s="54">
        <f t="shared" si="2"/>
        <v>-2000</v>
      </c>
      <c r="H57" s="54">
        <v>-2000</v>
      </c>
      <c r="I57" s="63">
        <f t="shared" si="3"/>
        <v>0</v>
      </c>
      <c r="J57" s="97">
        <f>I57</f>
        <v>0</v>
      </c>
      <c r="K57" s="84"/>
      <c r="L57" s="41">
        <v>-2000</v>
      </c>
      <c r="M57" s="42"/>
      <c r="N57" s="42"/>
    </row>
    <row r="58" spans="1:14" s="54" customFormat="1" ht="12.75" customHeight="1">
      <c r="A58" s="60"/>
      <c r="I58" s="63"/>
      <c r="J58" s="97"/>
      <c r="K58" s="84"/>
      <c r="L58" s="41"/>
      <c r="M58" s="42"/>
      <c r="N58" s="42"/>
    </row>
    <row r="59" spans="1:14" s="54" customFormat="1" ht="12.75" customHeight="1">
      <c r="A59" s="60"/>
      <c r="I59" s="63"/>
      <c r="J59" s="97"/>
      <c r="K59" s="84"/>
      <c r="L59" s="41"/>
      <c r="M59" s="42"/>
      <c r="N59" s="42"/>
    </row>
    <row r="60" spans="1:14" s="54" customFormat="1" ht="12.75" customHeight="1">
      <c r="A60" s="60" t="s">
        <v>485</v>
      </c>
      <c r="I60" s="63"/>
      <c r="J60" s="97"/>
      <c r="K60" s="84"/>
      <c r="L60" s="41"/>
      <c r="M60" s="42"/>
      <c r="N60" s="42"/>
    </row>
    <row r="61" spans="1:14" s="54" customFormat="1" ht="12.75" customHeight="1">
      <c r="A61" s="60"/>
      <c r="B61" s="60">
        <f>SUM(G62:G63)</f>
        <v>141.94</v>
      </c>
      <c r="C61" s="60">
        <f>SUM(H62:H63)</f>
        <v>167</v>
      </c>
      <c r="D61" s="60">
        <f>C61-B61</f>
        <v>25.060000000000002</v>
      </c>
      <c r="I61" s="63"/>
      <c r="J61" s="97"/>
      <c r="K61" s="84"/>
      <c r="L61" s="41"/>
      <c r="M61" s="42"/>
      <c r="N61" s="42"/>
    </row>
    <row r="62" spans="1:14" s="54" customFormat="1" ht="12.75" customHeight="1">
      <c r="A62" s="60"/>
      <c r="B62" s="54" t="s">
        <v>489</v>
      </c>
      <c r="G62" s="54">
        <f t="shared" ref="G62:G119" si="5">SUM(L62:N62)</f>
        <v>67.180000000000007</v>
      </c>
      <c r="H62" s="54">
        <v>67</v>
      </c>
      <c r="I62" s="63">
        <f t="shared" ref="I62:I123" si="6">H62-G62</f>
        <v>-0.18000000000000682</v>
      </c>
      <c r="J62" s="97">
        <f>I62</f>
        <v>-0.18000000000000682</v>
      </c>
      <c r="K62" s="84"/>
      <c r="L62" s="41"/>
      <c r="M62" s="42">
        <f>67.18</f>
        <v>67.180000000000007</v>
      </c>
      <c r="N62" s="42"/>
    </row>
    <row r="63" spans="1:14" s="54" customFormat="1" ht="12.75" customHeight="1">
      <c r="A63" s="60"/>
      <c r="B63" s="54" t="s">
        <v>490</v>
      </c>
      <c r="D63" s="67"/>
      <c r="G63" s="54">
        <f t="shared" si="5"/>
        <v>74.760000000000005</v>
      </c>
      <c r="H63" s="54">
        <v>100</v>
      </c>
      <c r="I63" s="63">
        <f t="shared" si="6"/>
        <v>25.239999999999995</v>
      </c>
      <c r="J63" s="97">
        <f>I63</f>
        <v>25.239999999999995</v>
      </c>
      <c r="K63" s="84"/>
      <c r="L63" s="41"/>
      <c r="M63" s="42">
        <v>74.760000000000005</v>
      </c>
      <c r="N63" s="42"/>
    </row>
    <row r="64" spans="1:14" s="54" customFormat="1" ht="12.75" customHeight="1">
      <c r="A64" s="60"/>
      <c r="I64" s="63"/>
      <c r="J64" s="97"/>
      <c r="K64" s="84"/>
      <c r="L64" s="41"/>
      <c r="M64" s="42"/>
      <c r="N64" s="42"/>
    </row>
    <row r="65" spans="1:15" s="54" customFormat="1" ht="12.75" customHeight="1">
      <c r="A65" s="60" t="s">
        <v>486</v>
      </c>
      <c r="B65" s="60">
        <f>SUM(G66:G74)</f>
        <v>926.46</v>
      </c>
      <c r="C65" s="60">
        <f>SUM(H66:H74)</f>
        <v>300</v>
      </c>
      <c r="D65" s="60">
        <f>C65-B65</f>
        <v>-626.46</v>
      </c>
      <c r="I65" s="63"/>
      <c r="J65" s="97"/>
      <c r="K65" s="84"/>
      <c r="L65" s="41"/>
      <c r="M65" s="42"/>
      <c r="N65" s="42"/>
    </row>
    <row r="66" spans="1:15" s="54" customFormat="1" ht="12.75" customHeight="1">
      <c r="B66" s="54" t="s">
        <v>58</v>
      </c>
      <c r="G66" s="54">
        <f t="shared" si="5"/>
        <v>45.38</v>
      </c>
      <c r="H66" s="54">
        <v>60</v>
      </c>
      <c r="I66" s="63">
        <f t="shared" si="6"/>
        <v>14.619999999999997</v>
      </c>
      <c r="J66" s="97">
        <f>I66</f>
        <v>14.619999999999997</v>
      </c>
      <c r="K66" s="84"/>
      <c r="L66" s="41"/>
      <c r="M66" s="42">
        <f>16.21+29.17</f>
        <v>45.38</v>
      </c>
      <c r="N66" s="42"/>
    </row>
    <row r="67" spans="1:15" s="54" customFormat="1" ht="12.75" customHeight="1">
      <c r="B67" s="54" t="s">
        <v>59</v>
      </c>
      <c r="D67" s="54" t="s">
        <v>60</v>
      </c>
      <c r="G67" s="54">
        <f t="shared" si="5"/>
        <v>85</v>
      </c>
      <c r="H67" s="54">
        <v>130</v>
      </c>
      <c r="I67" s="63">
        <f t="shared" si="6"/>
        <v>45</v>
      </c>
      <c r="J67" s="97">
        <f>I67</f>
        <v>45</v>
      </c>
      <c r="K67" s="84"/>
      <c r="L67" s="41"/>
      <c r="M67" s="42">
        <f>85</f>
        <v>85</v>
      </c>
      <c r="N67" s="42"/>
    </row>
    <row r="68" spans="1:15" s="54" customFormat="1" ht="12.75" customHeight="1">
      <c r="I68" s="63"/>
      <c r="J68" s="97"/>
      <c r="K68" s="84"/>
      <c r="L68" s="41"/>
      <c r="M68" s="42"/>
      <c r="N68" s="42"/>
    </row>
    <row r="69" spans="1:15" s="54" customFormat="1" ht="12.75" customHeight="1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2.75" customHeight="1">
      <c r="B70" s="54" t="s">
        <v>482</v>
      </c>
      <c r="G70" s="54">
        <f t="shared" si="5"/>
        <v>0</v>
      </c>
      <c r="H70" s="54">
        <v>25</v>
      </c>
      <c r="I70" s="63">
        <f t="shared" si="6"/>
        <v>25</v>
      </c>
      <c r="J70" s="97">
        <f>I70</f>
        <v>25</v>
      </c>
      <c r="K70" s="84"/>
      <c r="L70" s="41"/>
      <c r="M70" s="42"/>
      <c r="N70" s="42"/>
    </row>
    <row r="71" spans="1:15" s="54" customFormat="1" ht="12.75" customHeight="1">
      <c r="A71" s="60"/>
      <c r="B71" s="54" t="s">
        <v>483</v>
      </c>
      <c r="G71" s="54">
        <f t="shared" si="5"/>
        <v>787.49</v>
      </c>
      <c r="H71" s="54">
        <v>30</v>
      </c>
      <c r="I71" s="63">
        <f t="shared" si="6"/>
        <v>-757.49</v>
      </c>
      <c r="J71" s="97">
        <f>I71</f>
        <v>-757.49</v>
      </c>
      <c r="K71" s="84"/>
      <c r="L71" s="41"/>
      <c r="M71" s="42">
        <f>143.49-84+728</f>
        <v>787.49</v>
      </c>
      <c r="N71" s="42"/>
      <c r="O71" s="54" t="s">
        <v>547</v>
      </c>
    </row>
    <row r="72" spans="1:15" s="54" customFormat="1" ht="12.75" customHeight="1">
      <c r="A72" s="60"/>
      <c r="B72" s="54" t="s">
        <v>488</v>
      </c>
      <c r="G72" s="54">
        <f t="shared" si="5"/>
        <v>0</v>
      </c>
      <c r="H72" s="54">
        <v>20</v>
      </c>
      <c r="I72" s="63">
        <f t="shared" si="6"/>
        <v>20</v>
      </c>
      <c r="J72" s="97">
        <f>I72</f>
        <v>20</v>
      </c>
      <c r="K72" s="84"/>
      <c r="L72" s="41"/>
      <c r="M72" s="42"/>
      <c r="N72" s="42"/>
    </row>
    <row r="73" spans="1:15" s="54" customFormat="1" ht="12.75" customHeight="1">
      <c r="A73" s="60"/>
      <c r="I73" s="63"/>
      <c r="J73" s="97"/>
      <c r="K73" s="84"/>
      <c r="L73" s="41"/>
      <c r="M73" s="42"/>
      <c r="N73" s="42"/>
    </row>
    <row r="74" spans="1:15" s="54" customFormat="1" ht="12.75" customHeight="1">
      <c r="A74" s="60" t="s">
        <v>484</v>
      </c>
      <c r="B74" s="54" t="s">
        <v>61</v>
      </c>
      <c r="G74" s="54">
        <f t="shared" si="5"/>
        <v>8.59</v>
      </c>
      <c r="H74" s="54">
        <v>35</v>
      </c>
      <c r="I74" s="63">
        <f t="shared" si="6"/>
        <v>26.41</v>
      </c>
      <c r="J74" s="97">
        <f>I74</f>
        <v>26.41</v>
      </c>
      <c r="K74" s="84"/>
      <c r="L74" s="41"/>
      <c r="M74" s="42">
        <f>6.6+1.99</f>
        <v>8.59</v>
      </c>
      <c r="N74" s="42"/>
    </row>
    <row r="75" spans="1:15" s="54" customFormat="1" ht="12.75" customHeight="1" thickBot="1">
      <c r="A75" s="60"/>
      <c r="I75" s="63"/>
      <c r="J75" s="97"/>
      <c r="K75" s="84"/>
      <c r="L75" s="41"/>
      <c r="M75" s="42"/>
      <c r="N75" s="42"/>
    </row>
    <row r="76" spans="1:15" s="54" customFormat="1" ht="12.75" customHeight="1" thickBot="1">
      <c r="A76" s="106" t="s">
        <v>491</v>
      </c>
      <c r="B76" s="151">
        <f>B78+B82+B88+B93+B102+B107+B112+B117+B130+B133+B138+B141</f>
        <v>1245.01</v>
      </c>
      <c r="C76" s="151">
        <f>C78+C82+C88+C93+C102+C107+C112+C117+C130+C133+C138+C141</f>
        <v>2885</v>
      </c>
      <c r="D76" s="151">
        <f>D78+D82+D88+D93+D102+D107+D112+D117+D130+D133+D138+D141</f>
        <v>1639.99</v>
      </c>
      <c r="I76" s="63"/>
      <c r="J76" s="97"/>
      <c r="K76" s="84"/>
      <c r="L76" s="41"/>
      <c r="M76" s="42"/>
      <c r="N76" s="42"/>
    </row>
    <row r="77" spans="1:15" s="54" customFormat="1" ht="12.75" customHeight="1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2.75" customHeight="1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2.75" customHeight="1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5" s="54" customFormat="1" ht="12.75" customHeight="1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5" s="54" customFormat="1" ht="12.75" customHeight="1">
      <c r="I81" s="63"/>
      <c r="J81" s="97"/>
      <c r="K81" s="84"/>
      <c r="L81" s="41"/>
      <c r="M81" s="42"/>
      <c r="N81" s="42"/>
    </row>
    <row r="82" spans="1:15" s="54" customFormat="1" ht="12.75" customHeight="1">
      <c r="A82" s="60" t="s">
        <v>42</v>
      </c>
      <c r="B82" s="60">
        <f>SUM(G83:G86)</f>
        <v>251.65</v>
      </c>
      <c r="C82" s="60">
        <f>SUM(H83:H86)</f>
        <v>395</v>
      </c>
      <c r="D82" s="60">
        <f>C82-B82</f>
        <v>143.35</v>
      </c>
      <c r="I82" s="63"/>
      <c r="J82" s="97"/>
      <c r="K82" s="84"/>
      <c r="L82" s="41"/>
      <c r="M82" s="42"/>
      <c r="N82" s="42"/>
    </row>
    <row r="83" spans="1:15" s="54" customFormat="1" ht="12.75" customHeight="1">
      <c r="B83" s="54" t="s">
        <v>29</v>
      </c>
      <c r="C83" s="54" t="s">
        <v>30</v>
      </c>
      <c r="G83" s="54">
        <f t="shared" si="5"/>
        <v>251.65</v>
      </c>
      <c r="H83" s="54">
        <v>125</v>
      </c>
      <c r="I83" s="63">
        <f t="shared" si="6"/>
        <v>-126.65</v>
      </c>
      <c r="J83" s="97">
        <f>I83</f>
        <v>-126.65</v>
      </c>
      <c r="K83" s="84"/>
      <c r="L83" s="41">
        <f>130.52+121.13</f>
        <v>251.65</v>
      </c>
      <c r="M83" s="42"/>
      <c r="N83" s="42"/>
      <c r="O83" s="54" t="s">
        <v>615</v>
      </c>
    </row>
    <row r="84" spans="1:15" s="54" customFormat="1" ht="12.75" customHeight="1">
      <c r="B84" s="54" t="s">
        <v>31</v>
      </c>
      <c r="C84" s="54" t="s">
        <v>32</v>
      </c>
      <c r="G84" s="54">
        <f t="shared" si="5"/>
        <v>0</v>
      </c>
      <c r="H84" s="54">
        <v>50</v>
      </c>
      <c r="I84" s="63">
        <f t="shared" si="6"/>
        <v>50</v>
      </c>
      <c r="J84" s="97">
        <f>I84</f>
        <v>50</v>
      </c>
      <c r="K84" s="84"/>
      <c r="L84" s="41"/>
      <c r="M84" s="42"/>
      <c r="N84" s="42"/>
    </row>
    <row r="85" spans="1:15" s="54" customFormat="1" ht="12.75" customHeight="1">
      <c r="B85" s="54" t="s">
        <v>43</v>
      </c>
      <c r="C85" s="54" t="s">
        <v>44</v>
      </c>
      <c r="D85" s="54" t="s">
        <v>343</v>
      </c>
      <c r="G85" s="54">
        <f t="shared" si="5"/>
        <v>0</v>
      </c>
      <c r="H85" s="54">
        <v>100</v>
      </c>
      <c r="I85" s="63">
        <f t="shared" si="6"/>
        <v>100</v>
      </c>
      <c r="J85" s="97">
        <f>I85</f>
        <v>100</v>
      </c>
      <c r="K85" s="84"/>
      <c r="L85" s="41"/>
      <c r="M85" s="42"/>
      <c r="N85" s="42"/>
    </row>
    <row r="86" spans="1:15" s="54" customFormat="1" ht="12.75" customHeight="1">
      <c r="B86" s="54" t="s">
        <v>45</v>
      </c>
      <c r="C86" s="54" t="s">
        <v>46</v>
      </c>
      <c r="D86" s="54" t="s">
        <v>493</v>
      </c>
      <c r="G86" s="54">
        <f t="shared" si="5"/>
        <v>0</v>
      </c>
      <c r="H86" s="54">
        <v>120</v>
      </c>
      <c r="I86" s="63">
        <f t="shared" si="6"/>
        <v>120</v>
      </c>
      <c r="J86" s="97">
        <f>I86</f>
        <v>120</v>
      </c>
      <c r="K86" s="84"/>
      <c r="L86" s="41"/>
      <c r="M86" s="42"/>
      <c r="N86" s="42"/>
    </row>
    <row r="87" spans="1:15" s="54" customFormat="1" ht="12.75" customHeight="1">
      <c r="I87" s="63"/>
      <c r="J87" s="97"/>
      <c r="K87" s="84"/>
      <c r="L87" s="41"/>
      <c r="M87" s="42"/>
      <c r="N87" s="42"/>
    </row>
    <row r="88" spans="1:15" s="54" customFormat="1" ht="12.75" customHeight="1">
      <c r="A88" s="60" t="s">
        <v>48</v>
      </c>
      <c r="B88" s="60">
        <f>SUM(G89:G91)</f>
        <v>0</v>
      </c>
      <c r="C88" s="60">
        <f>SUM(H89:H91)</f>
        <v>162</v>
      </c>
      <c r="D88" s="60">
        <f>C88-B88</f>
        <v>162</v>
      </c>
      <c r="I88" s="63"/>
      <c r="J88" s="97"/>
      <c r="K88" s="84"/>
      <c r="L88" s="41"/>
      <c r="M88" s="42"/>
      <c r="N88" s="42"/>
    </row>
    <row r="89" spans="1:15" s="54" customFormat="1" ht="12.75" customHeight="1">
      <c r="B89" s="54" t="s">
        <v>49</v>
      </c>
      <c r="D89" s="54" t="s">
        <v>495</v>
      </c>
      <c r="G89" s="54">
        <f t="shared" si="5"/>
        <v>0</v>
      </c>
      <c r="H89" s="54">
        <v>57.5</v>
      </c>
      <c r="I89" s="63">
        <f t="shared" si="6"/>
        <v>57.5</v>
      </c>
      <c r="J89" s="97">
        <f>I89</f>
        <v>57.5</v>
      </c>
      <c r="K89" s="84"/>
      <c r="L89" s="41"/>
      <c r="M89" s="42"/>
      <c r="N89" s="42"/>
    </row>
    <row r="90" spans="1:15" s="54" customFormat="1" ht="12.75" customHeight="1">
      <c r="B90" s="54" t="s">
        <v>50</v>
      </c>
      <c r="D90" s="54" t="s">
        <v>494</v>
      </c>
      <c r="G90" s="54">
        <f t="shared" si="5"/>
        <v>0</v>
      </c>
      <c r="H90" s="54">
        <v>68.5</v>
      </c>
      <c r="I90" s="63">
        <f t="shared" si="6"/>
        <v>68.5</v>
      </c>
      <c r="J90" s="97">
        <f>I90</f>
        <v>68.5</v>
      </c>
      <c r="K90" s="84"/>
      <c r="L90" s="41"/>
      <c r="M90" s="42"/>
      <c r="N90" s="42"/>
    </row>
    <row r="91" spans="1:15" s="54" customFormat="1" ht="12.75" customHeight="1">
      <c r="B91" s="54" t="s">
        <v>51</v>
      </c>
      <c r="D91" s="54" t="s">
        <v>503</v>
      </c>
      <c r="G91" s="54">
        <f t="shared" si="5"/>
        <v>0</v>
      </c>
      <c r="H91" s="54">
        <v>36</v>
      </c>
      <c r="I91" s="63">
        <f t="shared" si="6"/>
        <v>36</v>
      </c>
      <c r="J91" s="97">
        <f>I91</f>
        <v>36</v>
      </c>
      <c r="K91" s="84"/>
      <c r="L91" s="41"/>
      <c r="M91" s="42"/>
      <c r="N91" s="42"/>
    </row>
    <row r="92" spans="1:15" s="54" customFormat="1" ht="12.75" customHeight="1">
      <c r="I92" s="63"/>
      <c r="J92" s="97"/>
      <c r="K92" s="84"/>
      <c r="L92" s="41"/>
      <c r="M92" s="42"/>
      <c r="N92" s="42"/>
    </row>
    <row r="93" spans="1:15" s="54" customFormat="1" ht="12.75" customHeight="1">
      <c r="A93" s="60" t="s">
        <v>52</v>
      </c>
      <c r="B93" s="60">
        <f>SUM(G94:G100)</f>
        <v>26.91</v>
      </c>
      <c r="C93" s="60">
        <f>SUM(H94:H100)</f>
        <v>178</v>
      </c>
      <c r="D93" s="60">
        <f>C93-B93</f>
        <v>151.09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5"/>
        <v>5.48</v>
      </c>
      <c r="H94" s="54">
        <v>20</v>
      </c>
      <c r="I94" s="63">
        <f t="shared" si="6"/>
        <v>14.52</v>
      </c>
      <c r="J94" s="97">
        <f t="shared" ref="J94:J100" si="7">I94</f>
        <v>14.52</v>
      </c>
      <c r="K94" s="84"/>
      <c r="L94" s="41"/>
      <c r="M94" s="42">
        <f>5.48</f>
        <v>5.48</v>
      </c>
      <c r="N94" s="42"/>
      <c r="O94" s="54" t="s">
        <v>598</v>
      </c>
    </row>
    <row r="95" spans="1:15" s="54" customFormat="1" ht="13.5">
      <c r="B95" s="54" t="s">
        <v>497</v>
      </c>
      <c r="G95" s="54">
        <f t="shared" si="5"/>
        <v>21.43</v>
      </c>
      <c r="H95" s="54">
        <v>5</v>
      </c>
      <c r="I95" s="63">
        <f t="shared" si="6"/>
        <v>-16.43</v>
      </c>
      <c r="J95" s="97">
        <f t="shared" si="7"/>
        <v>-16.43</v>
      </c>
      <c r="K95" s="84"/>
      <c r="L95" s="41"/>
      <c r="M95" s="42"/>
      <c r="N95" s="42">
        <f>15.43+6</f>
        <v>21.43</v>
      </c>
      <c r="O95" s="54" t="s">
        <v>599</v>
      </c>
    </row>
    <row r="96" spans="1:15" s="54" customFormat="1" ht="13.5">
      <c r="B96" s="54" t="s">
        <v>325</v>
      </c>
      <c r="G96" s="54">
        <f t="shared" si="5"/>
        <v>0</v>
      </c>
      <c r="H96" s="54">
        <v>65</v>
      </c>
      <c r="I96" s="63">
        <f t="shared" si="6"/>
        <v>65</v>
      </c>
      <c r="J96" s="97">
        <f t="shared" si="7"/>
        <v>65</v>
      </c>
      <c r="K96" s="84"/>
      <c r="L96" s="41"/>
      <c r="M96" s="42"/>
      <c r="N96" s="42"/>
    </row>
    <row r="97" spans="1:15" s="54" customFormat="1" ht="13.5">
      <c r="B97" s="54" t="s">
        <v>280</v>
      </c>
      <c r="G97" s="54">
        <f t="shared" si="5"/>
        <v>0</v>
      </c>
      <c r="H97" s="54">
        <v>15</v>
      </c>
      <c r="I97" s="63">
        <f t="shared" si="6"/>
        <v>15</v>
      </c>
      <c r="J97" s="97">
        <f t="shared" si="7"/>
        <v>15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6"/>
        <v>35</v>
      </c>
      <c r="J98" s="97">
        <f t="shared" si="7"/>
        <v>35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5"/>
        <v>0</v>
      </c>
      <c r="H99" s="54">
        <v>26</v>
      </c>
      <c r="I99" s="63">
        <f t="shared" si="6"/>
        <v>26</v>
      </c>
      <c r="J99" s="97">
        <f t="shared" si="7"/>
        <v>26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5"/>
        <v>0</v>
      </c>
      <c r="H100" s="54">
        <v>12</v>
      </c>
      <c r="I100" s="63">
        <f t="shared" si="6"/>
        <v>12</v>
      </c>
      <c r="J100" s="97">
        <f t="shared" si="7"/>
        <v>12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103.52</v>
      </c>
      <c r="C102" s="60">
        <f>SUM(H103:H105)</f>
        <v>130</v>
      </c>
      <c r="D102" s="60">
        <f>C102-B102</f>
        <v>26.480000000000004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5"/>
        <v>66.489999999999995</v>
      </c>
      <c r="H103" s="54">
        <v>60</v>
      </c>
      <c r="I103" s="63">
        <f t="shared" si="6"/>
        <v>-6.4899999999999949</v>
      </c>
      <c r="J103" s="97">
        <f>I103</f>
        <v>-6.4899999999999949</v>
      </c>
      <c r="K103" s="84"/>
      <c r="L103" s="41"/>
      <c r="M103" s="42">
        <f>67.32+13.23-7.61-6.45</f>
        <v>66.489999999999995</v>
      </c>
      <c r="N103" s="42"/>
      <c r="O103" s="54" t="s">
        <v>596</v>
      </c>
    </row>
    <row r="104" spans="1:15" s="54" customFormat="1" ht="13.5">
      <c r="B104" s="54" t="s">
        <v>500</v>
      </c>
      <c r="G104" s="54">
        <f t="shared" si="5"/>
        <v>37.03</v>
      </c>
      <c r="H104" s="54">
        <v>60</v>
      </c>
      <c r="I104" s="63">
        <f t="shared" si="6"/>
        <v>22.97</v>
      </c>
      <c r="J104" s="97">
        <f>I104</f>
        <v>22.97</v>
      </c>
      <c r="K104" s="84"/>
      <c r="L104" s="41"/>
      <c r="M104" s="42">
        <f>22.03+9</f>
        <v>31.03</v>
      </c>
      <c r="N104" s="42">
        <f>6</f>
        <v>6</v>
      </c>
      <c r="O104" s="54" t="s">
        <v>592</v>
      </c>
    </row>
    <row r="105" spans="1:15" s="54" customFormat="1" ht="13.5">
      <c r="B105" s="54" t="s">
        <v>279</v>
      </c>
      <c r="G105" s="54">
        <f t="shared" si="5"/>
        <v>0</v>
      </c>
      <c r="H105" s="54">
        <v>10</v>
      </c>
      <c r="I105" s="63">
        <f t="shared" si="6"/>
        <v>10</v>
      </c>
      <c r="J105" s="97">
        <f>I105</f>
        <v>10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52.68</v>
      </c>
      <c r="C107" s="60">
        <f>SUM(H108:H110)</f>
        <v>225</v>
      </c>
      <c r="D107" s="60">
        <f>C107-B107</f>
        <v>172.32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5"/>
        <v>0</v>
      </c>
      <c r="H108" s="54">
        <v>90</v>
      </c>
      <c r="I108" s="63">
        <f t="shared" si="6"/>
        <v>90</v>
      </c>
      <c r="J108" s="97">
        <f>I108</f>
        <v>90</v>
      </c>
      <c r="K108" s="84"/>
      <c r="L108" s="41"/>
      <c r="M108" s="42"/>
      <c r="N108" s="42"/>
      <c r="O108" s="127"/>
    </row>
    <row r="109" spans="1:15" s="54" customFormat="1" ht="13.5">
      <c r="B109" s="54" t="s">
        <v>57</v>
      </c>
      <c r="G109" s="54">
        <f t="shared" si="5"/>
        <v>0</v>
      </c>
      <c r="H109" s="54">
        <v>25</v>
      </c>
      <c r="I109" s="63">
        <f t="shared" si="6"/>
        <v>25</v>
      </c>
      <c r="J109" s="97">
        <f t="shared" ref="J109:J115" si="8">I109</f>
        <v>25</v>
      </c>
      <c r="K109" s="84"/>
      <c r="L109" s="41"/>
      <c r="M109" s="42"/>
      <c r="N109" s="42"/>
    </row>
    <row r="110" spans="1:15" s="54" customFormat="1" ht="13.5">
      <c r="B110" s="56" t="s">
        <v>502</v>
      </c>
      <c r="G110" s="54">
        <f t="shared" si="5"/>
        <v>52.68</v>
      </c>
      <c r="H110" s="54">
        <v>110</v>
      </c>
      <c r="I110" s="63">
        <f t="shared" si="6"/>
        <v>57.32</v>
      </c>
      <c r="J110" s="97">
        <f t="shared" si="8"/>
        <v>57.32</v>
      </c>
      <c r="K110" s="84"/>
      <c r="L110" s="41"/>
      <c r="M110" s="42">
        <f>52.68</f>
        <v>52.68</v>
      </c>
      <c r="N110" s="42"/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160</v>
      </c>
      <c r="C112" s="60">
        <f>SUM(H113:H115)</f>
        <v>415</v>
      </c>
      <c r="D112" s="60">
        <f>C112-B112</f>
        <v>255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5"/>
        <v>0</v>
      </c>
      <c r="H113" s="54">
        <v>150</v>
      </c>
      <c r="I113" s="63">
        <f t="shared" si="6"/>
        <v>150</v>
      </c>
      <c r="J113" s="97">
        <f t="shared" si="8"/>
        <v>150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5"/>
        <v>160</v>
      </c>
      <c r="H114" s="54">
        <v>215</v>
      </c>
      <c r="I114" s="63">
        <f t="shared" si="6"/>
        <v>55</v>
      </c>
      <c r="J114" s="97">
        <f t="shared" si="8"/>
        <v>55</v>
      </c>
      <c r="K114" s="84"/>
      <c r="L114" s="41">
        <v>160</v>
      </c>
      <c r="M114" s="42"/>
      <c r="N114" s="42"/>
    </row>
    <row r="115" spans="1:15" s="54" customFormat="1" ht="13.5">
      <c r="A115" s="60"/>
      <c r="B115" s="54" t="s">
        <v>526</v>
      </c>
      <c r="G115" s="54">
        <f t="shared" si="5"/>
        <v>0</v>
      </c>
      <c r="H115" s="54">
        <v>50</v>
      </c>
      <c r="I115" s="63">
        <f t="shared" si="6"/>
        <v>50</v>
      </c>
      <c r="J115" s="97">
        <f t="shared" si="8"/>
        <v>50</v>
      </c>
      <c r="K115" s="84"/>
      <c r="L115" s="41"/>
      <c r="M115" s="42"/>
      <c r="N115" s="42"/>
    </row>
    <row r="116" spans="1:15" s="54" customFormat="1" ht="13.5">
      <c r="A116" s="60"/>
      <c r="G116" s="54">
        <f t="shared" si="5"/>
        <v>0</v>
      </c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578.23</v>
      </c>
      <c r="C117" s="60">
        <f>SUM(H118:H128)</f>
        <v>750</v>
      </c>
      <c r="D117" s="60">
        <f>C117-B117</f>
        <v>171.76999999999998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5"/>
        <v>0</v>
      </c>
      <c r="H118" s="54">
        <v>100</v>
      </c>
      <c r="I118" s="63">
        <f t="shared" si="6"/>
        <v>100</v>
      </c>
      <c r="J118" s="97">
        <f>I118</f>
        <v>100</v>
      </c>
      <c r="K118" s="84"/>
      <c r="L118" s="41"/>
      <c r="M118" s="42"/>
      <c r="N118" s="42"/>
    </row>
    <row r="119" spans="1:15" s="54" customFormat="1" ht="14.25" thickBot="1">
      <c r="B119" s="54" t="s">
        <v>511</v>
      </c>
      <c r="G119" s="54">
        <f t="shared" si="5"/>
        <v>470.46000000000004</v>
      </c>
      <c r="H119" s="54">
        <v>500</v>
      </c>
      <c r="I119" s="63">
        <f t="shared" si="6"/>
        <v>29.539999999999964</v>
      </c>
      <c r="J119" s="97">
        <f>I119</f>
        <v>29.539999999999964</v>
      </c>
      <c r="K119" s="84"/>
      <c r="L119" s="41">
        <f>101</f>
        <v>101</v>
      </c>
      <c r="M119" s="42">
        <f>15.17+4.01+42.4+42.54</f>
        <v>104.12</v>
      </c>
      <c r="N119" s="42">
        <f>42.87+64.7+38.12+60.46+27.09+32.1</f>
        <v>265.34000000000003</v>
      </c>
      <c r="O119" s="54" t="s">
        <v>633</v>
      </c>
    </row>
    <row r="120" spans="1:15" s="54" customFormat="1" ht="14.25" thickBot="1">
      <c r="C120" s="54" t="s">
        <v>638</v>
      </c>
      <c r="E120" s="95">
        <f>19.89+11.75-0.47-0.8</f>
        <v>30.37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/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548</v>
      </c>
      <c r="G122" s="54">
        <f>SUM(L122:N122)</f>
        <v>73.929999999999978</v>
      </c>
      <c r="H122" s="54">
        <v>40</v>
      </c>
      <c r="I122" s="63">
        <f t="shared" si="6"/>
        <v>-33.929999999999978</v>
      </c>
      <c r="J122" s="97">
        <f>I122</f>
        <v>-33.929999999999978</v>
      </c>
      <c r="K122" s="84"/>
      <c r="L122" s="41"/>
      <c r="M122" s="42">
        <f>149.57-33.84-9-42.4</f>
        <v>64.329999999999984</v>
      </c>
      <c r="N122" s="42">
        <f>(21.6-6-6)</f>
        <v>9.6000000000000014</v>
      </c>
      <c r="O122" s="54" t="s">
        <v>602</v>
      </c>
    </row>
    <row r="123" spans="1:15" s="54" customFormat="1" ht="14.25" thickBot="1">
      <c r="B123" s="54" t="s">
        <v>55</v>
      </c>
      <c r="G123" s="54">
        <f>SUM(L123:N123)</f>
        <v>0</v>
      </c>
      <c r="H123" s="54">
        <v>100</v>
      </c>
      <c r="I123" s="63">
        <f t="shared" si="6"/>
        <v>100</v>
      </c>
      <c r="J123" s="97">
        <f>I123</f>
        <v>100</v>
      </c>
      <c r="K123" s="84"/>
      <c r="L123" s="41"/>
      <c r="M123" s="41"/>
      <c r="N123" s="42"/>
    </row>
    <row r="124" spans="1:15" s="54" customFormat="1" ht="14.25" thickBot="1">
      <c r="C124" s="273" t="s">
        <v>506</v>
      </c>
      <c r="D124" s="274"/>
      <c r="E124" s="95">
        <f>Jan!F136+Feb!F137+Mar!F137+Apr!F137+May!F137+Jun!F137+July!F137+Aug!F137+Sep!F137+Oct!F137+Nov!F137+Dec!F137</f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Jan!F137+Feb!F138+Mar!F138+Apr!F138+May!F138+Jun!F138+July!F138+Aug!F138+Sep!F138+Oct!F138+Nov!F138+Dec!F138</f>
        <v>0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f>Jan!F138+Feb!F139+Mar!F139+Apr!F139+May!F139+Jun!F139+July!F139+Aug!F139+Sep!F139+Oct!F139+Nov!F139+Dec!F139</f>
        <v>0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Jan!F139+Feb!F140+Mar!F140+Apr!F140+May!F140+Jun!F140+July!F140+Aug!F140+Sep!F140+Oct!F140+Nov!F140+Dec!F140</f>
        <v>0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62" si="9">SUM(L128:N128)</f>
        <v>33.840000000000003</v>
      </c>
      <c r="H128" s="54">
        <v>10</v>
      </c>
      <c r="I128" s="63">
        <f t="shared" ref="I128:I143" si="10">H128-G128</f>
        <v>-23.840000000000003</v>
      </c>
      <c r="J128" s="97">
        <f>I128</f>
        <v>-23.840000000000003</v>
      </c>
      <c r="K128" s="84"/>
      <c r="L128" s="41"/>
      <c r="M128" s="41">
        <f>33.84</f>
        <v>33.840000000000003</v>
      </c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0</v>
      </c>
      <c r="C130" s="60">
        <f>H131</f>
        <v>140</v>
      </c>
      <c r="D130" s="60">
        <f>I131</f>
        <v>140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9"/>
        <v>0</v>
      </c>
      <c r="H131" s="54">
        <v>140</v>
      </c>
      <c r="I131" s="63">
        <f t="shared" si="10"/>
        <v>140</v>
      </c>
      <c r="J131" s="97">
        <f>I131</f>
        <v>140</v>
      </c>
      <c r="K131" s="84"/>
      <c r="L131" s="41"/>
      <c r="M131" s="41"/>
      <c r="N131" s="42"/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56.680000000000007</v>
      </c>
      <c r="C133" s="60">
        <f>SUM(H134:H136)</f>
        <v>230</v>
      </c>
      <c r="D133" s="60">
        <f>C133-B133</f>
        <v>173.32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9"/>
        <v>56.680000000000007</v>
      </c>
      <c r="H134" s="54">
        <v>100</v>
      </c>
      <c r="I134" s="63">
        <f t="shared" si="10"/>
        <v>43.319999999999993</v>
      </c>
      <c r="J134" s="97">
        <v>100</v>
      </c>
      <c r="K134" s="84"/>
      <c r="L134" s="41"/>
      <c r="M134" s="41">
        <f>22.09+34.59</f>
        <v>56.680000000000007</v>
      </c>
      <c r="N134" s="42"/>
    </row>
    <row r="135" spans="1:15" s="54" customFormat="1" ht="13.5">
      <c r="B135" s="54" t="s">
        <v>512</v>
      </c>
      <c r="G135" s="54">
        <f t="shared" si="9"/>
        <v>0</v>
      </c>
      <c r="H135" s="54">
        <v>100</v>
      </c>
      <c r="I135" s="63">
        <f t="shared" si="10"/>
        <v>100</v>
      </c>
      <c r="J135" s="97">
        <v>100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9"/>
        <v>0</v>
      </c>
      <c r="H136" s="54">
        <v>30</v>
      </c>
      <c r="I136" s="63">
        <f t="shared" si="10"/>
        <v>30</v>
      </c>
      <c r="J136" s="97">
        <v>100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9"/>
        <v>0</v>
      </c>
      <c r="H139" s="54">
        <v>10</v>
      </c>
      <c r="I139" s="63">
        <f t="shared" si="10"/>
        <v>10</v>
      </c>
      <c r="J139" s="97">
        <f>I139</f>
        <v>10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15.34</v>
      </c>
      <c r="C141" s="60">
        <f>SUM(H142:H143)</f>
        <v>250</v>
      </c>
      <c r="D141" s="60">
        <f>C141-B141</f>
        <v>234.66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9"/>
        <v>0</v>
      </c>
      <c r="H142" s="54">
        <v>150</v>
      </c>
      <c r="I142" s="63">
        <f t="shared" si="10"/>
        <v>150</v>
      </c>
      <c r="J142" s="97">
        <f t="shared" ref="J142:J162" si="11">I142</f>
        <v>150</v>
      </c>
      <c r="K142" s="89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9"/>
        <v>15.34</v>
      </c>
      <c r="H143" s="54">
        <v>100</v>
      </c>
      <c r="I143" s="63">
        <f t="shared" si="10"/>
        <v>84.66</v>
      </c>
      <c r="J143" s="97">
        <f t="shared" si="11"/>
        <v>84.66</v>
      </c>
      <c r="K143" s="89"/>
      <c r="L143" s="41"/>
      <c r="M143" s="41"/>
      <c r="N143" s="42">
        <f>15.34</f>
        <v>15.34</v>
      </c>
      <c r="O143" s="54" t="s">
        <v>637</v>
      </c>
    </row>
    <row r="144" spans="1:15" ht="13.5">
      <c r="A144" s="54"/>
      <c r="B144" s="54"/>
      <c r="C144" s="54"/>
      <c r="D144" s="54"/>
      <c r="E144" s="54"/>
      <c r="F144" s="54"/>
      <c r="G144" s="54"/>
      <c r="H144" s="54"/>
      <c r="I144" s="63"/>
      <c r="J144" s="97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185.85</v>
      </c>
      <c r="C147" s="54">
        <f>SUM(H148:H162)</f>
        <v>410</v>
      </c>
      <c r="D147" s="60">
        <f>C147-B147</f>
        <v>224.15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si="9"/>
        <v>78.41</v>
      </c>
      <c r="H149" s="54">
        <v>100</v>
      </c>
      <c r="I149" s="63">
        <f t="shared" ref="I149:I162" si="12">H149-G149</f>
        <v>21.590000000000003</v>
      </c>
      <c r="J149" s="97">
        <f t="shared" si="11"/>
        <v>21.590000000000003</v>
      </c>
      <c r="L149" s="41"/>
      <c r="M149" s="41">
        <f>6.61+27.17+44.63</f>
        <v>78.41</v>
      </c>
      <c r="N149" s="42"/>
    </row>
    <row r="150" spans="1:14" ht="14.25" thickBot="1">
      <c r="A150" s="95">
        <f>SUM(G149:G153)</f>
        <v>185.85</v>
      </c>
      <c r="B150" s="54" t="s">
        <v>289</v>
      </c>
      <c r="C150" s="54"/>
      <c r="D150" s="54"/>
      <c r="E150" s="54"/>
      <c r="F150" s="54"/>
      <c r="G150" s="54">
        <f t="shared" si="9"/>
        <v>107.44</v>
      </c>
      <c r="H150" s="54">
        <v>100</v>
      </c>
      <c r="I150" s="63">
        <f t="shared" si="12"/>
        <v>-7.4399999999999977</v>
      </c>
      <c r="J150" s="97">
        <f t="shared" si="11"/>
        <v>-7.4399999999999977</v>
      </c>
      <c r="L150" s="41"/>
      <c r="M150" s="41">
        <f>20+10+10+67.44</f>
        <v>107.44</v>
      </c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9"/>
        <v>0</v>
      </c>
      <c r="H151" s="54">
        <v>30</v>
      </c>
      <c r="I151" s="63">
        <f t="shared" si="12"/>
        <v>30</v>
      </c>
      <c r="J151" s="97">
        <f t="shared" si="11"/>
        <v>30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9"/>
        <v>0</v>
      </c>
      <c r="H152" s="54">
        <v>50</v>
      </c>
      <c r="I152" s="63">
        <f t="shared" si="12"/>
        <v>50</v>
      </c>
      <c r="J152" s="97">
        <f t="shared" si="11"/>
        <v>50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9"/>
        <v>0</v>
      </c>
      <c r="H153" s="54">
        <v>10</v>
      </c>
      <c r="I153" s="63">
        <f t="shared" si="12"/>
        <v>10</v>
      </c>
      <c r="J153" s="97">
        <f t="shared" si="11"/>
        <v>10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9"/>
        <v>0</v>
      </c>
      <c r="H156" s="54"/>
      <c r="I156" s="63">
        <f t="shared" si="12"/>
        <v>0</v>
      </c>
      <c r="J156" s="97">
        <f t="shared" si="11"/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9"/>
        <v>0</v>
      </c>
      <c r="H157" s="54"/>
      <c r="I157" s="63">
        <f t="shared" si="12"/>
        <v>0</v>
      </c>
      <c r="J157" s="97">
        <f t="shared" si="11"/>
        <v>0</v>
      </c>
      <c r="L157" s="41"/>
      <c r="M157" s="41"/>
      <c r="N157" s="42"/>
    </row>
    <row r="158" spans="1:14" ht="13.5">
      <c r="A158" s="54"/>
      <c r="B158" s="54" t="s">
        <v>545</v>
      </c>
      <c r="C158" s="54"/>
      <c r="D158" s="54"/>
      <c r="E158" s="54"/>
      <c r="F158" s="54"/>
      <c r="G158" s="54">
        <f t="shared" si="9"/>
        <v>0</v>
      </c>
      <c r="H158" s="54"/>
      <c r="I158" s="63">
        <f t="shared" si="12"/>
        <v>0</v>
      </c>
      <c r="J158" s="97">
        <f t="shared" si="11"/>
        <v>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9"/>
        <v>0</v>
      </c>
      <c r="H159" s="54"/>
      <c r="I159" s="63">
        <f t="shared" si="12"/>
        <v>0</v>
      </c>
      <c r="J159" s="97">
        <f t="shared" si="11"/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9"/>
        <v>0</v>
      </c>
      <c r="H160" s="54"/>
      <c r="I160" s="63">
        <f t="shared" si="12"/>
        <v>0</v>
      </c>
      <c r="J160" s="97">
        <f t="shared" si="11"/>
        <v>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9"/>
        <v>0</v>
      </c>
      <c r="H162" s="54">
        <v>120</v>
      </c>
      <c r="I162" s="63">
        <f t="shared" si="12"/>
        <v>120</v>
      </c>
      <c r="J162" s="97">
        <f t="shared" si="11"/>
        <v>120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106" zoomScale="84" zoomScaleNormal="84" workbookViewId="0">
      <selection activeCell="F77" sqref="F77"/>
    </sheetView>
  </sheetViews>
  <sheetFormatPr defaultColWidth="9" defaultRowHeight="15.75"/>
  <cols>
    <col min="1" max="1" width="24.42578125" style="76" customWidth="1"/>
    <col min="2" max="2" width="18" style="67" customWidth="1"/>
    <col min="3" max="3" width="17.140625" style="67" customWidth="1"/>
    <col min="4" max="5" width="16.5703125" style="67" customWidth="1"/>
    <col min="6" max="6" width="15.28515625" style="67" customWidth="1"/>
    <col min="7" max="7" width="13.5703125" style="67" customWidth="1"/>
    <col min="8" max="8" width="13.85546875" style="67" customWidth="1"/>
    <col min="9" max="10" width="14" style="67" customWidth="1"/>
    <col min="11" max="11" width="2.28515625" style="82" customWidth="1"/>
    <col min="12" max="12" width="11.85546875" style="67" customWidth="1"/>
    <col min="13" max="13" width="13.5703125" style="67" customWidth="1"/>
    <col min="14" max="15" width="11.5703125" style="67" customWidth="1"/>
    <col min="16" max="16" width="1.7109375" style="67" customWidth="1"/>
    <col min="17" max="17" width="11.7109375" style="67" customWidth="1"/>
    <col min="18" max="18" width="11.5703125" style="67" customWidth="1"/>
    <col min="19" max="16384" width="9" style="67"/>
  </cols>
  <sheetData>
    <row r="1" spans="1:16">
      <c r="A1" s="73" t="s">
        <v>202</v>
      </c>
      <c r="B1" s="74">
        <v>2014</v>
      </c>
      <c r="C1" s="74"/>
      <c r="F1" s="100"/>
      <c r="L1" s="75" t="s">
        <v>557</v>
      </c>
    </row>
    <row r="2" spans="1:16">
      <c r="A2" s="73" t="s">
        <v>191</v>
      </c>
      <c r="B2" s="75" t="s">
        <v>7</v>
      </c>
      <c r="C2" s="75"/>
      <c r="F2" s="100"/>
      <c r="M2" s="75" t="s">
        <v>540</v>
      </c>
    </row>
    <row r="3" spans="1:16">
      <c r="B3" s="67" t="s">
        <v>102</v>
      </c>
      <c r="F3" s="100"/>
      <c r="M3" s="75" t="s">
        <v>539</v>
      </c>
      <c r="O3" s="150"/>
    </row>
    <row r="4" spans="1:16">
      <c r="A4" s="73" t="s">
        <v>4</v>
      </c>
      <c r="B4" s="78">
        <f>SUM(G5:G8)</f>
        <v>7113.74</v>
      </c>
      <c r="C4" s="78"/>
      <c r="F4" s="100"/>
      <c r="G4" s="67" t="s">
        <v>34</v>
      </c>
      <c r="L4" s="79"/>
      <c r="O4" s="150"/>
    </row>
    <row r="5" spans="1:16" ht="12.75">
      <c r="A5" s="67" t="s">
        <v>25</v>
      </c>
      <c r="B5" s="128">
        <v>3245.19</v>
      </c>
      <c r="C5" s="129">
        <v>3245.19</v>
      </c>
      <c r="F5" s="100"/>
      <c r="G5" s="128">
        <f>SUM(B5:E5)</f>
        <v>6490.38</v>
      </c>
      <c r="H5" s="79"/>
      <c r="I5" s="79"/>
      <c r="J5" s="79"/>
      <c r="K5" s="83"/>
      <c r="L5" s="79"/>
      <c r="O5" s="150"/>
    </row>
    <row r="6" spans="1:16" ht="12.75">
      <c r="A6" s="67" t="s">
        <v>251</v>
      </c>
      <c r="C6" s="77"/>
      <c r="F6" s="100"/>
      <c r="G6" s="128">
        <f>SUM(B6:E6)</f>
        <v>0</v>
      </c>
      <c r="H6" s="79"/>
      <c r="I6" s="79"/>
      <c r="J6" s="79"/>
      <c r="K6" s="83"/>
      <c r="L6" s="79"/>
      <c r="O6" s="77"/>
    </row>
    <row r="7" spans="1:16" ht="12.75">
      <c r="A7" s="67" t="s">
        <v>27</v>
      </c>
      <c r="B7" s="67">
        <v>311.68</v>
      </c>
      <c r="C7" s="67">
        <v>311.68</v>
      </c>
      <c r="F7" s="100"/>
      <c r="G7" s="128">
        <f>SUM(B7:E7)</f>
        <v>623.36</v>
      </c>
      <c r="H7" s="79"/>
      <c r="I7" s="79"/>
      <c r="J7" s="79"/>
      <c r="K7" s="83"/>
      <c r="L7" s="79"/>
      <c r="O7" s="77"/>
    </row>
    <row r="8" spans="1:16">
      <c r="F8" s="100"/>
      <c r="G8" s="128"/>
      <c r="H8" s="79"/>
      <c r="I8" s="79"/>
      <c r="K8" s="83"/>
      <c r="P8" s="77"/>
    </row>
    <row r="9" spans="1:16" ht="13.5">
      <c r="A9" s="60"/>
      <c r="B9" s="64"/>
      <c r="C9" s="54"/>
      <c r="D9" s="54"/>
      <c r="E9" s="54"/>
      <c r="F9" s="275"/>
      <c r="G9" s="57"/>
      <c r="H9" s="54"/>
      <c r="I9" s="63" t="s">
        <v>37</v>
      </c>
      <c r="J9" s="97" t="s">
        <v>302</v>
      </c>
      <c r="M9" s="54"/>
    </row>
    <row r="10" spans="1:16" s="54" customFormat="1" ht="13.5">
      <c r="A10" s="60"/>
      <c r="B10" s="64"/>
      <c r="F10" s="275"/>
      <c r="G10" s="57" t="s">
        <v>255</v>
      </c>
      <c r="H10" s="54" t="s">
        <v>41</v>
      </c>
      <c r="I10" s="65" t="s">
        <v>40</v>
      </c>
      <c r="J10" s="98" t="s">
        <v>40</v>
      </c>
      <c r="K10" s="84"/>
    </row>
    <row r="11" spans="1:16" s="54" customFormat="1" ht="13.5">
      <c r="A11" s="60" t="s">
        <v>297</v>
      </c>
      <c r="B11" s="277">
        <f>G11</f>
        <v>1050</v>
      </c>
      <c r="D11" s="54" t="s">
        <v>299</v>
      </c>
      <c r="E11" s="54">
        <f>G11/B4</f>
        <v>0.14760168350263012</v>
      </c>
      <c r="F11" s="275"/>
      <c r="G11" s="55">
        <f>Tithe!D7</f>
        <v>1050</v>
      </c>
      <c r="H11" s="54">
        <v>1200</v>
      </c>
      <c r="I11" s="66">
        <f>H11-G11</f>
        <v>150</v>
      </c>
      <c r="J11" s="99">
        <f>Jan!I11+Feb!I11</f>
        <v>120</v>
      </c>
      <c r="K11" s="85"/>
    </row>
    <row r="12" spans="1:16" s="54" customFormat="1" ht="13.5">
      <c r="I12" s="66"/>
      <c r="J12" s="99"/>
      <c r="K12" s="86"/>
      <c r="L12" s="286" t="s">
        <v>558</v>
      </c>
    </row>
    <row r="13" spans="1:16" s="54" customFormat="1" ht="13.5">
      <c r="A13" s="60" t="s">
        <v>523</v>
      </c>
      <c r="B13" s="277">
        <f>SUM(G14:G20)</f>
        <v>2050</v>
      </c>
      <c r="F13" s="275"/>
      <c r="G13" s="57"/>
      <c r="I13" s="66"/>
      <c r="J13" s="99"/>
      <c r="K13" s="86"/>
    </row>
    <row r="14" spans="1:16" s="54" customFormat="1" ht="13.5">
      <c r="B14" s="60" t="s">
        <v>426</v>
      </c>
      <c r="E14" s="54" t="s">
        <v>524</v>
      </c>
      <c r="F14" s="275"/>
      <c r="G14" s="55">
        <v>800</v>
      </c>
      <c r="H14" s="54">
        <v>800</v>
      </c>
      <c r="I14" s="66">
        <f t="shared" ref="I14:I20" si="0">H14-G14</f>
        <v>0</v>
      </c>
      <c r="J14" s="99">
        <f>Jan!I14+Feb!I14</f>
        <v>0</v>
      </c>
      <c r="K14" s="86"/>
    </row>
    <row r="15" spans="1:16" s="54" customFormat="1" ht="13.5">
      <c r="B15" s="60" t="s">
        <v>282</v>
      </c>
      <c r="E15" s="54" t="s">
        <v>524</v>
      </c>
      <c r="F15" s="275"/>
      <c r="G15" s="55">
        <v>200</v>
      </c>
      <c r="H15" s="54">
        <v>200</v>
      </c>
      <c r="I15" s="66">
        <f t="shared" si="0"/>
        <v>0</v>
      </c>
      <c r="J15" s="99">
        <f>Jan!I15+Feb!I15</f>
        <v>0</v>
      </c>
      <c r="K15" s="86"/>
    </row>
    <row r="16" spans="1:16" s="54" customFormat="1" ht="13.5">
      <c r="B16" s="60" t="s">
        <v>314</v>
      </c>
      <c r="E16" s="54" t="s">
        <v>524</v>
      </c>
      <c r="F16" s="275"/>
      <c r="G16" s="55">
        <v>300</v>
      </c>
      <c r="H16" s="54">
        <v>300</v>
      </c>
      <c r="I16" s="66">
        <f t="shared" si="0"/>
        <v>0</v>
      </c>
      <c r="J16" s="99">
        <f>Jan!I16+Feb!I16</f>
        <v>0</v>
      </c>
      <c r="K16" s="86"/>
    </row>
    <row r="17" spans="1:13" s="54" customFormat="1" ht="13.5">
      <c r="B17" s="60" t="s">
        <v>522</v>
      </c>
      <c r="E17" s="54" t="s">
        <v>524</v>
      </c>
      <c r="F17" s="275"/>
      <c r="G17" s="55">
        <v>200</v>
      </c>
      <c r="H17" s="54">
        <v>200</v>
      </c>
      <c r="I17" s="66">
        <f t="shared" si="0"/>
        <v>0</v>
      </c>
      <c r="J17" s="99">
        <f>Jan!I17+Feb!I17</f>
        <v>0</v>
      </c>
      <c r="K17" s="86"/>
    </row>
    <row r="18" spans="1:13" s="54" customFormat="1" ht="15.95" customHeight="1">
      <c r="B18" s="60" t="s">
        <v>284</v>
      </c>
      <c r="E18" s="54" t="s">
        <v>524</v>
      </c>
      <c r="F18" s="275"/>
      <c r="G18" s="55">
        <v>50</v>
      </c>
      <c r="H18" s="54">
        <v>50</v>
      </c>
      <c r="I18" s="66">
        <f t="shared" si="0"/>
        <v>0</v>
      </c>
      <c r="J18" s="99">
        <f>Jan!I18+Feb!I18</f>
        <v>0</v>
      </c>
      <c r="K18" s="86"/>
    </row>
    <row r="19" spans="1:13" s="54" customFormat="1" ht="15.95" customHeight="1">
      <c r="B19" s="60" t="s">
        <v>283</v>
      </c>
      <c r="E19" s="54" t="s">
        <v>525</v>
      </c>
      <c r="F19" s="275"/>
      <c r="G19" s="55">
        <v>200</v>
      </c>
      <c r="H19" s="54">
        <v>200</v>
      </c>
      <c r="I19" s="66">
        <f t="shared" si="0"/>
        <v>0</v>
      </c>
      <c r="J19" s="99">
        <f>Jan!I19+Feb!I19</f>
        <v>0</v>
      </c>
      <c r="K19" s="86"/>
    </row>
    <row r="20" spans="1:13" s="54" customFormat="1" ht="15.95" customHeight="1">
      <c r="B20" s="60" t="s">
        <v>315</v>
      </c>
      <c r="E20" s="54" t="s">
        <v>525</v>
      </c>
      <c r="G20" s="55">
        <v>300</v>
      </c>
      <c r="H20" s="54">
        <v>300</v>
      </c>
      <c r="I20" s="66">
        <f t="shared" si="0"/>
        <v>0</v>
      </c>
      <c r="J20" s="99">
        <f>Jan!I20+Feb!I20</f>
        <v>0</v>
      </c>
      <c r="K20" s="86"/>
    </row>
    <row r="21" spans="1:13" s="54" customFormat="1" ht="15.95" customHeight="1">
      <c r="A21" s="60"/>
      <c r="F21" s="275"/>
      <c r="G21" s="55"/>
      <c r="I21" s="66"/>
      <c r="J21" s="99"/>
      <c r="K21" s="86"/>
      <c r="L21" s="60" t="s">
        <v>559</v>
      </c>
    </row>
    <row r="22" spans="1:13" s="54" customFormat="1" ht="15.95" customHeight="1">
      <c r="A22" s="60" t="s">
        <v>300</v>
      </c>
      <c r="B22" s="278">
        <f>G22</f>
        <v>700</v>
      </c>
      <c r="F22" s="275"/>
      <c r="G22" s="55">
        <v>700</v>
      </c>
      <c r="H22" s="54">
        <v>700</v>
      </c>
      <c r="I22" s="66">
        <f>H22-G22</f>
        <v>0</v>
      </c>
      <c r="J22" s="99">
        <f>Jan!I22+Feb!I22</f>
        <v>0</v>
      </c>
      <c r="K22" s="86"/>
      <c r="M22" s="348" t="s">
        <v>732</v>
      </c>
    </row>
    <row r="23" spans="1:13" s="54" customFormat="1" ht="15.95" customHeight="1">
      <c r="A23" s="60" t="s">
        <v>468</v>
      </c>
      <c r="B23" s="64" t="s">
        <v>467</v>
      </c>
      <c r="E23" s="54" t="s">
        <v>525</v>
      </c>
      <c r="F23" s="275"/>
      <c r="G23" s="55"/>
      <c r="I23" s="66"/>
      <c r="J23" s="99"/>
      <c r="K23" s="86"/>
    </row>
    <row r="24" spans="1:13" s="54" customFormat="1" ht="15.95" customHeight="1">
      <c r="A24" s="60" t="s">
        <v>301</v>
      </c>
      <c r="B24" s="277">
        <f>SUM(G25:G26)</f>
        <v>0</v>
      </c>
      <c r="F24" s="275"/>
      <c r="G24" s="55"/>
      <c r="I24" s="66"/>
      <c r="J24" s="99"/>
      <c r="K24" s="86"/>
    </row>
    <row r="25" spans="1:13" s="54" customFormat="1" ht="15.95" customHeight="1">
      <c r="B25" s="60" t="s">
        <v>276</v>
      </c>
      <c r="E25" s="54" t="s">
        <v>525</v>
      </c>
      <c r="F25" s="275"/>
      <c r="G25" s="55">
        <v>0</v>
      </c>
      <c r="H25" s="54">
        <v>500</v>
      </c>
      <c r="I25" s="66">
        <f>H25-G25</f>
        <v>500</v>
      </c>
      <c r="J25" s="99">
        <f>Jan!I25+Feb!I25</f>
        <v>1000</v>
      </c>
      <c r="K25" s="86"/>
    </row>
    <row r="26" spans="1:13" s="54" customFormat="1" ht="12.75" customHeight="1">
      <c r="B26" s="60" t="s">
        <v>286</v>
      </c>
      <c r="E26" s="54" t="s">
        <v>524</v>
      </c>
      <c r="F26" s="275"/>
      <c r="G26" s="55">
        <v>0</v>
      </c>
      <c r="H26" s="54">
        <v>300</v>
      </c>
      <c r="I26" s="66">
        <f>H26-G26</f>
        <v>300</v>
      </c>
      <c r="J26" s="102">
        <f>Jan!I26+Feb!I26</f>
        <v>600</v>
      </c>
      <c r="K26" s="86"/>
    </row>
    <row r="27" spans="1:13" s="54" customFormat="1" ht="12.75" customHeight="1">
      <c r="A27" s="60"/>
      <c r="F27" s="275"/>
      <c r="G27" s="68"/>
      <c r="H27" s="68"/>
      <c r="I27" s="70"/>
      <c r="J27" s="81"/>
      <c r="K27" s="81"/>
    </row>
    <row r="28" spans="1:13" s="54" customFormat="1" ht="12.75" customHeight="1" thickBot="1">
      <c r="A28" s="60"/>
      <c r="B28" s="60"/>
      <c r="F28" s="275"/>
      <c r="G28" s="69">
        <f>SUM(G11:G26)</f>
        <v>3800</v>
      </c>
      <c r="H28" s="69">
        <f>SUM(H11:H26)</f>
        <v>4750</v>
      </c>
      <c r="I28" s="69">
        <f>SUM(I11:I26)</f>
        <v>950</v>
      </c>
      <c r="J28" s="69">
        <f>SUM(J11:J26)</f>
        <v>1720</v>
      </c>
      <c r="K28" s="87"/>
    </row>
    <row r="29" spans="1:13" s="54" customFormat="1" ht="12.75" customHeight="1" thickTop="1" thickBot="1">
      <c r="H29" s="58"/>
      <c r="I29" s="58"/>
      <c r="J29" s="58"/>
      <c r="K29" s="87"/>
      <c r="L29" s="60" t="s">
        <v>560</v>
      </c>
    </row>
    <row r="30" spans="1:13" s="54" customFormat="1" ht="12.75" customHeight="1" thickBot="1">
      <c r="A30" s="60" t="s">
        <v>305</v>
      </c>
      <c r="B30" s="60"/>
      <c r="F30" s="275"/>
      <c r="G30" s="95"/>
      <c r="H30" s="58"/>
      <c r="I30" s="58"/>
      <c r="J30" s="58"/>
      <c r="K30" s="87"/>
      <c r="M30" s="54" t="s">
        <v>643</v>
      </c>
    </row>
    <row r="31" spans="1:13" s="54" customFormat="1" ht="12.75" customHeight="1">
      <c r="A31" s="106" t="s">
        <v>298</v>
      </c>
      <c r="B31" s="60"/>
      <c r="F31" s="275"/>
      <c r="G31" s="281">
        <f>B4-G28+G30</f>
        <v>3313.74</v>
      </c>
      <c r="H31" s="58"/>
      <c r="I31" s="58"/>
      <c r="J31" s="58"/>
      <c r="K31" s="87"/>
      <c r="L31" s="58"/>
      <c r="M31" s="54" t="s">
        <v>644</v>
      </c>
    </row>
    <row r="32" spans="1:13" s="54" customFormat="1" ht="12.75" customHeight="1">
      <c r="A32" s="54" t="s">
        <v>536</v>
      </c>
      <c r="B32" s="106"/>
      <c r="C32" s="56"/>
      <c r="D32" s="56"/>
      <c r="E32" s="56"/>
      <c r="F32" s="280"/>
      <c r="G32" s="282">
        <f>G46</f>
        <v>3633.630000000001</v>
      </c>
      <c r="H32" s="58"/>
      <c r="I32" s="58"/>
      <c r="J32" s="58"/>
      <c r="K32" s="87"/>
      <c r="L32" s="58"/>
    </row>
    <row r="33" spans="1:14" s="54" customFormat="1" ht="12.75" customHeight="1">
      <c r="A33" s="60" t="s">
        <v>655</v>
      </c>
      <c r="B33" s="60"/>
      <c r="F33" s="275"/>
      <c r="G33" s="80">
        <f>G31-G32-M42</f>
        <v>-319.89000000000124</v>
      </c>
      <c r="H33" s="58"/>
      <c r="I33" s="58"/>
      <c r="J33" s="58"/>
      <c r="K33" s="87"/>
      <c r="L33" s="58"/>
    </row>
    <row r="34" spans="1:14" s="54" customFormat="1" ht="12.75" customHeight="1">
      <c r="H34" s="58"/>
      <c r="I34" s="58"/>
      <c r="J34" s="58"/>
      <c r="K34" s="87"/>
      <c r="L34" s="58"/>
    </row>
    <row r="35" spans="1:14" s="54" customFormat="1" ht="12.75" customHeight="1">
      <c r="A35" s="60" t="s">
        <v>527</v>
      </c>
      <c r="B35" s="60"/>
      <c r="E35" s="54">
        <f>B47</f>
        <v>970.39000000000044</v>
      </c>
      <c r="F35" s="275"/>
      <c r="G35" s="135"/>
      <c r="H35" s="58"/>
      <c r="I35" s="58"/>
      <c r="J35" s="58"/>
      <c r="K35" s="87"/>
      <c r="L35" s="58"/>
    </row>
    <row r="36" spans="1:14" s="54" customFormat="1" ht="12.75" customHeight="1">
      <c r="A36" s="60" t="s">
        <v>491</v>
      </c>
      <c r="B36" s="60"/>
      <c r="E36" s="54">
        <f>B76</f>
        <v>2663.2400000000002</v>
      </c>
      <c r="F36" s="275"/>
      <c r="G36" s="80"/>
      <c r="H36" s="58"/>
      <c r="I36" s="58"/>
      <c r="J36" s="58"/>
      <c r="K36" s="87"/>
      <c r="L36" s="58"/>
    </row>
    <row r="37" spans="1:14" s="54" customFormat="1" ht="13.5">
      <c r="A37" s="60"/>
      <c r="B37" s="60" t="s">
        <v>528</v>
      </c>
      <c r="D37" s="54">
        <f>B93+B102</f>
        <v>425.9</v>
      </c>
      <c r="F37" s="275"/>
      <c r="G37" s="80"/>
      <c r="H37" s="58"/>
      <c r="I37" s="58"/>
      <c r="J37" s="58"/>
      <c r="K37" s="87"/>
      <c r="L37" s="58"/>
    </row>
    <row r="38" spans="1:14" s="54" customFormat="1" ht="14.25" thickBot="1">
      <c r="A38" s="60"/>
      <c r="B38" s="60" t="s">
        <v>529</v>
      </c>
      <c r="D38" s="54">
        <f>B82</f>
        <v>200.81</v>
      </c>
      <c r="F38" s="275"/>
      <c r="G38" s="80"/>
      <c r="H38" s="58"/>
      <c r="I38" s="58"/>
      <c r="J38" s="58"/>
      <c r="K38" s="87"/>
      <c r="L38" s="58"/>
    </row>
    <row r="39" spans="1:14" s="54" customFormat="1" ht="14.25" thickBot="1">
      <c r="A39" s="60"/>
      <c r="B39" s="60" t="s">
        <v>530</v>
      </c>
      <c r="D39" s="54">
        <f>B88</f>
        <v>694</v>
      </c>
      <c r="F39" s="275"/>
      <c r="G39" s="96"/>
      <c r="H39" s="58"/>
      <c r="I39" s="58"/>
      <c r="J39" s="58"/>
      <c r="K39" s="87"/>
      <c r="L39" s="58"/>
    </row>
    <row r="40" spans="1:14" s="54" customFormat="1" ht="14.25" thickBot="1">
      <c r="A40" s="60"/>
      <c r="B40" s="60" t="s">
        <v>531</v>
      </c>
      <c r="D40" s="54">
        <f>B107</f>
        <v>374.52</v>
      </c>
      <c r="F40" s="275"/>
      <c r="G40" s="105"/>
      <c r="H40" s="58"/>
      <c r="I40" s="58"/>
      <c r="J40" s="58"/>
      <c r="K40" s="87"/>
      <c r="L40" s="58"/>
    </row>
    <row r="41" spans="1:14" s="54" customFormat="1" ht="14.25" thickBot="1">
      <c r="A41" s="106"/>
      <c r="B41" s="60" t="s">
        <v>532</v>
      </c>
      <c r="D41" s="54">
        <f>B112</f>
        <v>173.96</v>
      </c>
      <c r="F41" s="275"/>
      <c r="G41" s="105"/>
      <c r="H41" s="58"/>
      <c r="I41" s="58"/>
      <c r="J41" s="58"/>
      <c r="K41" s="87"/>
      <c r="L41" s="95"/>
      <c r="M41" s="54">
        <f>M46+M44+M43+M42</f>
        <v>2122.3000000000002</v>
      </c>
      <c r="N41" s="54">
        <f>N46-N42</f>
        <v>334.59000000000003</v>
      </c>
    </row>
    <row r="42" spans="1:14" s="54" customFormat="1" ht="13.5">
      <c r="B42" s="60" t="s">
        <v>533</v>
      </c>
      <c r="C42" s="61"/>
      <c r="D42" s="61">
        <f>B130</f>
        <v>197.03</v>
      </c>
      <c r="F42" s="275"/>
      <c r="G42" s="105"/>
      <c r="H42" s="58"/>
      <c r="I42" s="58"/>
      <c r="J42" s="58"/>
      <c r="K42" s="87"/>
      <c r="L42" s="54" t="s">
        <v>348</v>
      </c>
    </row>
    <row r="43" spans="1:14" s="54" customFormat="1" ht="13.5">
      <c r="B43" s="60" t="s">
        <v>534</v>
      </c>
      <c r="D43" s="54">
        <f>B117+B133+B138+B141</f>
        <v>597.02</v>
      </c>
      <c r="F43" s="275"/>
      <c r="I43" s="63"/>
      <c r="J43" s="97" t="s">
        <v>302</v>
      </c>
      <c r="K43" s="84"/>
      <c r="L43" s="54" t="s">
        <v>564</v>
      </c>
      <c r="M43" s="54">
        <v>50</v>
      </c>
    </row>
    <row r="44" spans="1:14" s="54" customFormat="1" ht="13.5">
      <c r="A44" s="60" t="s">
        <v>535</v>
      </c>
      <c r="E44" s="54">
        <f>B147</f>
        <v>0</v>
      </c>
      <c r="F44" s="275"/>
      <c r="G44" s="57"/>
      <c r="I44" s="63" t="s">
        <v>37</v>
      </c>
      <c r="J44" s="97" t="s">
        <v>303</v>
      </c>
      <c r="K44" s="84"/>
      <c r="L44" s="54" t="s">
        <v>344</v>
      </c>
      <c r="M44" s="54">
        <v>100</v>
      </c>
    </row>
    <row r="45" spans="1:14" s="54" customFormat="1" ht="13.5">
      <c r="A45" s="60"/>
      <c r="F45" s="275"/>
      <c r="G45" s="57" t="s">
        <v>255</v>
      </c>
      <c r="H45" s="54" t="s">
        <v>41</v>
      </c>
      <c r="I45" s="65" t="s">
        <v>40</v>
      </c>
      <c r="J45" s="98" t="s">
        <v>304</v>
      </c>
      <c r="K45" s="85"/>
      <c r="L45" s="90" t="s">
        <v>256</v>
      </c>
      <c r="M45" s="91" t="s">
        <v>355</v>
      </c>
      <c r="N45" s="91" t="s">
        <v>565</v>
      </c>
    </row>
    <row r="46" spans="1:14" s="54" customFormat="1" ht="14.25" thickBot="1">
      <c r="D46"/>
      <c r="E46" s="279"/>
      <c r="F46" s="275"/>
      <c r="G46" s="101">
        <f>SUM(G48:G162)</f>
        <v>3633.630000000001</v>
      </c>
      <c r="H46" s="101">
        <f>SUM(H48:H162)</f>
        <v>4673</v>
      </c>
      <c r="I46" s="101">
        <f>H46-G46</f>
        <v>1039.369999999999</v>
      </c>
      <c r="J46" s="101">
        <f>SUM(J48:J132)</f>
        <v>1142.71</v>
      </c>
      <c r="K46" s="88"/>
      <c r="L46" s="92">
        <f>SUM(L48:L143)</f>
        <v>1348.17</v>
      </c>
      <c r="M46" s="92">
        <f>SUM(M48:M143)</f>
        <v>1972.3000000000002</v>
      </c>
      <c r="N46" s="140">
        <f>SUM(N48:N143)</f>
        <v>334.59000000000003</v>
      </c>
    </row>
    <row r="47" spans="1:14" s="54" customFormat="1" ht="14.25" thickBot="1">
      <c r="A47" s="106" t="s">
        <v>492</v>
      </c>
      <c r="B47" s="273">
        <f>B48+B61+B65</f>
        <v>970.39000000000044</v>
      </c>
      <c r="C47" s="273">
        <f>C48+C61+C65</f>
        <v>1378</v>
      </c>
      <c r="D47" s="95">
        <f>D48+D61+D65</f>
        <v>407.6099999999999</v>
      </c>
      <c r="I47" s="63"/>
      <c r="J47" s="97"/>
      <c r="K47" s="84"/>
      <c r="L47" s="41"/>
      <c r="M47" s="42"/>
      <c r="N47" s="42"/>
    </row>
    <row r="48" spans="1:14" s="54" customFormat="1" ht="13.5">
      <c r="A48" s="60" t="s">
        <v>477</v>
      </c>
      <c r="B48" s="60">
        <f>SUM(G49:G57)</f>
        <v>563.60000000000036</v>
      </c>
      <c r="C48" s="60">
        <f>SUM(H49:H57)</f>
        <v>911</v>
      </c>
      <c r="D48" s="60">
        <f>SUM(I49:I57)</f>
        <v>347.4</v>
      </c>
      <c r="I48" s="63"/>
      <c r="J48" s="97"/>
      <c r="K48" s="84"/>
      <c r="L48" s="41"/>
      <c r="M48" s="42"/>
      <c r="N48" s="42"/>
    </row>
    <row r="49" spans="1:15" s="54" customFormat="1" ht="13.5">
      <c r="B49" s="54" t="s">
        <v>351</v>
      </c>
      <c r="G49" s="54">
        <f t="shared" ref="G49:G57" si="1">SUM(L49:N49)</f>
        <v>0</v>
      </c>
      <c r="H49" s="54">
        <v>0</v>
      </c>
      <c r="I49" s="63">
        <f t="shared" ref="I49:I57" si="2">H49-G49</f>
        <v>0</v>
      </c>
      <c r="J49" s="97">
        <f>Jan!I49+Feb!I49</f>
        <v>0</v>
      </c>
      <c r="K49" s="84"/>
      <c r="L49" s="41"/>
      <c r="M49" s="42"/>
      <c r="N49" s="42"/>
    </row>
    <row r="50" spans="1:15" s="54" customFormat="1" ht="13.5">
      <c r="A50" s="60"/>
      <c r="B50" s="54" t="s">
        <v>479</v>
      </c>
      <c r="G50" s="54">
        <f t="shared" si="1"/>
        <v>0</v>
      </c>
      <c r="H50" s="54">
        <v>100</v>
      </c>
      <c r="I50" s="63">
        <f t="shared" si="2"/>
        <v>100</v>
      </c>
      <c r="J50" s="97">
        <f>Jan!I50+Feb!I50</f>
        <v>200</v>
      </c>
      <c r="K50" s="84"/>
      <c r="L50" s="41"/>
      <c r="M50" s="42"/>
      <c r="N50" s="42"/>
    </row>
    <row r="51" spans="1:15" s="54" customFormat="1" ht="13.5">
      <c r="A51" s="60"/>
      <c r="B51" s="54" t="s">
        <v>480</v>
      </c>
      <c r="G51" s="54">
        <f t="shared" si="1"/>
        <v>9.64</v>
      </c>
      <c r="H51" s="54">
        <v>100</v>
      </c>
      <c r="I51" s="63">
        <f t="shared" si="2"/>
        <v>90.36</v>
      </c>
      <c r="J51" s="97">
        <f>Jan!I51+Feb!I51</f>
        <v>190.36</v>
      </c>
      <c r="K51" s="84"/>
      <c r="L51" s="41"/>
      <c r="M51" s="42">
        <f>9.64</f>
        <v>9.64</v>
      </c>
      <c r="N51" s="42"/>
      <c r="O51" s="348" t="s">
        <v>654</v>
      </c>
    </row>
    <row r="52" spans="1:15" s="54" customFormat="1" ht="13.5">
      <c r="A52" s="60"/>
      <c r="B52" s="54" t="s">
        <v>478</v>
      </c>
      <c r="G52" s="54">
        <f t="shared" si="1"/>
        <v>0</v>
      </c>
      <c r="H52" s="54">
        <v>100</v>
      </c>
      <c r="I52" s="63">
        <f t="shared" si="2"/>
        <v>100</v>
      </c>
      <c r="J52" s="97">
        <f>Jan!I52+Feb!I52</f>
        <v>200</v>
      </c>
      <c r="K52" s="84"/>
      <c r="L52" s="41"/>
      <c r="M52" s="42"/>
      <c r="N52" s="42"/>
    </row>
    <row r="53" spans="1:15" s="54" customFormat="1" ht="13.5">
      <c r="A53" s="60"/>
      <c r="B53" s="54" t="s">
        <v>521</v>
      </c>
      <c r="G53" s="54">
        <f t="shared" si="1"/>
        <v>553.96</v>
      </c>
      <c r="H53" s="54">
        <v>554</v>
      </c>
      <c r="I53" s="63">
        <f t="shared" si="2"/>
        <v>3.999999999996362E-2</v>
      </c>
      <c r="J53" s="97">
        <f>Jan!I53+Feb!I53</f>
        <v>7.999999999992724E-2</v>
      </c>
      <c r="K53" s="84"/>
      <c r="L53" s="41">
        <v>553.96</v>
      </c>
      <c r="M53" s="42"/>
      <c r="N53" s="42"/>
    </row>
    <row r="54" spans="1:15" s="54" customFormat="1" ht="13.5">
      <c r="A54" s="60"/>
      <c r="B54" s="54" t="s">
        <v>487</v>
      </c>
      <c r="G54" s="54">
        <f t="shared" si="1"/>
        <v>0</v>
      </c>
      <c r="H54" s="54">
        <v>57</v>
      </c>
      <c r="I54" s="63">
        <f t="shared" si="2"/>
        <v>57</v>
      </c>
      <c r="J54" s="97">
        <f>Jan!I54+Feb!I54</f>
        <v>114</v>
      </c>
      <c r="K54" s="84"/>
      <c r="L54" s="41"/>
      <c r="M54" s="42"/>
      <c r="N54" s="42"/>
    </row>
    <row r="55" spans="1:15" s="54" customFormat="1" ht="13.5">
      <c r="A55" s="60"/>
      <c r="B55" s="54" t="s">
        <v>352</v>
      </c>
      <c r="G55" s="54">
        <f t="shared" si="1"/>
        <v>1687.49</v>
      </c>
      <c r="H55" s="54">
        <f>1636.68+50.81</f>
        <v>1687.49</v>
      </c>
      <c r="I55" s="63">
        <f t="shared" si="2"/>
        <v>0</v>
      </c>
      <c r="J55" s="97">
        <f>Jan!I55+Feb!I55</f>
        <v>0</v>
      </c>
      <c r="K55" s="84"/>
      <c r="L55" s="41">
        <v>1687.49</v>
      </c>
      <c r="M55" s="42"/>
      <c r="N55" s="42"/>
    </row>
    <row r="56" spans="1:15" s="54" customFormat="1" ht="13.5">
      <c r="A56" s="60"/>
      <c r="B56" s="54" t="s">
        <v>425</v>
      </c>
      <c r="G56" s="54">
        <f t="shared" si="1"/>
        <v>312.51</v>
      </c>
      <c r="H56" s="54">
        <v>312.51</v>
      </c>
      <c r="I56" s="63">
        <f t="shared" si="2"/>
        <v>0</v>
      </c>
      <c r="J56" s="97">
        <f>Jan!I56+Feb!I56</f>
        <v>0</v>
      </c>
      <c r="K56" s="84"/>
      <c r="L56" s="41">
        <v>312.51</v>
      </c>
      <c r="M56" s="42"/>
      <c r="N56" s="42"/>
    </row>
    <row r="57" spans="1:15" s="54" customFormat="1" ht="13.5">
      <c r="A57" s="60"/>
      <c r="B57" s="54" t="s">
        <v>379</v>
      </c>
      <c r="G57" s="54">
        <f t="shared" si="1"/>
        <v>-2000</v>
      </c>
      <c r="H57" s="54">
        <v>-2000</v>
      </c>
      <c r="I57" s="63">
        <f t="shared" si="2"/>
        <v>0</v>
      </c>
      <c r="J57" s="97">
        <f>Jan!I57+Feb!I57</f>
        <v>0</v>
      </c>
      <c r="K57" s="84"/>
      <c r="L57" s="41">
        <v>-2000</v>
      </c>
      <c r="M57" s="42"/>
      <c r="N57" s="42"/>
    </row>
    <row r="58" spans="1:15" s="54" customFormat="1" ht="13.5">
      <c r="A58" s="60"/>
      <c r="I58" s="63"/>
      <c r="J58" s="97"/>
      <c r="K58" s="84"/>
      <c r="L58" s="41"/>
      <c r="M58" s="42"/>
      <c r="N58" s="42"/>
    </row>
    <row r="59" spans="1:15" s="54" customFormat="1" ht="13.5">
      <c r="A59" s="60"/>
      <c r="I59" s="63"/>
      <c r="J59" s="97"/>
      <c r="K59" s="84"/>
      <c r="L59" s="41"/>
      <c r="M59" s="42"/>
      <c r="N59" s="42"/>
    </row>
    <row r="60" spans="1:15" s="54" customFormat="1" ht="13.5">
      <c r="A60" s="60" t="s">
        <v>485</v>
      </c>
      <c r="I60" s="63"/>
      <c r="J60" s="97"/>
      <c r="K60" s="84"/>
      <c r="L60" s="41"/>
      <c r="M60" s="42"/>
      <c r="N60" s="42"/>
    </row>
    <row r="61" spans="1:15" s="54" customFormat="1" ht="13.5">
      <c r="A61" s="60"/>
      <c r="B61" s="60">
        <f>SUM(G62:G63)</f>
        <v>212.34</v>
      </c>
      <c r="C61" s="60">
        <f>SUM(H62:H63)</f>
        <v>167</v>
      </c>
      <c r="D61" s="60">
        <f>C61-B61</f>
        <v>-45.34</v>
      </c>
      <c r="I61" s="63"/>
      <c r="J61" s="97"/>
      <c r="K61" s="84"/>
      <c r="L61" s="41"/>
      <c r="M61" s="42"/>
      <c r="N61" s="42"/>
    </row>
    <row r="62" spans="1:15" s="54" customFormat="1" ht="13.5">
      <c r="A62" s="60"/>
      <c r="B62" s="54" t="s">
        <v>489</v>
      </c>
      <c r="G62" s="54">
        <f t="shared" ref="G62:G119" si="3">SUM(L62:N62)</f>
        <v>67.180000000000007</v>
      </c>
      <c r="H62" s="54">
        <v>67</v>
      </c>
      <c r="I62" s="63">
        <f t="shared" ref="I62:I123" si="4">H62-G62</f>
        <v>-0.18000000000000682</v>
      </c>
      <c r="J62" s="97">
        <f>Jan!I62+Feb!I62</f>
        <v>-0.36000000000001364</v>
      </c>
      <c r="K62" s="84"/>
      <c r="L62" s="41"/>
      <c r="M62" s="42">
        <v>67.180000000000007</v>
      </c>
      <c r="N62" s="42"/>
    </row>
    <row r="63" spans="1:15" s="54" customFormat="1" ht="13.5">
      <c r="A63" s="60"/>
      <c r="B63" s="54" t="s">
        <v>490</v>
      </c>
      <c r="D63" s="67"/>
      <c r="G63" s="54">
        <f t="shared" si="3"/>
        <v>145.16</v>
      </c>
      <c r="H63" s="54">
        <v>100</v>
      </c>
      <c r="I63" s="63">
        <f t="shared" si="4"/>
        <v>-45.16</v>
      </c>
      <c r="J63" s="97">
        <f>Jan!I63+Feb!I63</f>
        <v>-19.920000000000002</v>
      </c>
      <c r="K63" s="84"/>
      <c r="L63" s="41"/>
      <c r="M63" s="42">
        <v>145.16</v>
      </c>
      <c r="N63" s="42"/>
    </row>
    <row r="64" spans="1:15" s="54" customFormat="1" ht="13.5">
      <c r="A64" s="60"/>
      <c r="I64" s="63"/>
      <c r="J64" s="97"/>
      <c r="K64" s="84"/>
      <c r="L64" s="41"/>
      <c r="M64" s="42"/>
      <c r="N64" s="42"/>
    </row>
    <row r="65" spans="1:15" s="54" customFormat="1" ht="13.5">
      <c r="A65" s="60" t="s">
        <v>486</v>
      </c>
      <c r="B65" s="60">
        <f>SUM(G66:G74)</f>
        <v>194.45000000000002</v>
      </c>
      <c r="C65" s="60">
        <f>SUM(H66:H74)</f>
        <v>300</v>
      </c>
      <c r="D65" s="60">
        <f>C65-B65</f>
        <v>105.54999999999998</v>
      </c>
      <c r="I65" s="63"/>
      <c r="J65" s="97"/>
      <c r="K65" s="84"/>
      <c r="L65" s="41"/>
      <c r="M65" s="42"/>
      <c r="N65" s="42"/>
    </row>
    <row r="66" spans="1:15" s="54" customFormat="1" ht="13.5">
      <c r="B66" s="54" t="s">
        <v>58</v>
      </c>
      <c r="G66" s="54">
        <f t="shared" si="3"/>
        <v>92.22</v>
      </c>
      <c r="H66" s="54">
        <v>60</v>
      </c>
      <c r="I66" s="63">
        <f t="shared" si="4"/>
        <v>-32.22</v>
      </c>
      <c r="J66" s="97">
        <f>Jan!I66+Feb!I66</f>
        <v>-17.600000000000001</v>
      </c>
      <c r="K66" s="84"/>
      <c r="L66" s="41"/>
      <c r="M66" s="42">
        <f>32.73+31.06+28.43</f>
        <v>92.22</v>
      </c>
      <c r="N66" s="42"/>
    </row>
    <row r="67" spans="1:15" s="54" customFormat="1" ht="13.5">
      <c r="B67" s="54" t="s">
        <v>59</v>
      </c>
      <c r="D67" s="54" t="s">
        <v>60</v>
      </c>
      <c r="G67" s="54">
        <f t="shared" si="3"/>
        <v>85</v>
      </c>
      <c r="H67" s="54">
        <v>130</v>
      </c>
      <c r="I67" s="63">
        <f t="shared" si="4"/>
        <v>45</v>
      </c>
      <c r="J67" s="97">
        <f>Jan!I67+Feb!I67</f>
        <v>90</v>
      </c>
      <c r="K67" s="84"/>
      <c r="L67" s="41"/>
      <c r="M67" s="42">
        <f>85</f>
        <v>85</v>
      </c>
      <c r="N67" s="42"/>
    </row>
    <row r="68" spans="1:15" s="54" customFormat="1" ht="13.5">
      <c r="I68" s="63"/>
      <c r="J68" s="97"/>
      <c r="K68" s="84"/>
      <c r="L68" s="41"/>
      <c r="M68" s="42"/>
      <c r="N68" s="42"/>
    </row>
    <row r="69" spans="1:15" s="54" customFormat="1" ht="13.5">
      <c r="A69" s="60" t="s">
        <v>481</v>
      </c>
      <c r="I69" s="63"/>
      <c r="J69" s="97"/>
      <c r="K69" s="84"/>
      <c r="L69" s="41"/>
      <c r="M69" s="42"/>
      <c r="N69" s="42"/>
    </row>
    <row r="70" spans="1:15" s="54" customFormat="1" ht="13.5">
      <c r="B70" s="54" t="s">
        <v>482</v>
      </c>
      <c r="G70" s="54">
        <f t="shared" si="3"/>
        <v>12.83</v>
      </c>
      <c r="H70" s="54">
        <v>25</v>
      </c>
      <c r="I70" s="63">
        <f t="shared" si="4"/>
        <v>12.17</v>
      </c>
      <c r="J70" s="97">
        <f>Jan!I70+Feb!I70</f>
        <v>37.17</v>
      </c>
      <c r="K70" s="84"/>
      <c r="L70" s="41"/>
      <c r="M70" s="42">
        <f>11.84+0.99</f>
        <v>12.83</v>
      </c>
      <c r="N70" s="42"/>
    </row>
    <row r="71" spans="1:15" s="54" customFormat="1" ht="13.5">
      <c r="A71" s="60"/>
      <c r="B71" s="54" t="s">
        <v>483</v>
      </c>
      <c r="G71" s="54">
        <f t="shared" si="3"/>
        <v>0</v>
      </c>
      <c r="H71" s="54">
        <v>30</v>
      </c>
      <c r="I71" s="63">
        <f t="shared" si="4"/>
        <v>30</v>
      </c>
      <c r="J71" s="97">
        <f>Jan!I71+Feb!I71</f>
        <v>-727.49</v>
      </c>
      <c r="K71" s="84"/>
      <c r="L71" s="41"/>
      <c r="M71" s="42"/>
      <c r="N71" s="42"/>
    </row>
    <row r="72" spans="1:15" s="54" customFormat="1" ht="13.5">
      <c r="A72" s="60"/>
      <c r="B72" s="54" t="s">
        <v>488</v>
      </c>
      <c r="G72" s="54">
        <f>SUM(L72:L72)</f>
        <v>0</v>
      </c>
      <c r="H72" s="54">
        <v>20</v>
      </c>
      <c r="I72" s="63">
        <f t="shared" si="4"/>
        <v>20</v>
      </c>
      <c r="J72" s="97">
        <f>Jan!I72+Feb!I72</f>
        <v>40</v>
      </c>
      <c r="K72" s="84"/>
      <c r="L72" s="41"/>
      <c r="M72" s="42">
        <f>13.48+7.95</f>
        <v>21.43</v>
      </c>
      <c r="N72" s="42"/>
      <c r="O72" s="54" t="s">
        <v>657</v>
      </c>
    </row>
    <row r="73" spans="1:15" s="54" customFormat="1" ht="13.5">
      <c r="A73" s="60"/>
      <c r="I73" s="63"/>
      <c r="J73" s="97"/>
      <c r="K73" s="84"/>
      <c r="L73" s="41"/>
      <c r="M73" s="42"/>
      <c r="N73" s="42"/>
    </row>
    <row r="74" spans="1:15" s="54" customFormat="1" ht="13.5">
      <c r="A74" s="60" t="s">
        <v>484</v>
      </c>
      <c r="B74" s="54" t="s">
        <v>61</v>
      </c>
      <c r="G74" s="54">
        <f t="shared" si="3"/>
        <v>4.4000000000000004</v>
      </c>
      <c r="H74" s="54">
        <v>35</v>
      </c>
      <c r="I74" s="63">
        <f t="shared" si="4"/>
        <v>30.6</v>
      </c>
      <c r="J74" s="97">
        <f>Jan!I74+Feb!I74</f>
        <v>57.010000000000005</v>
      </c>
      <c r="K74" s="84"/>
      <c r="L74" s="41"/>
      <c r="M74" s="42">
        <f>4.4</f>
        <v>4.4000000000000004</v>
      </c>
      <c r="N74" s="42"/>
    </row>
    <row r="75" spans="1:15" s="54" customFormat="1" ht="14.25" thickBot="1">
      <c r="A75" s="60"/>
      <c r="I75" s="63"/>
      <c r="J75" s="97"/>
      <c r="K75" s="84"/>
      <c r="L75" s="41"/>
      <c r="M75" s="42"/>
      <c r="N75" s="42"/>
    </row>
    <row r="76" spans="1:15" s="54" customFormat="1" ht="14.25" thickBot="1">
      <c r="A76" s="106" t="s">
        <v>491</v>
      </c>
      <c r="B76" s="151">
        <f>B78+B82+B88+B93+B102+B107+B112+B117+B130+B133+B138+B141</f>
        <v>2663.2400000000002</v>
      </c>
      <c r="C76" s="151">
        <f>C78+C82+C88+C93+C102+C107+C112+C117+C130+C133+C138+C141</f>
        <v>2885</v>
      </c>
      <c r="D76" s="151">
        <f>D78+D82+D88+D93+D102+D107+D112+D117+D130+D133+D138+D141</f>
        <v>221.76000000000002</v>
      </c>
      <c r="I76" s="63"/>
      <c r="J76" s="97"/>
      <c r="K76" s="84"/>
      <c r="L76" s="41"/>
      <c r="M76" s="42"/>
      <c r="N76" s="42"/>
    </row>
    <row r="77" spans="1:15" s="54" customFormat="1" ht="13.5">
      <c r="A77" s="106"/>
      <c r="B77" s="403"/>
      <c r="C77" s="403"/>
      <c r="D77" s="403"/>
      <c r="I77" s="63"/>
      <c r="J77" s="97"/>
      <c r="K77" s="84"/>
      <c r="L77" s="41"/>
      <c r="M77" s="42"/>
      <c r="N77" s="42"/>
    </row>
    <row r="78" spans="1:15" s="54" customFormat="1" ht="13.5">
      <c r="A78" s="60" t="s">
        <v>1012</v>
      </c>
      <c r="B78" s="403">
        <f>SUM(G79:G80)</f>
        <v>0</v>
      </c>
      <c r="C78" s="403">
        <f>SUM(H79:H80)</f>
        <v>0</v>
      </c>
      <c r="D78" s="403">
        <f>SUM(I79:I80)</f>
        <v>0</v>
      </c>
      <c r="I78" s="63"/>
      <c r="J78" s="97"/>
      <c r="K78" s="84"/>
      <c r="L78" s="41"/>
      <c r="M78" s="42"/>
      <c r="N78" s="42"/>
    </row>
    <row r="79" spans="1:15" s="54" customFormat="1" ht="13.5">
      <c r="B79" s="54" t="s">
        <v>1035</v>
      </c>
      <c r="G79" s="54">
        <f>SUM(L79:N79)</f>
        <v>0</v>
      </c>
      <c r="I79" s="63"/>
      <c r="J79" s="97"/>
      <c r="K79" s="84"/>
      <c r="L79" s="41"/>
      <c r="M79" s="42"/>
      <c r="N79" s="42"/>
    </row>
    <row r="80" spans="1:15" s="54" customFormat="1" ht="13.5">
      <c r="A80" s="60"/>
      <c r="B80" s="54" t="s">
        <v>479</v>
      </c>
      <c r="G80" s="54">
        <f>SUM(L80:N80)</f>
        <v>0</v>
      </c>
      <c r="I80" s="63"/>
      <c r="J80" s="97"/>
      <c r="K80" s="84"/>
      <c r="L80" s="41"/>
      <c r="M80" s="42"/>
      <c r="N80" s="42"/>
    </row>
    <row r="81" spans="1:15" s="54" customFormat="1" ht="13.5">
      <c r="I81" s="63"/>
      <c r="J81" s="97"/>
      <c r="K81" s="84"/>
      <c r="L81" s="41"/>
      <c r="M81" s="42"/>
      <c r="N81" s="42"/>
    </row>
    <row r="82" spans="1:15" s="54" customFormat="1" ht="13.5">
      <c r="A82" s="60" t="s">
        <v>42</v>
      </c>
      <c r="B82" s="60">
        <f>SUM(G83:G86)</f>
        <v>200.81</v>
      </c>
      <c r="C82" s="60">
        <f>SUM(H83:H86)</f>
        <v>395</v>
      </c>
      <c r="D82" s="60">
        <f>C82-B82</f>
        <v>194.19</v>
      </c>
      <c r="I82" s="63"/>
      <c r="J82" s="97"/>
      <c r="K82" s="84"/>
      <c r="L82" s="41"/>
      <c r="M82" s="42"/>
      <c r="N82" s="42"/>
    </row>
    <row r="83" spans="1:15" s="54" customFormat="1" ht="13.5">
      <c r="B83" s="54" t="s">
        <v>29</v>
      </c>
      <c r="C83" s="54" t="s">
        <v>30</v>
      </c>
      <c r="G83" s="54">
        <f t="shared" si="3"/>
        <v>143.76</v>
      </c>
      <c r="H83" s="54">
        <v>125</v>
      </c>
      <c r="I83" s="63">
        <f t="shared" si="4"/>
        <v>-18.759999999999991</v>
      </c>
      <c r="J83" s="97">
        <f>Jan!I83+Feb!I83</f>
        <v>-145.41</v>
      </c>
      <c r="K83" s="84"/>
      <c r="L83" s="41">
        <v>143.76</v>
      </c>
      <c r="M83" s="42"/>
      <c r="N83" s="42"/>
    </row>
    <row r="84" spans="1:15" s="54" customFormat="1" ht="13.5">
      <c r="B84" s="54" t="s">
        <v>31</v>
      </c>
      <c r="C84" s="54" t="s">
        <v>32</v>
      </c>
      <c r="G84" s="54">
        <f t="shared" si="3"/>
        <v>57.05</v>
      </c>
      <c r="H84" s="54">
        <v>50</v>
      </c>
      <c r="I84" s="63">
        <f t="shared" si="4"/>
        <v>-7.0499999999999972</v>
      </c>
      <c r="J84" s="97">
        <f>Jan!I84+Feb!I84</f>
        <v>42.95</v>
      </c>
      <c r="K84" s="84"/>
      <c r="L84" s="41">
        <v>57.05</v>
      </c>
      <c r="M84" s="42"/>
      <c r="N84" s="42"/>
    </row>
    <row r="85" spans="1:15" s="54" customFormat="1" ht="13.5">
      <c r="B85" s="54" t="s">
        <v>43</v>
      </c>
      <c r="C85" s="54" t="s">
        <v>44</v>
      </c>
      <c r="D85" s="54" t="s">
        <v>343</v>
      </c>
      <c r="G85" s="54">
        <f t="shared" si="3"/>
        <v>0</v>
      </c>
      <c r="H85" s="54">
        <v>100</v>
      </c>
      <c r="I85" s="63">
        <f t="shared" si="4"/>
        <v>100</v>
      </c>
      <c r="J85" s="97">
        <f>Jan!I85+Feb!I85</f>
        <v>200</v>
      </c>
      <c r="K85" s="84"/>
      <c r="L85" s="41"/>
      <c r="M85" s="42"/>
      <c r="N85" s="42"/>
    </row>
    <row r="86" spans="1:15" s="54" customFormat="1" ht="13.5">
      <c r="B86" s="54" t="s">
        <v>45</v>
      </c>
      <c r="C86" s="54" t="s">
        <v>46</v>
      </c>
      <c r="D86" s="54" t="s">
        <v>493</v>
      </c>
      <c r="G86" s="54">
        <f t="shared" si="3"/>
        <v>0</v>
      </c>
      <c r="H86" s="54">
        <v>120</v>
      </c>
      <c r="I86" s="63">
        <f t="shared" si="4"/>
        <v>120</v>
      </c>
      <c r="J86" s="97">
        <f>Jan!I86+Feb!I86</f>
        <v>240</v>
      </c>
      <c r="K86" s="84"/>
      <c r="L86" s="41"/>
      <c r="M86" s="42"/>
      <c r="N86" s="42"/>
    </row>
    <row r="87" spans="1:15" s="54" customFormat="1" ht="13.5">
      <c r="I87" s="63"/>
      <c r="J87" s="97"/>
      <c r="K87" s="84"/>
      <c r="L87" s="41"/>
      <c r="M87" s="42"/>
      <c r="N87" s="42"/>
    </row>
    <row r="88" spans="1:15" s="54" customFormat="1" ht="13.5">
      <c r="A88" s="60" t="s">
        <v>48</v>
      </c>
      <c r="B88" s="60">
        <f>SUM(G89:G91)</f>
        <v>694</v>
      </c>
      <c r="C88" s="60">
        <f>SUM(H89:H91)</f>
        <v>162</v>
      </c>
      <c r="D88" s="60">
        <f>C88-B88</f>
        <v>-532</v>
      </c>
      <c r="I88" s="63"/>
      <c r="J88" s="97"/>
      <c r="K88" s="84"/>
      <c r="L88" s="41"/>
      <c r="M88" s="42"/>
      <c r="N88" s="42"/>
    </row>
    <row r="89" spans="1:15" s="54" customFormat="1" ht="13.5">
      <c r="B89" s="54" t="s">
        <v>49</v>
      </c>
      <c r="D89" s="54" t="s">
        <v>495</v>
      </c>
      <c r="G89" s="54">
        <f t="shared" si="3"/>
        <v>694</v>
      </c>
      <c r="H89" s="54">
        <v>57.5</v>
      </c>
      <c r="I89" s="63">
        <f t="shared" si="4"/>
        <v>-636.5</v>
      </c>
      <c r="J89" s="97">
        <f>Jan!I89+Feb!I89</f>
        <v>-579</v>
      </c>
      <c r="K89" s="84"/>
      <c r="L89" s="41"/>
      <c r="M89" s="42">
        <v>694</v>
      </c>
      <c r="N89" s="42"/>
    </row>
    <row r="90" spans="1:15" s="54" customFormat="1" ht="13.5">
      <c r="B90" s="54" t="s">
        <v>50</v>
      </c>
      <c r="D90" s="54" t="s">
        <v>494</v>
      </c>
      <c r="G90" s="54">
        <f t="shared" si="3"/>
        <v>0</v>
      </c>
      <c r="H90" s="54">
        <v>68.5</v>
      </c>
      <c r="I90" s="63">
        <f t="shared" si="4"/>
        <v>68.5</v>
      </c>
      <c r="J90" s="97">
        <f>Jan!I90+Feb!I90</f>
        <v>137</v>
      </c>
      <c r="K90" s="84"/>
      <c r="L90" s="41"/>
      <c r="M90" s="42"/>
      <c r="N90" s="42"/>
    </row>
    <row r="91" spans="1:15" s="54" customFormat="1" ht="13.5">
      <c r="B91" s="54" t="s">
        <v>51</v>
      </c>
      <c r="D91" s="54" t="s">
        <v>503</v>
      </c>
      <c r="G91" s="54">
        <f t="shared" si="3"/>
        <v>0</v>
      </c>
      <c r="H91" s="54">
        <v>36</v>
      </c>
      <c r="I91" s="63">
        <f t="shared" si="4"/>
        <v>36</v>
      </c>
      <c r="J91" s="97">
        <f>Jan!I91+Feb!I91</f>
        <v>72</v>
      </c>
      <c r="K91" s="84"/>
      <c r="L91" s="41"/>
      <c r="M91" s="42"/>
      <c r="N91" s="42"/>
    </row>
    <row r="92" spans="1:15" s="54" customFormat="1" ht="13.5">
      <c r="I92" s="63"/>
      <c r="J92" s="97"/>
      <c r="K92" s="84"/>
      <c r="L92" s="41"/>
      <c r="M92" s="42"/>
      <c r="N92" s="42"/>
    </row>
    <row r="93" spans="1:15" s="54" customFormat="1" ht="13.5">
      <c r="A93" s="60" t="s">
        <v>52</v>
      </c>
      <c r="B93" s="60">
        <f>SUM(G94:G100)</f>
        <v>101.03</v>
      </c>
      <c r="C93" s="60">
        <f>SUM(H94:H100)</f>
        <v>178</v>
      </c>
      <c r="D93" s="60">
        <f>C93-B93</f>
        <v>76.97</v>
      </c>
      <c r="I93" s="63"/>
      <c r="J93" s="97"/>
      <c r="K93" s="84"/>
      <c r="L93" s="41"/>
      <c r="M93" s="42"/>
      <c r="N93" s="42"/>
    </row>
    <row r="94" spans="1:15" s="54" customFormat="1" ht="13.5">
      <c r="B94" s="54" t="s">
        <v>496</v>
      </c>
      <c r="G94" s="54">
        <f t="shared" si="3"/>
        <v>67.72</v>
      </c>
      <c r="H94" s="54">
        <v>20</v>
      </c>
      <c r="I94" s="63">
        <f t="shared" si="4"/>
        <v>-47.72</v>
      </c>
      <c r="J94" s="97">
        <f>Jan!I94+Feb!I94</f>
        <v>-33.200000000000003</v>
      </c>
      <c r="K94" s="84"/>
      <c r="L94" s="41"/>
      <c r="M94" s="42">
        <f>39.94+(35.73-7.95)</f>
        <v>67.72</v>
      </c>
      <c r="N94" s="42"/>
      <c r="O94" s="54" t="s">
        <v>656</v>
      </c>
    </row>
    <row r="95" spans="1:15" s="54" customFormat="1" ht="13.5">
      <c r="B95" s="54" t="s">
        <v>497</v>
      </c>
      <c r="G95" s="54">
        <f t="shared" si="3"/>
        <v>0</v>
      </c>
      <c r="H95" s="54">
        <v>5</v>
      </c>
      <c r="I95" s="63">
        <f t="shared" si="4"/>
        <v>5</v>
      </c>
      <c r="J95" s="97">
        <f>Jan!I95+Feb!I95</f>
        <v>-11.43</v>
      </c>
      <c r="K95" s="84"/>
      <c r="L95" s="41"/>
      <c r="M95" s="42"/>
      <c r="N95" s="42"/>
    </row>
    <row r="96" spans="1:15" s="54" customFormat="1" ht="13.5">
      <c r="B96" s="54" t="s">
        <v>325</v>
      </c>
      <c r="G96" s="54">
        <f t="shared" si="3"/>
        <v>33.31</v>
      </c>
      <c r="H96" s="54">
        <v>65</v>
      </c>
      <c r="I96" s="63">
        <f t="shared" si="4"/>
        <v>31.689999999999998</v>
      </c>
      <c r="J96" s="97">
        <f>Jan!I96+Feb!I96</f>
        <v>96.69</v>
      </c>
      <c r="K96" s="84"/>
      <c r="L96" s="41"/>
      <c r="M96" s="42"/>
      <c r="N96" s="42">
        <f>33.31</f>
        <v>33.31</v>
      </c>
      <c r="O96" s="54" t="s">
        <v>650</v>
      </c>
    </row>
    <row r="97" spans="1:15" s="54" customFormat="1" ht="13.5">
      <c r="B97" s="54" t="s">
        <v>280</v>
      </c>
      <c r="G97" s="54">
        <f t="shared" si="3"/>
        <v>0</v>
      </c>
      <c r="H97" s="54">
        <v>15</v>
      </c>
      <c r="I97" s="63">
        <f t="shared" si="4"/>
        <v>15</v>
      </c>
      <c r="J97" s="97">
        <f>Jan!I97+Feb!I97</f>
        <v>30</v>
      </c>
      <c r="K97" s="84"/>
      <c r="L97" s="41"/>
      <c r="M97" s="42"/>
      <c r="N97" s="42"/>
    </row>
    <row r="98" spans="1:15" s="54" customFormat="1" ht="13.5">
      <c r="B98" s="54" t="s">
        <v>321</v>
      </c>
      <c r="G98" s="54">
        <f>SUM(L98:N98)</f>
        <v>0</v>
      </c>
      <c r="H98" s="54">
        <v>35</v>
      </c>
      <c r="I98" s="63">
        <f t="shared" si="4"/>
        <v>35</v>
      </c>
      <c r="J98" s="97">
        <f>Jan!I98+Feb!I98</f>
        <v>70</v>
      </c>
      <c r="K98" s="84"/>
      <c r="L98" s="41"/>
      <c r="M98" s="42"/>
      <c r="N98" s="42"/>
    </row>
    <row r="99" spans="1:15" s="54" customFormat="1" ht="13.5">
      <c r="B99" s="54" t="s">
        <v>498</v>
      </c>
      <c r="G99" s="54">
        <f t="shared" si="3"/>
        <v>0</v>
      </c>
      <c r="H99" s="54">
        <v>26</v>
      </c>
      <c r="I99" s="63">
        <f t="shared" si="4"/>
        <v>26</v>
      </c>
      <c r="J99" s="97">
        <f>Jan!I99+Feb!I99</f>
        <v>52</v>
      </c>
      <c r="K99" s="84"/>
      <c r="L99" s="41"/>
      <c r="M99" s="42"/>
      <c r="N99" s="42"/>
    </row>
    <row r="100" spans="1:15" s="54" customFormat="1" ht="13.5">
      <c r="B100" s="54" t="s">
        <v>499</v>
      </c>
      <c r="G100" s="54">
        <f t="shared" si="3"/>
        <v>0</v>
      </c>
      <c r="H100" s="54">
        <v>12</v>
      </c>
      <c r="I100" s="63">
        <f t="shared" si="4"/>
        <v>12</v>
      </c>
      <c r="J100" s="97">
        <f>Jan!I100+Feb!I100</f>
        <v>24</v>
      </c>
      <c r="K100" s="84"/>
      <c r="L100" s="41"/>
      <c r="M100" s="42"/>
      <c r="N100" s="42"/>
    </row>
    <row r="101" spans="1:15" s="54" customFormat="1" ht="13.5">
      <c r="I101" s="63"/>
      <c r="J101" s="97"/>
      <c r="K101" s="84"/>
      <c r="L101" s="41"/>
      <c r="M101" s="42"/>
      <c r="N101" s="42"/>
    </row>
    <row r="102" spans="1:15" s="54" customFormat="1" ht="13.5">
      <c r="A102" s="60" t="s">
        <v>257</v>
      </c>
      <c r="B102" s="60">
        <f>SUM(G103:G105)</f>
        <v>324.87</v>
      </c>
      <c r="C102" s="60">
        <f>SUM(H103:H105)</f>
        <v>130</v>
      </c>
      <c r="D102" s="60">
        <f>C102-B102</f>
        <v>-194.87</v>
      </c>
      <c r="I102" s="63"/>
      <c r="J102" s="97"/>
      <c r="K102" s="84"/>
      <c r="L102" s="41"/>
      <c r="M102" s="42"/>
      <c r="N102" s="42"/>
    </row>
    <row r="103" spans="1:15" s="54" customFormat="1" ht="13.5">
      <c r="B103" s="54" t="s">
        <v>541</v>
      </c>
      <c r="G103" s="54">
        <f t="shared" si="3"/>
        <v>324.87</v>
      </c>
      <c r="H103" s="54">
        <v>60</v>
      </c>
      <c r="I103" s="63">
        <f t="shared" si="4"/>
        <v>-264.87</v>
      </c>
      <c r="J103" s="97">
        <f>Jan!I103+Feb!I103</f>
        <v>-271.36</v>
      </c>
      <c r="K103" s="84"/>
      <c r="L103" s="41"/>
      <c r="M103" s="42">
        <f>(323.66-6.98+2.36+28.77-22.94)</f>
        <v>324.87</v>
      </c>
      <c r="N103" s="42"/>
      <c r="O103" s="54" t="s">
        <v>651</v>
      </c>
    </row>
    <row r="104" spans="1:15" s="54" customFormat="1" ht="13.5">
      <c r="B104" s="54" t="s">
        <v>500</v>
      </c>
      <c r="G104" s="54">
        <f t="shared" si="3"/>
        <v>0</v>
      </c>
      <c r="H104" s="54">
        <v>60</v>
      </c>
      <c r="I104" s="63">
        <f t="shared" si="4"/>
        <v>60</v>
      </c>
      <c r="J104" s="97">
        <f>Jan!I104+Feb!I104</f>
        <v>82.97</v>
      </c>
      <c r="K104" s="84"/>
      <c r="L104" s="41"/>
      <c r="M104" s="42"/>
      <c r="N104" s="42"/>
    </row>
    <row r="105" spans="1:15" s="54" customFormat="1" ht="13.5">
      <c r="B105" s="54" t="s">
        <v>279</v>
      </c>
      <c r="G105" s="54">
        <f t="shared" si="3"/>
        <v>0</v>
      </c>
      <c r="H105" s="54">
        <v>10</v>
      </c>
      <c r="I105" s="63">
        <f t="shared" si="4"/>
        <v>10</v>
      </c>
      <c r="J105" s="97">
        <f>Jan!I105+Feb!I105</f>
        <v>20</v>
      </c>
      <c r="K105" s="84"/>
      <c r="L105" s="41"/>
      <c r="M105" s="42"/>
      <c r="N105" s="42"/>
    </row>
    <row r="106" spans="1:15" s="54" customFormat="1" ht="13.5">
      <c r="I106" s="63"/>
      <c r="J106" s="97"/>
      <c r="K106" s="84"/>
      <c r="L106" s="41"/>
      <c r="M106" s="42"/>
      <c r="N106" s="42"/>
    </row>
    <row r="107" spans="1:15" s="54" customFormat="1" ht="13.5">
      <c r="A107" s="60" t="s">
        <v>56</v>
      </c>
      <c r="B107" s="60">
        <f>SUM(G108:G110)</f>
        <v>374.52</v>
      </c>
      <c r="C107" s="60">
        <f>SUM(H108:H110)</f>
        <v>225</v>
      </c>
      <c r="D107" s="60">
        <f>C107-B107</f>
        <v>-149.51999999999998</v>
      </c>
      <c r="I107" s="63"/>
      <c r="J107" s="97"/>
      <c r="K107" s="84"/>
      <c r="L107" s="41"/>
      <c r="M107" s="42"/>
      <c r="N107" s="42"/>
    </row>
    <row r="108" spans="1:15" s="54" customFormat="1" ht="13.5">
      <c r="B108" s="54" t="s">
        <v>501</v>
      </c>
      <c r="G108" s="54">
        <f t="shared" si="3"/>
        <v>50</v>
      </c>
      <c r="H108" s="54">
        <v>90</v>
      </c>
      <c r="I108" s="63">
        <f t="shared" si="4"/>
        <v>40</v>
      </c>
      <c r="J108" s="97">
        <f>Jan!I108+Feb!I108</f>
        <v>130</v>
      </c>
      <c r="K108" s="84"/>
      <c r="L108" s="41"/>
      <c r="M108" s="42">
        <v>50</v>
      </c>
      <c r="N108" s="42"/>
      <c r="O108" s="127" t="s">
        <v>601</v>
      </c>
    </row>
    <row r="109" spans="1:15" s="54" customFormat="1" ht="13.5">
      <c r="B109" s="54" t="s">
        <v>57</v>
      </c>
      <c r="G109" s="54">
        <f t="shared" si="3"/>
        <v>233.39999999999998</v>
      </c>
      <c r="H109" s="54">
        <v>25</v>
      </c>
      <c r="I109" s="63">
        <f t="shared" si="4"/>
        <v>-208.39999999999998</v>
      </c>
      <c r="J109" s="97">
        <f>Jan!I109+Feb!I109</f>
        <v>-183.39999999999998</v>
      </c>
      <c r="K109" s="84"/>
      <c r="L109" s="41">
        <f>(51+43.2)+(84+55.2)</f>
        <v>233.39999999999998</v>
      </c>
      <c r="M109" s="42"/>
      <c r="N109" s="42"/>
    </row>
    <row r="110" spans="1:15" s="54" customFormat="1" ht="13.5">
      <c r="B110" s="56" t="s">
        <v>502</v>
      </c>
      <c r="G110" s="54">
        <f t="shared" si="3"/>
        <v>91.12</v>
      </c>
      <c r="H110" s="54">
        <v>110</v>
      </c>
      <c r="I110" s="63">
        <f t="shared" si="4"/>
        <v>18.879999999999995</v>
      </c>
      <c r="J110" s="97">
        <f>Jan!I110+Feb!I110</f>
        <v>76.199999999999989</v>
      </c>
      <c r="K110" s="84"/>
      <c r="L110" s="41"/>
      <c r="M110" s="42">
        <f>55.06+36.06</f>
        <v>91.12</v>
      </c>
      <c r="N110" s="42"/>
    </row>
    <row r="111" spans="1:15" s="54" customFormat="1" ht="13.5">
      <c r="I111" s="63"/>
      <c r="J111" s="97"/>
      <c r="K111" s="84"/>
      <c r="L111" s="41"/>
      <c r="M111" s="42"/>
      <c r="N111" s="42"/>
    </row>
    <row r="112" spans="1:15" s="54" customFormat="1" ht="13.5">
      <c r="A112" s="60" t="s">
        <v>62</v>
      </c>
      <c r="B112" s="60">
        <f>SUM(G113:G115)</f>
        <v>173.96</v>
      </c>
      <c r="C112" s="60">
        <f>SUM(H113:H115)</f>
        <v>415</v>
      </c>
      <c r="D112" s="60">
        <f>C112-B112</f>
        <v>241.04</v>
      </c>
      <c r="I112" s="63"/>
      <c r="J112" s="97"/>
      <c r="K112" s="84"/>
      <c r="L112" s="41"/>
      <c r="M112" s="42"/>
      <c r="N112" s="42"/>
    </row>
    <row r="113" spans="1:15" s="54" customFormat="1" ht="13.5">
      <c r="B113" s="54" t="s">
        <v>543</v>
      </c>
      <c r="D113" s="54" t="s">
        <v>63</v>
      </c>
      <c r="G113" s="54">
        <f t="shared" si="3"/>
        <v>0</v>
      </c>
      <c r="H113" s="54">
        <v>150</v>
      </c>
      <c r="I113" s="63">
        <f t="shared" si="4"/>
        <v>150</v>
      </c>
      <c r="J113" s="97">
        <f>Jan!I113+Feb!I113</f>
        <v>300</v>
      </c>
      <c r="K113" s="84"/>
      <c r="L113" s="41"/>
      <c r="M113" s="42"/>
      <c r="N113" s="42"/>
    </row>
    <row r="114" spans="1:15" s="54" customFormat="1" ht="13.5">
      <c r="A114" s="60"/>
      <c r="B114" s="54" t="s">
        <v>542</v>
      </c>
      <c r="G114" s="54">
        <f t="shared" si="3"/>
        <v>160</v>
      </c>
      <c r="H114" s="54">
        <v>215</v>
      </c>
      <c r="I114" s="63">
        <f t="shared" si="4"/>
        <v>55</v>
      </c>
      <c r="J114" s="97">
        <f>Jan!I114+Feb!I114</f>
        <v>110</v>
      </c>
      <c r="K114" s="84"/>
      <c r="L114" s="41">
        <v>160</v>
      </c>
      <c r="M114" s="41"/>
      <c r="N114" s="41"/>
    </row>
    <row r="115" spans="1:15" s="54" customFormat="1" ht="13.5">
      <c r="A115" s="60"/>
      <c r="B115" s="54" t="s">
        <v>526</v>
      </c>
      <c r="G115" s="54">
        <f t="shared" si="3"/>
        <v>13.96</v>
      </c>
      <c r="H115" s="54">
        <v>50</v>
      </c>
      <c r="I115" s="63">
        <f t="shared" si="4"/>
        <v>36.04</v>
      </c>
      <c r="J115" s="97">
        <f>Jan!I115+Feb!I115</f>
        <v>86.039999999999992</v>
      </c>
      <c r="K115" s="84"/>
      <c r="L115" s="41"/>
      <c r="M115" s="42">
        <f>2.99+10.97</f>
        <v>13.96</v>
      </c>
      <c r="N115" s="42"/>
      <c r="O115" s="54" t="s">
        <v>649</v>
      </c>
    </row>
    <row r="116" spans="1:15" s="54" customFormat="1" ht="13.5">
      <c r="A116" s="60"/>
      <c r="I116" s="63"/>
      <c r="J116" s="97"/>
      <c r="K116" s="84"/>
      <c r="L116" s="41"/>
      <c r="M116" s="42"/>
      <c r="N116" s="42"/>
    </row>
    <row r="117" spans="1:15" s="54" customFormat="1" ht="13.5">
      <c r="A117" s="60" t="s">
        <v>53</v>
      </c>
      <c r="B117" s="60">
        <f>SUM(G118:G128)</f>
        <v>571.32999999999993</v>
      </c>
      <c r="C117" s="60">
        <f>SUM(H118:H128)</f>
        <v>750</v>
      </c>
      <c r="D117" s="60">
        <f>C117-B117</f>
        <v>178.67000000000007</v>
      </c>
      <c r="I117" s="63"/>
      <c r="J117" s="97"/>
      <c r="K117" s="84"/>
      <c r="L117" s="41"/>
      <c r="M117" s="42"/>
      <c r="N117" s="42"/>
    </row>
    <row r="118" spans="1:15" s="54" customFormat="1" ht="13.5">
      <c r="B118" s="54" t="s">
        <v>54</v>
      </c>
      <c r="G118" s="54">
        <f t="shared" si="3"/>
        <v>100</v>
      </c>
      <c r="H118" s="54">
        <v>100</v>
      </c>
      <c r="I118" s="63">
        <f t="shared" si="4"/>
        <v>0</v>
      </c>
      <c r="J118" s="97">
        <f>Jan!I118+Feb!I118</f>
        <v>100</v>
      </c>
      <c r="K118" s="84"/>
      <c r="L118" s="41">
        <v>100</v>
      </c>
      <c r="M118" s="42"/>
      <c r="N118" s="42"/>
      <c r="O118" s="54" t="s">
        <v>636</v>
      </c>
    </row>
    <row r="119" spans="1:15" s="54" customFormat="1" ht="14.25" thickBot="1">
      <c r="B119" s="54" t="s">
        <v>511</v>
      </c>
      <c r="G119" s="54">
        <f t="shared" si="3"/>
        <v>315.73</v>
      </c>
      <c r="H119" s="54">
        <v>500</v>
      </c>
      <c r="I119" s="63">
        <f t="shared" si="4"/>
        <v>184.26999999999998</v>
      </c>
      <c r="J119" s="97">
        <f>Jan!I119+Feb!I119</f>
        <v>213.80999999999995</v>
      </c>
      <c r="K119" s="84"/>
      <c r="L119" s="41">
        <v>100</v>
      </c>
      <c r="M119" s="42">
        <f>7.85+16.97</f>
        <v>24.82</v>
      </c>
      <c r="N119" s="42">
        <f>75.28+34.6+81.03</f>
        <v>190.91</v>
      </c>
      <c r="O119" s="54" t="s">
        <v>634</v>
      </c>
    </row>
    <row r="120" spans="1:15" s="54" customFormat="1" ht="14.25" thickBot="1">
      <c r="C120" s="54" t="s">
        <v>504</v>
      </c>
      <c r="E120" s="95">
        <v>18.82</v>
      </c>
      <c r="I120" s="63"/>
      <c r="J120" s="97"/>
      <c r="K120" s="84"/>
      <c r="L120" s="41"/>
      <c r="M120" s="42"/>
      <c r="N120" s="42"/>
    </row>
    <row r="121" spans="1:15" s="54" customFormat="1" ht="14.25" thickBot="1">
      <c r="C121" s="54" t="s">
        <v>505</v>
      </c>
      <c r="E121" s="95"/>
      <c r="I121" s="63"/>
      <c r="J121" s="97"/>
      <c r="K121" s="84"/>
      <c r="L121" s="41"/>
      <c r="M121" s="42"/>
      <c r="N121" s="42"/>
    </row>
    <row r="122" spans="1:15" s="54" customFormat="1" ht="13.5">
      <c r="B122" s="54" t="s">
        <v>322</v>
      </c>
      <c r="G122" s="54">
        <f>SUM(L122:N122)</f>
        <v>20.34</v>
      </c>
      <c r="H122" s="54">
        <v>40</v>
      </c>
      <c r="I122" s="63">
        <f t="shared" si="4"/>
        <v>19.66</v>
      </c>
      <c r="J122" s="97">
        <f>Jan!I122+Feb!I122</f>
        <v>-14.269999999999978</v>
      </c>
      <c r="K122" s="84"/>
      <c r="L122" s="41"/>
      <c r="M122" s="42"/>
      <c r="N122" s="42">
        <v>20.34</v>
      </c>
    </row>
    <row r="123" spans="1:15" s="54" customFormat="1" ht="14.25" thickBot="1">
      <c r="B123" s="54" t="s">
        <v>55</v>
      </c>
      <c r="G123" s="54">
        <f>SUM(L123:N123)</f>
        <v>83.32</v>
      </c>
      <c r="H123" s="54">
        <v>100</v>
      </c>
      <c r="I123" s="63">
        <f t="shared" si="4"/>
        <v>16.680000000000007</v>
      </c>
      <c r="J123" s="97">
        <f>Jan!I123+Feb!I123</f>
        <v>116.68</v>
      </c>
      <c r="K123" s="84"/>
      <c r="L123" s="41"/>
      <c r="M123" s="42">
        <f>66.32</f>
        <v>66.319999999999993</v>
      </c>
      <c r="N123" s="42">
        <v>17</v>
      </c>
      <c r="O123" s="54" t="s">
        <v>639</v>
      </c>
    </row>
    <row r="124" spans="1:15" s="54" customFormat="1" ht="14.25" thickBot="1">
      <c r="C124" s="273" t="s">
        <v>506</v>
      </c>
      <c r="D124" s="274"/>
      <c r="E124" s="95">
        <f>Jan!F136+Feb!F137+Mar!F137+Apr!F137+May!F137+Jun!F137+July!F137+Aug!F137+Sep!F137+Oct!F137+Nov!F137+Dec!F137</f>
        <v>0</v>
      </c>
      <c r="I124" s="63"/>
      <c r="J124" s="97"/>
      <c r="K124" s="84"/>
      <c r="L124" s="41"/>
      <c r="M124" s="41"/>
      <c r="N124" s="42"/>
    </row>
    <row r="125" spans="1:15" s="54" customFormat="1" ht="14.25" thickBot="1">
      <c r="C125" s="273" t="s">
        <v>507</v>
      </c>
      <c r="D125" s="274"/>
      <c r="E125" s="95">
        <f>12.34+14.52</f>
        <v>26.86</v>
      </c>
      <c r="I125" s="63"/>
      <c r="J125" s="97"/>
      <c r="K125" s="84"/>
      <c r="L125" s="41"/>
      <c r="M125" s="41"/>
      <c r="N125" s="42"/>
    </row>
    <row r="126" spans="1:15" s="54" customFormat="1" ht="14.25" thickBot="1">
      <c r="C126" s="273" t="s">
        <v>508</v>
      </c>
      <c r="D126" s="274"/>
      <c r="E126" s="95">
        <f>18.15+7</f>
        <v>25.15</v>
      </c>
      <c r="I126" s="63"/>
      <c r="J126" s="97"/>
      <c r="K126" s="84"/>
      <c r="L126" s="41"/>
      <c r="M126" s="41"/>
      <c r="N126" s="42"/>
    </row>
    <row r="127" spans="1:15" s="54" customFormat="1" ht="14.25" thickBot="1">
      <c r="C127" s="273" t="s">
        <v>509</v>
      </c>
      <c r="D127" s="274"/>
      <c r="E127" s="95">
        <f>9.14+5.65+6.52+5+5</f>
        <v>31.310000000000002</v>
      </c>
      <c r="I127" s="63"/>
      <c r="J127" s="97"/>
      <c r="K127" s="84"/>
      <c r="L127" s="41"/>
      <c r="M127" s="41"/>
      <c r="N127" s="42"/>
    </row>
    <row r="128" spans="1:15" s="54" customFormat="1" ht="13.5">
      <c r="B128" s="54" t="s">
        <v>510</v>
      </c>
      <c r="G128" s="54">
        <f t="shared" ref="G128:G143" si="5">SUM(L128:N128)</f>
        <v>51.94</v>
      </c>
      <c r="H128" s="54">
        <v>10</v>
      </c>
      <c r="I128" s="63">
        <f t="shared" ref="I128:I143" si="6">H128-G128</f>
        <v>-41.94</v>
      </c>
      <c r="J128" s="97">
        <f>Jan!I128+Feb!I128</f>
        <v>-65.78</v>
      </c>
      <c r="K128" s="84"/>
      <c r="L128" s="41"/>
      <c r="M128" s="41">
        <v>51.94</v>
      </c>
      <c r="N128" s="42"/>
    </row>
    <row r="129" spans="1:15" s="54" customFormat="1" ht="13.5">
      <c r="I129" s="63"/>
      <c r="J129" s="97"/>
      <c r="K129" s="84"/>
      <c r="L129" s="41"/>
      <c r="M129" s="41"/>
      <c r="N129" s="42"/>
    </row>
    <row r="130" spans="1:15" s="54" customFormat="1" ht="13.5">
      <c r="A130" s="60" t="s">
        <v>68</v>
      </c>
      <c r="B130" s="60">
        <f>G131</f>
        <v>197.03</v>
      </c>
      <c r="C130" s="60">
        <f>H131</f>
        <v>140</v>
      </c>
      <c r="D130" s="60">
        <f>I131</f>
        <v>-57.03</v>
      </c>
      <c r="I130" s="63"/>
      <c r="J130" s="97"/>
      <c r="K130" s="84"/>
      <c r="L130" s="41"/>
      <c r="M130" s="41"/>
      <c r="N130" s="42"/>
    </row>
    <row r="131" spans="1:15" s="54" customFormat="1" ht="13.5">
      <c r="B131" s="54" t="s">
        <v>69</v>
      </c>
      <c r="G131" s="54">
        <f t="shared" si="5"/>
        <v>197.03</v>
      </c>
      <c r="H131" s="54">
        <v>140</v>
      </c>
      <c r="I131" s="63">
        <f t="shared" si="6"/>
        <v>-57.03</v>
      </c>
      <c r="J131" s="97">
        <f>Jan!I131+Feb!I131</f>
        <v>82.97</v>
      </c>
      <c r="K131" s="84"/>
      <c r="L131" s="41"/>
      <c r="M131" s="41">
        <v>124</v>
      </c>
      <c r="N131" s="42">
        <f>(135.49-17-20.34-33.31)-44.65+52.84</f>
        <v>73.03</v>
      </c>
      <c r="O131" s="54" t="s">
        <v>609</v>
      </c>
    </row>
    <row r="132" spans="1:15" s="54" customFormat="1" ht="13.5">
      <c r="I132" s="63"/>
      <c r="J132" s="97"/>
      <c r="K132" s="84"/>
      <c r="L132" s="41"/>
      <c r="M132" s="41"/>
      <c r="N132" s="42"/>
    </row>
    <row r="133" spans="1:15" s="54" customFormat="1" ht="13.5">
      <c r="A133" s="60" t="s">
        <v>292</v>
      </c>
      <c r="B133" s="60">
        <f>SUM(G134:G136)</f>
        <v>25.69</v>
      </c>
      <c r="C133" s="60">
        <f>SUM(H134:H136)</f>
        <v>230</v>
      </c>
      <c r="D133" s="60">
        <f>C133-B133</f>
        <v>204.31</v>
      </c>
      <c r="I133" s="63"/>
      <c r="J133" s="97"/>
      <c r="K133" s="84"/>
      <c r="L133" s="41"/>
      <c r="M133" s="41"/>
      <c r="N133" s="42"/>
    </row>
    <row r="134" spans="1:15" s="54" customFormat="1" ht="13.5">
      <c r="B134" s="54" t="s">
        <v>287</v>
      </c>
      <c r="G134" s="54">
        <f t="shared" si="5"/>
        <v>25.69</v>
      </c>
      <c r="H134" s="54">
        <v>100</v>
      </c>
      <c r="I134" s="63">
        <f t="shared" si="6"/>
        <v>74.31</v>
      </c>
      <c r="J134" s="97">
        <f>Jan!I134+Feb!I134</f>
        <v>117.63</v>
      </c>
      <c r="K134" s="84"/>
      <c r="L134" s="41"/>
      <c r="M134" s="41">
        <f>25.69</f>
        <v>25.69</v>
      </c>
      <c r="N134" s="42"/>
    </row>
    <row r="135" spans="1:15" s="54" customFormat="1" ht="13.5">
      <c r="B135" s="54" t="s">
        <v>512</v>
      </c>
      <c r="G135" s="54">
        <f t="shared" si="5"/>
        <v>0</v>
      </c>
      <c r="H135" s="54">
        <v>100</v>
      </c>
      <c r="I135" s="63">
        <f t="shared" si="6"/>
        <v>100</v>
      </c>
      <c r="J135" s="97">
        <f>Jan!I135+Feb!I135</f>
        <v>200</v>
      </c>
      <c r="K135" s="84"/>
      <c r="L135" s="41"/>
      <c r="M135" s="41"/>
      <c r="N135" s="42"/>
    </row>
    <row r="136" spans="1:15" s="54" customFormat="1" ht="13.5">
      <c r="B136" s="54" t="s">
        <v>513</v>
      </c>
      <c r="G136" s="54">
        <f t="shared" si="5"/>
        <v>0</v>
      </c>
      <c r="H136" s="54">
        <v>30</v>
      </c>
      <c r="I136" s="63">
        <f t="shared" si="6"/>
        <v>30</v>
      </c>
      <c r="J136" s="97">
        <f>Jan!I136+Feb!I136</f>
        <v>60</v>
      </c>
      <c r="K136" s="84"/>
      <c r="L136" s="41"/>
      <c r="M136" s="41"/>
      <c r="N136" s="42"/>
    </row>
    <row r="137" spans="1:15" s="54" customFormat="1" ht="13.5">
      <c r="I137" s="63"/>
      <c r="J137" s="97"/>
      <c r="K137" s="84"/>
      <c r="L137" s="41"/>
      <c r="M137" s="41"/>
      <c r="N137" s="42"/>
    </row>
    <row r="138" spans="1:15" s="54" customFormat="1" ht="13.5">
      <c r="A138" s="60" t="s">
        <v>70</v>
      </c>
      <c r="B138" s="60">
        <f>G139</f>
        <v>0</v>
      </c>
      <c r="C138" s="60">
        <f>H139</f>
        <v>10</v>
      </c>
      <c r="D138" s="60">
        <f>C138-B138</f>
        <v>10</v>
      </c>
      <c r="I138" s="63"/>
      <c r="J138" s="97"/>
      <c r="K138" s="84"/>
      <c r="L138" s="41"/>
      <c r="M138" s="41"/>
      <c r="N138" s="42"/>
    </row>
    <row r="139" spans="1:15" s="54" customFormat="1" ht="13.5">
      <c r="B139" s="54" t="s">
        <v>71</v>
      </c>
      <c r="G139" s="54">
        <f t="shared" si="5"/>
        <v>0</v>
      </c>
      <c r="H139" s="54">
        <v>10</v>
      </c>
      <c r="I139" s="63">
        <f t="shared" si="6"/>
        <v>10</v>
      </c>
      <c r="J139" s="97">
        <f>Jan!I139+Feb!I139</f>
        <v>20</v>
      </c>
      <c r="K139" s="84"/>
      <c r="L139" s="41"/>
      <c r="M139" s="41"/>
      <c r="N139" s="42"/>
    </row>
    <row r="140" spans="1:15" s="54" customFormat="1" ht="13.5">
      <c r="I140" s="63"/>
      <c r="J140" s="97"/>
      <c r="K140" s="84"/>
      <c r="L140" s="41"/>
      <c r="M140" s="41"/>
      <c r="N140" s="42"/>
    </row>
    <row r="141" spans="1:15" s="54" customFormat="1" ht="13.5">
      <c r="A141" s="60" t="s">
        <v>290</v>
      </c>
      <c r="B141" s="60">
        <f>SUM(G142:G143)</f>
        <v>0</v>
      </c>
      <c r="C141" s="60">
        <f>SUM(H142:H143)</f>
        <v>250</v>
      </c>
      <c r="D141" s="60">
        <f>C141-B141</f>
        <v>250</v>
      </c>
      <c r="I141" s="63"/>
      <c r="J141" s="97"/>
      <c r="K141" s="84"/>
      <c r="L141" s="41"/>
      <c r="M141" s="41"/>
      <c r="N141" s="42"/>
    </row>
    <row r="142" spans="1:15" s="54" customFormat="1" ht="13.5">
      <c r="B142" s="54" t="s">
        <v>66</v>
      </c>
      <c r="G142" s="54">
        <f t="shared" si="5"/>
        <v>0</v>
      </c>
      <c r="H142" s="54">
        <v>150</v>
      </c>
      <c r="I142" s="63">
        <f t="shared" si="6"/>
        <v>150</v>
      </c>
      <c r="J142" s="97">
        <f>Jan!I142+Feb!I142</f>
        <v>300</v>
      </c>
      <c r="K142" s="84"/>
      <c r="L142" s="41"/>
      <c r="M142" s="41"/>
      <c r="N142" s="42"/>
    </row>
    <row r="143" spans="1:15" s="54" customFormat="1" ht="13.5">
      <c r="B143" s="54" t="s">
        <v>67</v>
      </c>
      <c r="D143" s="54" t="s">
        <v>291</v>
      </c>
      <c r="G143" s="54">
        <f t="shared" si="5"/>
        <v>0</v>
      </c>
      <c r="H143" s="54">
        <v>100</v>
      </c>
      <c r="I143" s="63">
        <f t="shared" si="6"/>
        <v>100</v>
      </c>
      <c r="J143" s="97">
        <f>Jan!I143+Feb!I143</f>
        <v>184.66</v>
      </c>
      <c r="K143" s="89"/>
      <c r="L143" s="41"/>
      <c r="M143" s="41"/>
      <c r="N143" s="42"/>
    </row>
    <row r="144" spans="1:15" s="54" customFormat="1" ht="13.5">
      <c r="I144" s="63"/>
      <c r="J144" s="97"/>
      <c r="K144" s="89"/>
      <c r="L144" s="41"/>
      <c r="M144" s="41"/>
      <c r="N144" s="42"/>
    </row>
    <row r="145" spans="1:14" ht="13.5">
      <c r="A145" s="54"/>
      <c r="B145" s="54"/>
      <c r="C145" s="54"/>
      <c r="D145" s="54"/>
      <c r="E145" s="54"/>
      <c r="F145" s="54"/>
      <c r="G145" s="54"/>
      <c r="H145" s="54"/>
      <c r="I145" s="63"/>
      <c r="J145" s="97"/>
      <c r="L145" s="41"/>
      <c r="M145" s="41"/>
      <c r="N145" s="42"/>
    </row>
    <row r="146" spans="1:14" ht="13.5">
      <c r="A146" s="60" t="s">
        <v>517</v>
      </c>
      <c r="B146" s="54"/>
      <c r="C146" s="54"/>
      <c r="D146" s="54"/>
      <c r="E146" s="54"/>
      <c r="F146" s="54"/>
      <c r="G146" s="54"/>
      <c r="H146" s="54"/>
      <c r="I146" s="63"/>
      <c r="J146" s="97"/>
      <c r="L146" s="41"/>
      <c r="M146" s="41"/>
      <c r="N146" s="42"/>
    </row>
    <row r="147" spans="1:14" ht="13.5">
      <c r="A147" s="54"/>
      <c r="B147" s="54">
        <f>SUM(G148:G162)</f>
        <v>0</v>
      </c>
      <c r="C147" s="54">
        <f>SUM(H148:H162)</f>
        <v>410</v>
      </c>
      <c r="D147" s="60">
        <f>C147-B147</f>
        <v>410</v>
      </c>
      <c r="E147" s="54"/>
      <c r="F147" s="54"/>
      <c r="G147" s="54"/>
      <c r="H147" s="54"/>
      <c r="I147" s="63"/>
      <c r="J147" s="97"/>
      <c r="L147" s="41"/>
      <c r="M147" s="41"/>
      <c r="N147" s="42"/>
    </row>
    <row r="148" spans="1:14" ht="13.5">
      <c r="A148" s="60" t="s">
        <v>519</v>
      </c>
      <c r="B148" s="54"/>
      <c r="C148" s="54"/>
      <c r="D148" s="54"/>
      <c r="E148" s="54"/>
      <c r="F148" s="54"/>
      <c r="G148" s="54"/>
      <c r="H148" s="54"/>
      <c r="I148" s="63"/>
      <c r="J148" s="97"/>
      <c r="L148" s="41"/>
      <c r="M148" s="41"/>
      <c r="N148" s="42"/>
    </row>
    <row r="149" spans="1:14" ht="14.25" thickBot="1">
      <c r="A149" s="54"/>
      <c r="B149" s="54" t="s">
        <v>288</v>
      </c>
      <c r="C149" s="54"/>
      <c r="D149" s="54"/>
      <c r="E149" s="54"/>
      <c r="F149" s="54"/>
      <c r="G149" s="54">
        <f t="shared" ref="G149:G162" si="7">SUM(L149:N149)</f>
        <v>0</v>
      </c>
      <c r="H149" s="54">
        <v>100</v>
      </c>
      <c r="I149" s="63">
        <f t="shared" ref="I149:I162" si="8">H149-G149</f>
        <v>100</v>
      </c>
      <c r="J149" s="97">
        <f>Jan!I149+Feb!I149</f>
        <v>121.59</v>
      </c>
      <c r="L149" s="41"/>
      <c r="M149" s="41"/>
      <c r="N149" s="42"/>
    </row>
    <row r="150" spans="1:14" ht="14.25" thickBot="1">
      <c r="A150" s="95">
        <f>SUM(G149:G153)</f>
        <v>0</v>
      </c>
      <c r="B150" s="54" t="s">
        <v>289</v>
      </c>
      <c r="C150" s="54"/>
      <c r="D150" s="54"/>
      <c r="E150" s="54"/>
      <c r="F150" s="54"/>
      <c r="G150" s="54">
        <f t="shared" si="7"/>
        <v>0</v>
      </c>
      <c r="H150" s="54">
        <v>100</v>
      </c>
      <c r="I150" s="63">
        <f t="shared" si="8"/>
        <v>100</v>
      </c>
      <c r="J150" s="97">
        <f>Jan!I150+Feb!I150</f>
        <v>92.56</v>
      </c>
      <c r="L150" s="41"/>
      <c r="M150" s="41"/>
      <c r="N150" s="42"/>
    </row>
    <row r="151" spans="1:14" ht="13.5">
      <c r="A151" s="54"/>
      <c r="B151" s="54" t="s">
        <v>64</v>
      </c>
      <c r="C151" s="54"/>
      <c r="D151" s="54"/>
      <c r="E151" s="54"/>
      <c r="F151" s="54"/>
      <c r="G151" s="54">
        <f t="shared" si="7"/>
        <v>0</v>
      </c>
      <c r="H151" s="54">
        <v>30</v>
      </c>
      <c r="I151" s="63">
        <f t="shared" si="8"/>
        <v>30</v>
      </c>
      <c r="J151" s="97">
        <f>Jan!I151+Feb!I151</f>
        <v>60</v>
      </c>
      <c r="L151" s="41"/>
      <c r="M151" s="41"/>
      <c r="N151" s="42"/>
    </row>
    <row r="152" spans="1:14" ht="13.5">
      <c r="A152" s="54"/>
      <c r="B152" s="54" t="s">
        <v>65</v>
      </c>
      <c r="C152" s="54"/>
      <c r="D152" s="54"/>
      <c r="E152" s="54"/>
      <c r="F152" s="54"/>
      <c r="G152" s="54">
        <f t="shared" si="7"/>
        <v>0</v>
      </c>
      <c r="H152" s="54">
        <v>50</v>
      </c>
      <c r="I152" s="63">
        <f t="shared" si="8"/>
        <v>50</v>
      </c>
      <c r="J152" s="97">
        <f>Jan!I152+Feb!I152</f>
        <v>100</v>
      </c>
      <c r="L152" s="41"/>
      <c r="M152" s="41"/>
      <c r="N152" s="42"/>
    </row>
    <row r="153" spans="1:14" ht="13.5">
      <c r="A153" s="54"/>
      <c r="B153" s="54" t="s">
        <v>545</v>
      </c>
      <c r="C153" s="54"/>
      <c r="D153" s="54"/>
      <c r="E153" s="54"/>
      <c r="F153" s="54"/>
      <c r="G153" s="54">
        <f t="shared" si="7"/>
        <v>0</v>
      </c>
      <c r="H153" s="54">
        <v>10</v>
      </c>
      <c r="I153" s="63">
        <f t="shared" si="8"/>
        <v>10</v>
      </c>
      <c r="J153" s="97">
        <f>Jan!I153+Feb!I153</f>
        <v>20</v>
      </c>
      <c r="L153" s="41"/>
      <c r="M153" s="41"/>
      <c r="N153" s="42"/>
    </row>
    <row r="154" spans="1:14" ht="13.5">
      <c r="A154" s="54"/>
      <c r="B154" s="54"/>
      <c r="C154" s="54"/>
      <c r="D154" s="54"/>
      <c r="E154" s="54"/>
      <c r="F154" s="54"/>
      <c r="G154" s="54"/>
      <c r="H154" s="54"/>
      <c r="I154" s="63"/>
      <c r="J154" s="97"/>
      <c r="L154" s="41"/>
      <c r="M154" s="41"/>
      <c r="N154" s="42"/>
    </row>
    <row r="155" spans="1:14" ht="13.5">
      <c r="A155" s="60" t="s">
        <v>518</v>
      </c>
      <c r="B155" s="54"/>
      <c r="C155" s="54"/>
      <c r="D155" s="54"/>
      <c r="E155" s="54"/>
      <c r="F155" s="54"/>
      <c r="G155" s="54"/>
      <c r="H155" s="54"/>
      <c r="I155" s="63"/>
      <c r="J155" s="97"/>
      <c r="L155" s="41"/>
      <c r="M155" s="41"/>
      <c r="N155" s="42"/>
    </row>
    <row r="156" spans="1:14" ht="14.25" thickBot="1">
      <c r="A156" s="54"/>
      <c r="B156" s="54" t="s">
        <v>514</v>
      </c>
      <c r="C156" s="54"/>
      <c r="D156" s="54"/>
      <c r="E156" s="54"/>
      <c r="F156" s="54"/>
      <c r="G156" s="54">
        <f t="shared" si="7"/>
        <v>0</v>
      </c>
      <c r="H156" s="54">
        <v>0</v>
      </c>
      <c r="I156" s="63">
        <f t="shared" si="8"/>
        <v>0</v>
      </c>
      <c r="J156" s="97">
        <f>Jan!I156+Feb!I156</f>
        <v>0</v>
      </c>
      <c r="L156" s="41"/>
      <c r="M156" s="41"/>
      <c r="N156" s="42"/>
    </row>
    <row r="157" spans="1:14" ht="14.25" thickBot="1">
      <c r="A157" s="95">
        <f>SUM(G156:G160)</f>
        <v>0</v>
      </c>
      <c r="B157" s="54" t="s">
        <v>515</v>
      </c>
      <c r="C157" s="54"/>
      <c r="D157" s="54"/>
      <c r="E157" s="54"/>
      <c r="F157" s="54"/>
      <c r="G157" s="54">
        <f t="shared" si="7"/>
        <v>0</v>
      </c>
      <c r="H157" s="54">
        <v>0</v>
      </c>
      <c r="I157" s="63">
        <f t="shared" si="8"/>
        <v>0</v>
      </c>
      <c r="J157" s="97">
        <f>Jan!I157+Feb!I157</f>
        <v>0</v>
      </c>
      <c r="L157" s="41"/>
      <c r="M157" s="41"/>
      <c r="N157" s="42"/>
    </row>
    <row r="158" spans="1:14" ht="13.5">
      <c r="A158" s="54"/>
      <c r="B158" s="54" t="s">
        <v>520</v>
      </c>
      <c r="C158" s="54"/>
      <c r="D158" s="54"/>
      <c r="E158" s="54"/>
      <c r="F158" s="54"/>
      <c r="G158" s="54">
        <f t="shared" si="7"/>
        <v>0</v>
      </c>
      <c r="H158" s="54">
        <v>0</v>
      </c>
      <c r="I158" s="63">
        <f t="shared" si="8"/>
        <v>0</v>
      </c>
      <c r="J158" s="97">
        <f>Jan!I158+Feb!I158</f>
        <v>0</v>
      </c>
      <c r="L158" s="41"/>
      <c r="M158" s="41"/>
      <c r="N158" s="42"/>
    </row>
    <row r="159" spans="1:14" ht="13.5">
      <c r="A159" s="54"/>
      <c r="B159" s="54" t="s">
        <v>516</v>
      </c>
      <c r="C159" s="54"/>
      <c r="D159" s="54"/>
      <c r="E159" s="54"/>
      <c r="F159" s="54"/>
      <c r="G159" s="54">
        <f t="shared" si="7"/>
        <v>0</v>
      </c>
      <c r="H159" s="54">
        <v>0</v>
      </c>
      <c r="I159" s="63">
        <f t="shared" si="8"/>
        <v>0</v>
      </c>
      <c r="J159" s="97">
        <f>Jan!I159+Feb!I159</f>
        <v>0</v>
      </c>
      <c r="L159" s="41"/>
      <c r="M159" s="41"/>
      <c r="N159" s="42"/>
    </row>
    <row r="160" spans="1:14" ht="13.5">
      <c r="A160" s="54"/>
      <c r="B160" s="54" t="s">
        <v>544</v>
      </c>
      <c r="C160" s="54"/>
      <c r="D160" s="54"/>
      <c r="E160" s="54"/>
      <c r="F160" s="54"/>
      <c r="G160" s="54">
        <f t="shared" si="7"/>
        <v>0</v>
      </c>
      <c r="H160" s="54">
        <v>0</v>
      </c>
      <c r="I160" s="63">
        <f t="shared" si="8"/>
        <v>0</v>
      </c>
      <c r="J160" s="97">
        <f>Jan!I160+Feb!I160</f>
        <v>0</v>
      </c>
      <c r="L160" s="41"/>
      <c r="M160" s="41"/>
      <c r="N160" s="42"/>
    </row>
    <row r="161" spans="1:14" ht="13.5">
      <c r="A161" s="54"/>
      <c r="B161" s="54"/>
      <c r="C161" s="54"/>
      <c r="D161" s="54"/>
      <c r="E161" s="54"/>
      <c r="F161" s="54"/>
      <c r="G161" s="54"/>
      <c r="H161" s="54"/>
      <c r="I161" s="63"/>
      <c r="J161" s="97"/>
      <c r="L161" s="41"/>
      <c r="M161" s="41"/>
      <c r="N161" s="42"/>
    </row>
    <row r="162" spans="1:14" ht="13.5">
      <c r="A162" s="60" t="s">
        <v>293</v>
      </c>
      <c r="B162" s="54"/>
      <c r="C162" s="54"/>
      <c r="D162" s="54"/>
      <c r="E162" s="54"/>
      <c r="F162" s="54"/>
      <c r="G162" s="54">
        <f t="shared" si="7"/>
        <v>0</v>
      </c>
      <c r="H162" s="54">
        <v>120</v>
      </c>
      <c r="I162" s="63">
        <f t="shared" si="8"/>
        <v>120</v>
      </c>
      <c r="J162" s="97">
        <f>Jan!I162+Feb!I162</f>
        <v>240</v>
      </c>
      <c r="L162" s="41"/>
      <c r="M162" s="41"/>
      <c r="N162" s="4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Overview</vt:lpstr>
      <vt:lpstr>Summary</vt:lpstr>
      <vt:lpstr>Budgeting</vt:lpstr>
      <vt:lpstr>Tithe</vt:lpstr>
      <vt:lpstr>Saving</vt:lpstr>
      <vt:lpstr>Utilities</vt:lpstr>
      <vt:lpstr>Heating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  <vt:lpstr>2106EZ</vt:lpstr>
      <vt:lpstr>Glendale, NY</vt:lpstr>
      <vt:lpstr>Planning next year</vt:lpstr>
      <vt:lpstr>Sheet1</vt:lpstr>
      <vt:lpstr>'2106EZ'!Print_Area</vt:lpstr>
      <vt:lpstr>Tithe!Print_Area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Franes</dc:creator>
  <cp:lastModifiedBy>chris</cp:lastModifiedBy>
  <cp:lastPrinted>2015-02-12T15:20:26Z</cp:lastPrinted>
  <dcterms:created xsi:type="dcterms:W3CDTF">2012-08-12T19:52:52Z</dcterms:created>
  <dcterms:modified xsi:type="dcterms:W3CDTF">2015-02-12T17:31:02Z</dcterms:modified>
</cp:coreProperties>
</file>