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chris\Documents\FINANCE\Home Finance\"/>
    </mc:Choice>
  </mc:AlternateContent>
  <bookViews>
    <workbookView xWindow="0" yWindow="0" windowWidth="24000" windowHeight="9735" tabRatio="707" firstSheet="5" activeTab="15"/>
  </bookViews>
  <sheets>
    <sheet name="Overview" sheetId="23" r:id="rId1"/>
    <sheet name="Summary" sheetId="1" r:id="rId2"/>
    <sheet name="Budgeting" sheetId="2" r:id="rId3"/>
    <sheet name="Saving" sheetId="17" r:id="rId4"/>
    <sheet name="NH Utility" sheetId="4" r:id="rId5"/>
    <sheet name="NH Heating" sheetId="22" r:id="rId6"/>
    <sheet name="Tithe" sheetId="3" r:id="rId7"/>
    <sheet name="NYC Utility" sheetId="28" r:id="rId8"/>
    <sheet name="Jan" sheetId="5" r:id="rId9"/>
    <sheet name="Feb" sheetId="6" r:id="rId10"/>
    <sheet name="Mar" sheetId="7" r:id="rId11"/>
    <sheet name="Apr" sheetId="8" r:id="rId12"/>
    <sheet name="May" sheetId="9" r:id="rId13"/>
    <sheet name="Jun" sheetId="10" r:id="rId14"/>
    <sheet name="July" sheetId="11" r:id="rId15"/>
    <sheet name="Aug" sheetId="12" r:id="rId16"/>
    <sheet name="Sep" sheetId="13" r:id="rId17"/>
    <sheet name="Oct" sheetId="14" r:id="rId18"/>
    <sheet name="Nov" sheetId="15" r:id="rId19"/>
    <sheet name="Dec" sheetId="16" r:id="rId20"/>
    <sheet name="Glendale, NY" sheetId="24" r:id="rId21"/>
    <sheet name="2106EZ" sheetId="19" r:id="rId22"/>
    <sheet name="Real Estate" sheetId="25" r:id="rId23"/>
    <sheet name="Sheet3" sheetId="27" r:id="rId24"/>
  </sheets>
  <calcPr calcId="152511"/>
</workbook>
</file>

<file path=xl/calcChain.xml><?xml version="1.0" encoding="utf-8"?>
<calcChain xmlns="http://schemas.openxmlformats.org/spreadsheetml/2006/main">
  <c r="E83" i="1" l="1"/>
  <c r="D83" i="1"/>
  <c r="F79" i="1"/>
  <c r="E9" i="19" l="1"/>
  <c r="D31" i="19" l="1"/>
  <c r="E126" i="19" l="1"/>
  <c r="C73" i="19"/>
  <c r="E110" i="19"/>
  <c r="C88" i="1" l="1"/>
  <c r="J71" i="1" l="1"/>
  <c r="I71" i="1"/>
  <c r="F69" i="1" l="1"/>
  <c r="C74" i="1"/>
  <c r="L63" i="1"/>
  <c r="K63" i="1"/>
  <c r="K59" i="1" l="1"/>
  <c r="L59" i="1" s="1"/>
  <c r="L117" i="5" l="1"/>
  <c r="J69" i="1"/>
  <c r="I69" i="1"/>
  <c r="D65" i="1"/>
  <c r="D67" i="1" s="1"/>
  <c r="E65" i="1"/>
  <c r="F65" i="1"/>
  <c r="G65" i="1"/>
  <c r="G67" i="1" s="1"/>
  <c r="H65" i="1"/>
  <c r="I65" i="1"/>
  <c r="J65" i="1"/>
  <c r="J67" i="1" s="1"/>
  <c r="K65" i="1"/>
  <c r="K67" i="1" s="1"/>
  <c r="L65" i="1"/>
  <c r="E67" i="1"/>
  <c r="F67" i="1"/>
  <c r="H67" i="1"/>
  <c r="I67" i="1"/>
  <c r="L67" i="1"/>
  <c r="C75" i="1"/>
  <c r="C83" i="1"/>
  <c r="C72" i="1" l="1"/>
  <c r="L64" i="1"/>
  <c r="K64" i="1"/>
  <c r="C59" i="1"/>
  <c r="H16" i="23" l="1"/>
  <c r="N127" i="16" l="1"/>
  <c r="C19" i="24" l="1"/>
  <c r="H9" i="2" l="1"/>
  <c r="H14" i="2" s="1"/>
  <c r="G70" i="2"/>
  <c r="B68" i="2" s="1"/>
  <c r="D68" i="2" s="1"/>
  <c r="G71" i="2"/>
  <c r="G72" i="2"/>
  <c r="G73" i="2"/>
  <c r="G74" i="2"/>
  <c r="I74" i="2" s="1"/>
  <c r="G75" i="2"/>
  <c r="G76" i="2"/>
  <c r="G77" i="2"/>
  <c r="G78" i="2"/>
  <c r="I78" i="2" s="1"/>
  <c r="C68" i="2"/>
  <c r="H47" i="1"/>
  <c r="D23" i="24"/>
  <c r="E23" i="24"/>
  <c r="F23" i="24"/>
  <c r="G23" i="24"/>
  <c r="H23" i="24"/>
  <c r="I23" i="24"/>
  <c r="P23" i="24"/>
  <c r="S23" i="24"/>
  <c r="I73" i="2"/>
  <c r="I75" i="2"/>
  <c r="I76" i="2"/>
  <c r="I77" i="2"/>
  <c r="H73" i="2"/>
  <c r="H74" i="2"/>
  <c r="H75" i="2"/>
  <c r="H76" i="2"/>
  <c r="H77" i="2"/>
  <c r="H78" i="2"/>
  <c r="N16" i="23" l="1"/>
  <c r="L16" i="23"/>
  <c r="I16" i="23"/>
  <c r="F16" i="23"/>
  <c r="H43" i="1" l="1"/>
  <c r="H46" i="1"/>
  <c r="C47" i="1" l="1"/>
  <c r="C85" i="24" l="1"/>
  <c r="L80" i="14"/>
  <c r="C50" i="1"/>
  <c r="E27" i="3" l="1"/>
  <c r="F35" i="3"/>
  <c r="M151" i="16"/>
  <c r="M113" i="16"/>
  <c r="M66" i="16"/>
  <c r="M67" i="16"/>
  <c r="M142" i="16"/>
  <c r="M127" i="16"/>
  <c r="M150" i="16"/>
  <c r="E132" i="16"/>
  <c r="M131" i="16"/>
  <c r="R89" i="16"/>
  <c r="AH57" i="4"/>
  <c r="G128" i="28"/>
  <c r="D128" i="28"/>
  <c r="H125" i="28"/>
  <c r="D46" i="28" l="1"/>
  <c r="H43" i="28"/>
  <c r="F40" i="1"/>
  <c r="F38" i="1"/>
  <c r="F37" i="1"/>
  <c r="F36" i="1"/>
  <c r="F35" i="1"/>
  <c r="F34" i="1"/>
  <c r="F33" i="1"/>
  <c r="F32" i="1"/>
  <c r="F31" i="1"/>
  <c r="F30" i="1"/>
  <c r="F29" i="1"/>
  <c r="G73" i="28" l="1"/>
  <c r="G74" i="28"/>
  <c r="D77" i="28"/>
  <c r="D102" i="28"/>
  <c r="M74" i="16" l="1"/>
  <c r="N127" i="15" l="1"/>
  <c r="C52" i="24" l="1"/>
  <c r="C59" i="24"/>
  <c r="C61" i="24"/>
  <c r="R35" i="24" l="1"/>
  <c r="R23" i="24" s="1"/>
  <c r="M88" i="16" l="1"/>
  <c r="M118" i="16"/>
  <c r="M116" i="16"/>
  <c r="B15" i="3" l="1"/>
  <c r="B61" i="17"/>
  <c r="L55" i="16"/>
  <c r="L55" i="15"/>
  <c r="M74" i="15" l="1"/>
  <c r="M67" i="15"/>
  <c r="M66" i="15"/>
  <c r="M143" i="15"/>
  <c r="M81" i="15"/>
  <c r="L126" i="15" l="1"/>
  <c r="G42" i="28" l="1"/>
  <c r="H42" i="28" s="1"/>
  <c r="N130" i="15"/>
  <c r="M142" i="15"/>
  <c r="M165" i="15"/>
  <c r="D103" i="28" l="1"/>
  <c r="L66" i="15"/>
  <c r="L26" i="19" l="1"/>
  <c r="G8" i="15"/>
  <c r="N142" i="15" l="1"/>
  <c r="N127" i="14"/>
  <c r="M112" i="15" l="1"/>
  <c r="M83" i="15"/>
  <c r="L66" i="14" l="1"/>
  <c r="E32" i="25" l="1"/>
  <c r="E18" i="25"/>
  <c r="E4" i="25"/>
  <c r="G123" i="28"/>
  <c r="H123" i="28"/>
  <c r="L96" i="17" l="1"/>
  <c r="L94" i="17"/>
  <c r="G22" i="14"/>
  <c r="B115" i="17"/>
  <c r="H45" i="1"/>
  <c r="B4" i="14" l="1"/>
  <c r="G8" i="14"/>
  <c r="L92" i="14"/>
  <c r="N147" i="14" l="1"/>
  <c r="N142" i="14"/>
  <c r="Q35" i="24" l="1"/>
  <c r="Q23" i="24" s="1"/>
  <c r="Q59" i="24"/>
  <c r="M112" i="14"/>
  <c r="M74" i="14"/>
  <c r="M70" i="14"/>
  <c r="M81" i="14"/>
  <c r="M131" i="14"/>
  <c r="L81" i="14"/>
  <c r="M94" i="17"/>
  <c r="B116" i="17"/>
  <c r="L95" i="17"/>
  <c r="B109" i="17"/>
  <c r="B101" i="17"/>
  <c r="D47" i="28"/>
  <c r="H41" i="28"/>
  <c r="AC28" i="4" l="1"/>
  <c r="G41" i="28" l="1"/>
  <c r="M127" i="14" l="1"/>
  <c r="E132" i="14"/>
  <c r="L126" i="14" l="1"/>
  <c r="C18" i="3"/>
  <c r="C19" i="3"/>
  <c r="F26" i="3"/>
  <c r="M142" i="14"/>
  <c r="C162" i="24" l="1"/>
  <c r="D163" i="24" s="1"/>
  <c r="D164" i="24" s="1"/>
  <c r="D165" i="24" s="1"/>
  <c r="D166" i="24" s="1"/>
  <c r="D167" i="24" s="1"/>
  <c r="D168" i="24" s="1"/>
  <c r="D169" i="24" s="1"/>
  <c r="D170" i="24" s="1"/>
  <c r="D171" i="24" s="1"/>
  <c r="D172" i="24" s="1"/>
  <c r="D173" i="24" s="1"/>
  <c r="D174" i="24" s="1"/>
  <c r="D175" i="24" s="1"/>
  <c r="D176" i="24" s="1"/>
  <c r="D177" i="24" s="1"/>
  <c r="D178" i="24" s="1"/>
  <c r="D179" i="24" s="1"/>
  <c r="D180" i="24" s="1"/>
  <c r="C182" i="24" l="1"/>
  <c r="M106" i="14" l="1"/>
  <c r="N127" i="13"/>
  <c r="M74" i="13" l="1"/>
  <c r="M103" i="13"/>
  <c r="E129" i="14"/>
  <c r="M118" i="14"/>
  <c r="L151" i="14"/>
  <c r="AF44" i="4" l="1"/>
  <c r="G115" i="28"/>
  <c r="G122" i="28"/>
  <c r="G121" i="28"/>
  <c r="G118" i="28"/>
  <c r="B132" i="28"/>
  <c r="H122" i="28"/>
  <c r="N118" i="13" l="1"/>
  <c r="B78" i="12"/>
  <c r="B78" i="11"/>
  <c r="B78" i="9"/>
  <c r="B78" i="7" l="1"/>
  <c r="B78" i="6"/>
  <c r="AG22" i="4"/>
  <c r="M142" i="13"/>
  <c r="M127" i="13"/>
  <c r="H40" i="28" l="1"/>
  <c r="AG21" i="4"/>
  <c r="M81" i="12"/>
  <c r="M74" i="12"/>
  <c r="M66" i="13"/>
  <c r="M67" i="13"/>
  <c r="M112" i="13"/>
  <c r="M118" i="13"/>
  <c r="M130" i="13"/>
  <c r="M147" i="13"/>
  <c r="N127" i="12"/>
  <c r="N66" i="12"/>
  <c r="N130" i="12"/>
  <c r="N106" i="13"/>
  <c r="N66" i="13"/>
  <c r="M81" i="13" l="1"/>
  <c r="H120" i="28" l="1"/>
  <c r="N142" i="12" l="1"/>
  <c r="N74" i="12"/>
  <c r="M112" i="12"/>
  <c r="M142" i="12"/>
  <c r="M151" i="12"/>
  <c r="M121" i="12"/>
  <c r="L84" i="28" l="1"/>
  <c r="H39" i="28"/>
  <c r="N81" i="12" l="1"/>
  <c r="E132" i="8" l="1"/>
  <c r="AC57" i="4" l="1"/>
  <c r="AH50" i="4"/>
  <c r="O35" i="24" l="1"/>
  <c r="O23" i="24" s="1"/>
  <c r="O81" i="12"/>
  <c r="L53" i="12" l="1"/>
  <c r="M118" i="12" l="1"/>
  <c r="M130" i="12"/>
  <c r="F145" i="3"/>
  <c r="M66" i="12"/>
  <c r="N127" i="11"/>
  <c r="L126" i="11"/>
  <c r="M142" i="11" l="1"/>
  <c r="M74" i="11" l="1"/>
  <c r="AG20" i="4"/>
  <c r="N35" i="24" l="1"/>
  <c r="N23" i="24" s="1"/>
  <c r="F138" i="3" l="1"/>
  <c r="D11" i="28" l="1"/>
  <c r="K56" i="28"/>
  <c r="G63" i="28"/>
  <c r="H38" i="28"/>
  <c r="O81" i="11" l="1"/>
  <c r="M35" i="24"/>
  <c r="M23" i="24" s="1"/>
  <c r="M55" i="24"/>
  <c r="C46" i="24"/>
  <c r="L123" i="11"/>
  <c r="M72" i="11"/>
  <c r="AG19" i="4"/>
  <c r="J7" i="10" l="1"/>
  <c r="J7" i="9"/>
  <c r="L51" i="11" l="1"/>
  <c r="L53" i="14" l="1"/>
  <c r="L53" i="13"/>
  <c r="M67" i="11" l="1"/>
  <c r="M143" i="11"/>
  <c r="H32" i="28" l="1"/>
  <c r="H33" i="28"/>
  <c r="H34" i="28"/>
  <c r="H35" i="28"/>
  <c r="H36" i="28"/>
  <c r="H37" i="28"/>
  <c r="N127" i="10" l="1"/>
  <c r="M118" i="11"/>
  <c r="E129" i="11"/>
  <c r="M127" i="11"/>
  <c r="L126" i="10"/>
  <c r="O81" i="10"/>
  <c r="M59" i="24"/>
  <c r="L81" i="10"/>
  <c r="M79" i="24"/>
  <c r="H96" i="17" l="1"/>
  <c r="L126" i="8"/>
  <c r="M74" i="10"/>
  <c r="M67" i="10"/>
  <c r="M142" i="10"/>
  <c r="R55" i="10"/>
  <c r="L23" i="19" l="1"/>
  <c r="M118" i="10" l="1"/>
  <c r="M83" i="10"/>
  <c r="O69" i="28"/>
  <c r="I96" i="24"/>
  <c r="M127" i="10" l="1"/>
  <c r="M131" i="8"/>
  <c r="B112" i="24" l="1"/>
  <c r="M62" i="10" l="1"/>
  <c r="M136" i="10"/>
  <c r="M130" i="10"/>
  <c r="M142" i="9"/>
  <c r="M88" i="10"/>
  <c r="R47" i="9"/>
  <c r="N142" i="9"/>
  <c r="N127" i="9" l="1"/>
  <c r="R49" i="9" l="1"/>
  <c r="D143" i="28"/>
  <c r="B143" i="28"/>
  <c r="G124" i="28"/>
  <c r="D136" i="28"/>
  <c r="M74" i="9" l="1"/>
  <c r="AG18" i="4"/>
  <c r="O81" i="9" l="1"/>
  <c r="L35" i="24" l="1"/>
  <c r="L23" i="24" s="1"/>
  <c r="M81" i="9" l="1"/>
  <c r="N147" i="9" l="1"/>
  <c r="N151" i="9"/>
  <c r="N118" i="9"/>
  <c r="N131" i="9"/>
  <c r="E135" i="9"/>
  <c r="E134" i="9"/>
  <c r="M67" i="9"/>
  <c r="M127" i="9"/>
  <c r="AH47" i="4" l="1"/>
  <c r="E132" i="9" l="1"/>
  <c r="M131" i="9"/>
  <c r="N142" i="8" l="1"/>
  <c r="N127" i="8" l="1"/>
  <c r="L104" i="8"/>
  <c r="N118" i="8"/>
  <c r="L81" i="8"/>
  <c r="D94" i="22" l="1"/>
  <c r="H94" i="22"/>
  <c r="F94" i="22" l="1"/>
  <c r="B76" i="22"/>
  <c r="Y59" i="22"/>
  <c r="AC63" i="22"/>
  <c r="AC61" i="22"/>
  <c r="AC60" i="22"/>
  <c r="N130" i="8" l="1"/>
  <c r="K59" i="24"/>
  <c r="K74" i="24"/>
  <c r="K35" i="24" l="1"/>
  <c r="K23" i="24" s="1"/>
  <c r="O82" i="8"/>
  <c r="N83" i="8"/>
  <c r="M74" i="8"/>
  <c r="M81" i="8"/>
  <c r="D126" i="28"/>
  <c r="D132" i="28" s="1"/>
  <c r="H118" i="28"/>
  <c r="H121" i="28"/>
  <c r="H124" i="28"/>
  <c r="H115" i="28"/>
  <c r="AG17" i="4"/>
  <c r="D127" i="28" l="1"/>
  <c r="G12" i="28"/>
  <c r="K31" i="4"/>
  <c r="I13" i="28"/>
  <c r="D13" i="28"/>
  <c r="H44" i="28"/>
  <c r="I44" i="28"/>
  <c r="G44" i="28"/>
  <c r="W30" i="4"/>
  <c r="Z30" i="4"/>
  <c r="B48" i="28"/>
  <c r="B58" i="4"/>
  <c r="D58" i="4"/>
  <c r="F58" i="4"/>
  <c r="H58" i="4"/>
  <c r="K58" i="4"/>
  <c r="N58" i="4"/>
  <c r="Q58" i="4"/>
  <c r="T58" i="4"/>
  <c r="W58" i="4"/>
  <c r="Z58" i="4"/>
  <c r="D129" i="28"/>
  <c r="B129" i="28"/>
  <c r="B130" i="28" s="1"/>
  <c r="K75" i="24"/>
  <c r="D131" i="28" l="1"/>
  <c r="D130" i="28"/>
  <c r="D78" i="28"/>
  <c r="M70" i="8" l="1"/>
  <c r="M67" i="8"/>
  <c r="N74" i="8"/>
  <c r="N67" i="8"/>
  <c r="R44" i="8"/>
  <c r="N102" i="8"/>
  <c r="Y137" i="22"/>
  <c r="U137" i="22"/>
  <c r="AG16" i="4"/>
  <c r="AG15" i="4"/>
  <c r="I106" i="24" l="1"/>
  <c r="I107" i="24"/>
  <c r="I108" i="24"/>
  <c r="I109" i="24"/>
  <c r="I110" i="24"/>
  <c r="I111" i="24"/>
  <c r="I95" i="24"/>
  <c r="I97" i="24"/>
  <c r="I98" i="24"/>
  <c r="I99" i="24"/>
  <c r="I100" i="24"/>
  <c r="I101" i="24"/>
  <c r="I102" i="24"/>
  <c r="I103" i="24"/>
  <c r="I104" i="24"/>
  <c r="I105" i="24"/>
  <c r="I94" i="24"/>
  <c r="O81" i="8"/>
  <c r="K105" i="24" l="1"/>
  <c r="K96" i="24"/>
  <c r="K99" i="24"/>
  <c r="M147" i="8"/>
  <c r="N142" i="7"/>
  <c r="N83" i="7"/>
  <c r="O81" i="7" l="1"/>
  <c r="R43" i="7"/>
  <c r="N127" i="7"/>
  <c r="M118" i="8"/>
  <c r="L21" i="19"/>
  <c r="L27" i="19" s="1"/>
  <c r="J35" i="24" l="1"/>
  <c r="L81" i="7"/>
  <c r="J59" i="24"/>
  <c r="J72" i="24"/>
  <c r="N130" i="7"/>
  <c r="M106" i="8"/>
  <c r="M142" i="8"/>
  <c r="M66" i="8"/>
  <c r="M116" i="8"/>
  <c r="M71" i="8"/>
  <c r="M139" i="8"/>
  <c r="J23" i="24" l="1"/>
  <c r="C21" i="24" s="1"/>
  <c r="C35" i="24"/>
  <c r="C23" i="24" s="1"/>
  <c r="O81" i="6"/>
  <c r="J24" i="24" l="1"/>
  <c r="N74" i="7" l="1"/>
  <c r="N142" i="6"/>
  <c r="N118" i="6"/>
  <c r="M74" i="7"/>
  <c r="M66" i="7"/>
  <c r="M116" i="7"/>
  <c r="L112" i="7"/>
  <c r="M81" i="7"/>
  <c r="M142" i="7"/>
  <c r="L82" i="7" l="1"/>
  <c r="E66" i="22"/>
  <c r="I59" i="24" l="1"/>
  <c r="I35" i="24"/>
  <c r="L81" i="6"/>
  <c r="B99" i="24" l="1"/>
  <c r="B105" i="24" s="1"/>
  <c r="B119" i="24" s="1"/>
  <c r="AF16" i="4"/>
  <c r="AF17" i="4"/>
  <c r="AF18" i="4"/>
  <c r="AF19" i="4"/>
  <c r="AF20" i="4"/>
  <c r="AF21" i="4"/>
  <c r="AF22" i="4"/>
  <c r="AF23" i="4"/>
  <c r="AF24" i="4"/>
  <c r="AF25" i="4"/>
  <c r="AF15" i="4"/>
  <c r="C121" i="24" l="1"/>
  <c r="C122" i="24" s="1"/>
  <c r="C123" i="24" s="1"/>
  <c r="C124" i="24" s="1"/>
  <c r="C125" i="24" s="1"/>
  <c r="C126" i="24" s="1"/>
  <c r="C127" i="24" s="1"/>
  <c r="C128" i="24" s="1"/>
  <c r="C129" i="24" s="1"/>
  <c r="C130" i="24" s="1"/>
  <c r="C131" i="24" s="1"/>
  <c r="C132" i="24" s="1"/>
  <c r="C133" i="24" s="1"/>
  <c r="C134" i="24" s="1"/>
  <c r="C135" i="24" s="1"/>
  <c r="C136" i="24" s="1"/>
  <c r="B139" i="24"/>
  <c r="M74" i="6"/>
  <c r="M67" i="6"/>
  <c r="M165" i="6"/>
  <c r="M164" i="6"/>
  <c r="G169" i="6"/>
  <c r="I11" i="2" l="1"/>
  <c r="G10" i="2"/>
  <c r="I10" i="2" s="1"/>
  <c r="G9" i="2"/>
  <c r="D96" i="17"/>
  <c r="R48" i="6" l="1"/>
  <c r="R44" i="6"/>
  <c r="R42" i="5"/>
  <c r="O46" i="6"/>
  <c r="E12" i="19" l="1"/>
  <c r="C30" i="19" s="1"/>
  <c r="M9" i="19"/>
  <c r="M118" i="6"/>
  <c r="M81" i="6"/>
  <c r="M142" i="6"/>
  <c r="L82" i="6"/>
  <c r="N127" i="6" l="1"/>
  <c r="AC55" i="4" l="1"/>
  <c r="AC58" i="4" s="1"/>
  <c r="AH44" i="4"/>
  <c r="AC56" i="4" l="1"/>
  <c r="H35" i="24" l="1"/>
  <c r="G35" i="24"/>
  <c r="O81" i="5"/>
  <c r="M62" i="6" l="1"/>
  <c r="M127" i="6"/>
  <c r="L126" i="6"/>
  <c r="L126" i="5"/>
  <c r="N127" i="5"/>
  <c r="O96" i="17"/>
  <c r="K94" i="17"/>
  <c r="Q56" i="22"/>
  <c r="Q55" i="22"/>
  <c r="Q79" i="22"/>
  <c r="D65" i="22"/>
  <c r="F65" i="22" s="1"/>
  <c r="D66" i="22"/>
  <c r="F66" i="22" s="1"/>
  <c r="D67" i="22"/>
  <c r="F67" i="22" s="1"/>
  <c r="D64" i="22"/>
  <c r="F64" i="22" s="1"/>
  <c r="O78" i="22"/>
  <c r="Q78" i="22" s="1"/>
  <c r="H78" i="22"/>
  <c r="K78" i="22" s="1"/>
  <c r="D78" i="22"/>
  <c r="T76" i="22"/>
  <c r="R76" i="22"/>
  <c r="O76" i="22"/>
  <c r="O77" i="22" s="1"/>
  <c r="L76" i="22"/>
  <c r="H76" i="22"/>
  <c r="H77" i="22" s="1"/>
  <c r="B77" i="22"/>
  <c r="Q75" i="22"/>
  <c r="S75" i="22" s="1"/>
  <c r="K75" i="22"/>
  <c r="M75" i="22" s="1"/>
  <c r="D75" i="22"/>
  <c r="F75" i="22" s="1"/>
  <c r="Q74" i="22"/>
  <c r="S74" i="22" s="1"/>
  <c r="K74" i="22"/>
  <c r="M74" i="22" s="1"/>
  <c r="D74" i="22"/>
  <c r="F74" i="22" s="1"/>
  <c r="Q73" i="22"/>
  <c r="S73" i="22" s="1"/>
  <c r="K73" i="22"/>
  <c r="M73" i="22" s="1"/>
  <c r="D73" i="22"/>
  <c r="F73" i="22" s="1"/>
  <c r="Q72" i="22"/>
  <c r="S72" i="22" s="1"/>
  <c r="M72" i="22"/>
  <c r="F72" i="22"/>
  <c r="S71" i="22"/>
  <c r="M71" i="22"/>
  <c r="F71" i="22"/>
  <c r="S70" i="22"/>
  <c r="M70" i="22"/>
  <c r="J76" i="22"/>
  <c r="F70" i="22"/>
  <c r="S69" i="22"/>
  <c r="M69" i="22"/>
  <c r="F69" i="22"/>
  <c r="S68" i="22"/>
  <c r="M68" i="22"/>
  <c r="F68" i="22"/>
  <c r="Q67" i="22"/>
  <c r="S67" i="22" s="1"/>
  <c r="M67" i="22"/>
  <c r="S66" i="22"/>
  <c r="M66" i="22"/>
  <c r="Q65" i="22"/>
  <c r="S65" i="22" s="1"/>
  <c r="K65" i="22"/>
  <c r="M65" i="22" s="1"/>
  <c r="Q64" i="22"/>
  <c r="P76" i="22"/>
  <c r="K64" i="22"/>
  <c r="M64" i="22" s="1"/>
  <c r="C76" i="22"/>
  <c r="I79" i="13"/>
  <c r="I80" i="13"/>
  <c r="I82" i="13"/>
  <c r="I83" i="13"/>
  <c r="I84" i="13"/>
  <c r="I85" i="13"/>
  <c r="G82" i="13"/>
  <c r="G83" i="13"/>
  <c r="G84" i="13"/>
  <c r="G85" i="13"/>
  <c r="G86" i="13"/>
  <c r="I86" i="13" s="1"/>
  <c r="G87" i="13"/>
  <c r="G82" i="12"/>
  <c r="I82" i="12" s="1"/>
  <c r="G83" i="12"/>
  <c r="I83" i="12" s="1"/>
  <c r="G84" i="12"/>
  <c r="I84" i="12" s="1"/>
  <c r="I79" i="12"/>
  <c r="I80" i="12"/>
  <c r="G82" i="11"/>
  <c r="I82" i="11" s="1"/>
  <c r="G83" i="11"/>
  <c r="G84" i="11"/>
  <c r="J75" i="11"/>
  <c r="J76" i="11"/>
  <c r="J77" i="11"/>
  <c r="J78" i="11"/>
  <c r="I75" i="11"/>
  <c r="I76" i="11"/>
  <c r="I77" i="11"/>
  <c r="I78" i="11"/>
  <c r="I79" i="11"/>
  <c r="I80" i="11"/>
  <c r="I83" i="11"/>
  <c r="I84" i="11"/>
  <c r="I87" i="11"/>
  <c r="I79" i="10"/>
  <c r="I80" i="10"/>
  <c r="I87" i="10"/>
  <c r="G82" i="10"/>
  <c r="I82" i="10" s="1"/>
  <c r="G83" i="10"/>
  <c r="I83" i="10" s="1"/>
  <c r="G84" i="10"/>
  <c r="B78" i="10" s="1"/>
  <c r="I79" i="9"/>
  <c r="I80" i="9"/>
  <c r="I83" i="9"/>
  <c r="G82" i="9"/>
  <c r="I82" i="9" s="1"/>
  <c r="G83" i="9"/>
  <c r="G84" i="9"/>
  <c r="I84" i="9" s="1"/>
  <c r="I79" i="8"/>
  <c r="I80" i="8"/>
  <c r="I88" i="8"/>
  <c r="G82" i="8"/>
  <c r="I82" i="8" s="1"/>
  <c r="G83" i="8"/>
  <c r="I83" i="8" s="1"/>
  <c r="J83" i="8" s="1"/>
  <c r="I83" i="7"/>
  <c r="G82" i="7"/>
  <c r="I82" i="7" s="1"/>
  <c r="G83" i="7"/>
  <c r="G84" i="7"/>
  <c r="I84" i="7" s="1"/>
  <c r="J79" i="6"/>
  <c r="J80" i="6"/>
  <c r="J83" i="6"/>
  <c r="J88" i="6"/>
  <c r="I79" i="6"/>
  <c r="I80" i="6"/>
  <c r="I83" i="6"/>
  <c r="I84" i="6"/>
  <c r="I88" i="6"/>
  <c r="G82" i="6"/>
  <c r="G83" i="6"/>
  <c r="G84" i="6"/>
  <c r="H71" i="2"/>
  <c r="H72" i="2"/>
  <c r="G82" i="14"/>
  <c r="I82" i="14" s="1"/>
  <c r="G83" i="14"/>
  <c r="I83" i="14" s="1"/>
  <c r="G84" i="14"/>
  <c r="I84" i="14" s="1"/>
  <c r="I80" i="15"/>
  <c r="I82" i="15"/>
  <c r="G82" i="15"/>
  <c r="G83" i="15"/>
  <c r="I83" i="15" s="1"/>
  <c r="I80" i="16"/>
  <c r="I81" i="16"/>
  <c r="G82" i="16"/>
  <c r="I82" i="16" s="1"/>
  <c r="G83" i="16"/>
  <c r="I83" i="16" s="1"/>
  <c r="G84" i="16"/>
  <c r="I84" i="16" s="1"/>
  <c r="I84" i="10" l="1"/>
  <c r="I87" i="13"/>
  <c r="J83" i="10"/>
  <c r="J83" i="7"/>
  <c r="J83" i="9"/>
  <c r="J83" i="12"/>
  <c r="J83" i="13"/>
  <c r="J83" i="11"/>
  <c r="J82" i="12"/>
  <c r="M76" i="22"/>
  <c r="M77" i="22" s="1"/>
  <c r="E76" i="22"/>
  <c r="Q76" i="22"/>
  <c r="F76" i="22"/>
  <c r="F77" i="22" s="1"/>
  <c r="D79" i="22"/>
  <c r="K79" i="22"/>
  <c r="D76" i="22"/>
  <c r="B80" i="22"/>
  <c r="D80" i="22" s="1"/>
  <c r="O80" i="22"/>
  <c r="K76" i="22"/>
  <c r="S64" i="22"/>
  <c r="S76" i="22" s="1"/>
  <c r="S77" i="22" s="1"/>
  <c r="H80" i="22"/>
  <c r="K80" i="22" s="1"/>
  <c r="I72" i="2"/>
  <c r="J83" i="14"/>
  <c r="I71" i="2"/>
  <c r="I82" i="6"/>
  <c r="J83" i="15"/>
  <c r="J83" i="16"/>
  <c r="H59" i="24"/>
  <c r="C29" i="24"/>
  <c r="J82" i="13" l="1"/>
  <c r="J82" i="10"/>
  <c r="J82" i="9"/>
  <c r="J82" i="8"/>
  <c r="J82" i="7"/>
  <c r="J82" i="11"/>
  <c r="J82" i="14"/>
  <c r="J82" i="6"/>
  <c r="J82" i="15"/>
  <c r="J82" i="16"/>
  <c r="I94" i="17"/>
  <c r="G94" i="17"/>
  <c r="H64" i="24"/>
  <c r="I5" i="23"/>
  <c r="I7" i="23"/>
  <c r="I9" i="23"/>
  <c r="I11" i="23"/>
  <c r="I13" i="23"/>
  <c r="B101" i="28"/>
  <c r="B103" i="28"/>
  <c r="B102" i="28"/>
  <c r="B77" i="28"/>
  <c r="B97" i="17"/>
  <c r="G170" i="16"/>
  <c r="G168" i="16"/>
  <c r="G167" i="16"/>
  <c r="G166" i="16"/>
  <c r="G165" i="16"/>
  <c r="G164" i="16"/>
  <c r="G161" i="16"/>
  <c r="G160" i="16"/>
  <c r="G159" i="16"/>
  <c r="G158" i="16"/>
  <c r="G157" i="16"/>
  <c r="G151" i="16"/>
  <c r="G150" i="16"/>
  <c r="G147" i="16"/>
  <c r="G144" i="16"/>
  <c r="G143" i="16"/>
  <c r="G142" i="16"/>
  <c r="G139" i="16"/>
  <c r="G136" i="16"/>
  <c r="G131" i="16"/>
  <c r="G130" i="16"/>
  <c r="G127" i="16"/>
  <c r="G126" i="16"/>
  <c r="G123" i="16"/>
  <c r="G122" i="16"/>
  <c r="G121" i="16"/>
  <c r="G118" i="16"/>
  <c r="G117" i="16"/>
  <c r="G116" i="16"/>
  <c r="G113" i="16"/>
  <c r="G112" i="16"/>
  <c r="G111" i="16"/>
  <c r="G108" i="16"/>
  <c r="G107" i="16"/>
  <c r="G106" i="16"/>
  <c r="G105" i="16"/>
  <c r="G104" i="16"/>
  <c r="G103" i="16"/>
  <c r="G102" i="16"/>
  <c r="G99" i="16"/>
  <c r="G98" i="16"/>
  <c r="G97" i="16"/>
  <c r="G94" i="16"/>
  <c r="G93" i="16"/>
  <c r="G92" i="16"/>
  <c r="G91" i="16"/>
  <c r="G88" i="16"/>
  <c r="I88" i="16" s="1"/>
  <c r="G87" i="16"/>
  <c r="I87" i="16" s="1"/>
  <c r="G86" i="16"/>
  <c r="I86" i="16" s="1"/>
  <c r="G85" i="16"/>
  <c r="I85" i="16" s="1"/>
  <c r="G81" i="16"/>
  <c r="G80" i="16"/>
  <c r="G79" i="16"/>
  <c r="G74" i="16"/>
  <c r="G72" i="16"/>
  <c r="G71" i="16"/>
  <c r="G70" i="16"/>
  <c r="G67" i="16"/>
  <c r="G66" i="16"/>
  <c r="G63" i="16"/>
  <c r="G62" i="16"/>
  <c r="G57" i="16"/>
  <c r="G56" i="16"/>
  <c r="G55" i="16"/>
  <c r="G54" i="16"/>
  <c r="G53" i="16"/>
  <c r="G52" i="16"/>
  <c r="G51" i="16"/>
  <c r="G50" i="16"/>
  <c r="G49" i="16"/>
  <c r="G170" i="15"/>
  <c r="G168" i="15"/>
  <c r="G167" i="15"/>
  <c r="G166" i="15"/>
  <c r="G165" i="15"/>
  <c r="G164" i="15"/>
  <c r="G161" i="15"/>
  <c r="G160" i="15"/>
  <c r="G159" i="15"/>
  <c r="G158" i="15"/>
  <c r="G157" i="15"/>
  <c r="G151" i="15"/>
  <c r="G150" i="15"/>
  <c r="G147" i="15"/>
  <c r="G144" i="15"/>
  <c r="G143" i="15"/>
  <c r="G142" i="15"/>
  <c r="G139" i="15"/>
  <c r="G136" i="15"/>
  <c r="G131" i="15"/>
  <c r="G130" i="15"/>
  <c r="G127" i="15"/>
  <c r="G126" i="15"/>
  <c r="G123" i="15"/>
  <c r="G122" i="15"/>
  <c r="G121" i="15"/>
  <c r="G118" i="15"/>
  <c r="G117" i="15"/>
  <c r="G116" i="15"/>
  <c r="G113" i="15"/>
  <c r="G112" i="15"/>
  <c r="G111" i="15"/>
  <c r="G108" i="15"/>
  <c r="G107" i="15"/>
  <c r="G106" i="15"/>
  <c r="G105" i="15"/>
  <c r="G104" i="15"/>
  <c r="G103" i="15"/>
  <c r="G102" i="15"/>
  <c r="G99" i="15"/>
  <c r="G98" i="15"/>
  <c r="G97" i="15"/>
  <c r="G94" i="15"/>
  <c r="G93" i="15"/>
  <c r="G92" i="15"/>
  <c r="G91" i="15"/>
  <c r="G88" i="15"/>
  <c r="I88" i="15" s="1"/>
  <c r="G87" i="15"/>
  <c r="I87" i="15" s="1"/>
  <c r="G86" i="15"/>
  <c r="I86" i="15" s="1"/>
  <c r="G85" i="15"/>
  <c r="I85" i="15" s="1"/>
  <c r="G84" i="15"/>
  <c r="I84" i="15" s="1"/>
  <c r="G81" i="15"/>
  <c r="I81" i="15" s="1"/>
  <c r="G80" i="15"/>
  <c r="G79" i="15"/>
  <c r="G74" i="15"/>
  <c r="G72" i="15"/>
  <c r="G71" i="15"/>
  <c r="G70" i="15"/>
  <c r="G67" i="15"/>
  <c r="G66" i="15"/>
  <c r="G63" i="15"/>
  <c r="G62" i="15"/>
  <c r="G57" i="15"/>
  <c r="G56" i="15"/>
  <c r="G55" i="15"/>
  <c r="G54" i="15"/>
  <c r="G53" i="15"/>
  <c r="G52" i="15"/>
  <c r="G51" i="15"/>
  <c r="G50" i="15"/>
  <c r="G49" i="15"/>
  <c r="G170" i="14"/>
  <c r="G168" i="14"/>
  <c r="G167" i="14"/>
  <c r="G166" i="14"/>
  <c r="G165" i="14"/>
  <c r="G164" i="14"/>
  <c r="G161" i="14"/>
  <c r="G160" i="14"/>
  <c r="G159" i="14"/>
  <c r="G158" i="14"/>
  <c r="G157" i="14"/>
  <c r="G151" i="14"/>
  <c r="G150" i="14"/>
  <c r="G147" i="14"/>
  <c r="G144" i="14"/>
  <c r="G143" i="14"/>
  <c r="G142" i="14"/>
  <c r="G139" i="14"/>
  <c r="G136" i="14"/>
  <c r="G131" i="14"/>
  <c r="G130" i="14"/>
  <c r="G127" i="14"/>
  <c r="G126" i="14"/>
  <c r="G123" i="14"/>
  <c r="G122" i="14"/>
  <c r="G121" i="14"/>
  <c r="G118" i="14"/>
  <c r="G117" i="14"/>
  <c r="G116" i="14"/>
  <c r="G113" i="14"/>
  <c r="G112" i="14"/>
  <c r="G111" i="14"/>
  <c r="G108" i="14"/>
  <c r="G107" i="14"/>
  <c r="G106" i="14"/>
  <c r="G105" i="14"/>
  <c r="G104" i="14"/>
  <c r="G103" i="14"/>
  <c r="G102" i="14"/>
  <c r="G99" i="14"/>
  <c r="G98" i="14"/>
  <c r="G97" i="14"/>
  <c r="G94" i="14"/>
  <c r="G93" i="14"/>
  <c r="G92" i="14"/>
  <c r="G91" i="14"/>
  <c r="G88" i="14"/>
  <c r="G87" i="14"/>
  <c r="I87" i="14" s="1"/>
  <c r="G86" i="14"/>
  <c r="I86" i="14" s="1"/>
  <c r="G85" i="14"/>
  <c r="I85" i="14" s="1"/>
  <c r="G81" i="14"/>
  <c r="I81" i="14" s="1"/>
  <c r="G80" i="14"/>
  <c r="I80" i="14" s="1"/>
  <c r="G79" i="14"/>
  <c r="I79" i="14" s="1"/>
  <c r="G74" i="14"/>
  <c r="G72" i="14"/>
  <c r="G71" i="14"/>
  <c r="G70" i="14"/>
  <c r="G67" i="14"/>
  <c r="G66" i="14"/>
  <c r="G63" i="14"/>
  <c r="G62" i="14"/>
  <c r="G57" i="14"/>
  <c r="G56" i="14"/>
  <c r="G55" i="14"/>
  <c r="G54" i="14"/>
  <c r="G53" i="14"/>
  <c r="G52" i="14"/>
  <c r="G51" i="14"/>
  <c r="G50" i="14"/>
  <c r="G49" i="14"/>
  <c r="G170" i="13"/>
  <c r="G168" i="13"/>
  <c r="G167" i="13"/>
  <c r="G166" i="13"/>
  <c r="G165" i="13"/>
  <c r="G164" i="13"/>
  <c r="G161" i="13"/>
  <c r="G160" i="13"/>
  <c r="G159" i="13"/>
  <c r="G158" i="13"/>
  <c r="G157" i="13"/>
  <c r="G151" i="13"/>
  <c r="G150" i="13"/>
  <c r="G147" i="13"/>
  <c r="G144" i="13"/>
  <c r="G143" i="13"/>
  <c r="G142" i="13"/>
  <c r="G139" i="13"/>
  <c r="G136" i="13"/>
  <c r="G131" i="13"/>
  <c r="G130" i="13"/>
  <c r="G127" i="13"/>
  <c r="G126" i="13"/>
  <c r="G123" i="13"/>
  <c r="G122" i="13"/>
  <c r="G121" i="13"/>
  <c r="G118" i="13"/>
  <c r="G117" i="13"/>
  <c r="G116" i="13"/>
  <c r="G113" i="13"/>
  <c r="G112" i="13"/>
  <c r="G111" i="13"/>
  <c r="G108" i="13"/>
  <c r="G107" i="13"/>
  <c r="G106" i="13"/>
  <c r="G105" i="13"/>
  <c r="G104" i="13"/>
  <c r="G103" i="13"/>
  <c r="G102" i="13"/>
  <c r="G99" i="13"/>
  <c r="G98" i="13"/>
  <c r="G97" i="13"/>
  <c r="G94" i="13"/>
  <c r="G93" i="13"/>
  <c r="G92" i="13"/>
  <c r="G91" i="13"/>
  <c r="G88" i="13"/>
  <c r="G81" i="13"/>
  <c r="I81" i="13" s="1"/>
  <c r="G80" i="13"/>
  <c r="G79" i="13"/>
  <c r="G74" i="13"/>
  <c r="G72" i="13"/>
  <c r="G71" i="13"/>
  <c r="G70" i="13"/>
  <c r="G67" i="13"/>
  <c r="G66" i="13"/>
  <c r="G63" i="13"/>
  <c r="G62" i="13"/>
  <c r="G57" i="13"/>
  <c r="G56" i="13"/>
  <c r="G55" i="13"/>
  <c r="G54" i="13"/>
  <c r="G53" i="13"/>
  <c r="G52" i="13"/>
  <c r="G51" i="13"/>
  <c r="G50" i="13"/>
  <c r="G49" i="13"/>
  <c r="G170" i="12"/>
  <c r="G168" i="12"/>
  <c r="G167" i="12"/>
  <c r="G166" i="12"/>
  <c r="G165" i="12"/>
  <c r="G164" i="12"/>
  <c r="G161" i="12"/>
  <c r="G160" i="12"/>
  <c r="G159" i="12"/>
  <c r="G158" i="12"/>
  <c r="G157" i="12"/>
  <c r="G151" i="12"/>
  <c r="G150" i="12"/>
  <c r="G147" i="12"/>
  <c r="G144" i="12"/>
  <c r="G143" i="12"/>
  <c r="G142" i="12"/>
  <c r="G139" i="12"/>
  <c r="G136" i="12"/>
  <c r="G131" i="12"/>
  <c r="G130" i="12"/>
  <c r="G127" i="12"/>
  <c r="G126" i="12"/>
  <c r="G123" i="12"/>
  <c r="G122" i="12"/>
  <c r="G121" i="12"/>
  <c r="G118" i="12"/>
  <c r="G117" i="12"/>
  <c r="G116" i="12"/>
  <c r="G113" i="12"/>
  <c r="G112" i="12"/>
  <c r="G111" i="12"/>
  <c r="G108" i="12"/>
  <c r="G107" i="12"/>
  <c r="G106" i="12"/>
  <c r="G105" i="12"/>
  <c r="G104" i="12"/>
  <c r="G103" i="12"/>
  <c r="G102" i="12"/>
  <c r="G99" i="12"/>
  <c r="G98" i="12"/>
  <c r="G97" i="12"/>
  <c r="G94" i="12"/>
  <c r="G93" i="12"/>
  <c r="G92" i="12"/>
  <c r="G91" i="12"/>
  <c r="G88" i="12"/>
  <c r="I88" i="12" s="1"/>
  <c r="G87" i="12"/>
  <c r="I87" i="12" s="1"/>
  <c r="G86" i="12"/>
  <c r="I86" i="12" s="1"/>
  <c r="G85" i="12"/>
  <c r="I85" i="12" s="1"/>
  <c r="G81" i="12"/>
  <c r="I81" i="12" s="1"/>
  <c r="G80" i="12"/>
  <c r="G79" i="12"/>
  <c r="G74" i="12"/>
  <c r="G72" i="12"/>
  <c r="G71" i="12"/>
  <c r="G70" i="12"/>
  <c r="G67" i="12"/>
  <c r="G66" i="12"/>
  <c r="G63" i="12"/>
  <c r="G62" i="12"/>
  <c r="G57" i="12"/>
  <c r="G56" i="12"/>
  <c r="G55" i="12"/>
  <c r="G54" i="12"/>
  <c r="G53" i="12"/>
  <c r="G52" i="12"/>
  <c r="G51" i="12"/>
  <c r="G50" i="12"/>
  <c r="G49" i="12"/>
  <c r="G170" i="11"/>
  <c r="G168" i="11"/>
  <c r="G167" i="11"/>
  <c r="G166" i="11"/>
  <c r="G165" i="11"/>
  <c r="G164" i="11"/>
  <c r="G161" i="11"/>
  <c r="G160" i="11"/>
  <c r="G159" i="11"/>
  <c r="G158" i="11"/>
  <c r="G157" i="11"/>
  <c r="G151" i="11"/>
  <c r="G150" i="11"/>
  <c r="G147" i="11"/>
  <c r="G144" i="11"/>
  <c r="G143" i="11"/>
  <c r="G142" i="11"/>
  <c r="G139" i="11"/>
  <c r="G136" i="11"/>
  <c r="G131" i="11"/>
  <c r="G130" i="11"/>
  <c r="G127" i="11"/>
  <c r="G126" i="11"/>
  <c r="G123" i="11"/>
  <c r="G122" i="11"/>
  <c r="G121" i="11"/>
  <c r="G118" i="11"/>
  <c r="G117" i="11"/>
  <c r="G116" i="11"/>
  <c r="G113" i="11"/>
  <c r="G112" i="11"/>
  <c r="G111" i="11"/>
  <c r="G108" i="11"/>
  <c r="G107" i="11"/>
  <c r="G106" i="11"/>
  <c r="G105" i="11"/>
  <c r="G104" i="11"/>
  <c r="G103" i="11"/>
  <c r="G102" i="11"/>
  <c r="G99" i="11"/>
  <c r="G98" i="11"/>
  <c r="G97" i="11"/>
  <c r="G94" i="11"/>
  <c r="G93" i="11"/>
  <c r="G92" i="11"/>
  <c r="G91" i="11"/>
  <c r="G88" i="11"/>
  <c r="I88" i="11" s="1"/>
  <c r="G87" i="11"/>
  <c r="G86" i="11"/>
  <c r="I86" i="11" s="1"/>
  <c r="G85" i="11"/>
  <c r="I85" i="11" s="1"/>
  <c r="G81" i="11"/>
  <c r="I81" i="11" s="1"/>
  <c r="G80" i="11"/>
  <c r="G79" i="11"/>
  <c r="G74" i="11"/>
  <c r="G72" i="11"/>
  <c r="G71" i="11"/>
  <c r="G70" i="11"/>
  <c r="G67" i="11"/>
  <c r="G66" i="11"/>
  <c r="G63" i="11"/>
  <c r="G62" i="11"/>
  <c r="G57" i="11"/>
  <c r="G56" i="11"/>
  <c r="G55" i="11"/>
  <c r="G54" i="11"/>
  <c r="G53" i="11"/>
  <c r="G52" i="11"/>
  <c r="G51" i="11"/>
  <c r="G50" i="11"/>
  <c r="G49" i="11"/>
  <c r="G170" i="10"/>
  <c r="G168" i="10"/>
  <c r="G167" i="10"/>
  <c r="G166" i="10"/>
  <c r="G165" i="10"/>
  <c r="G164" i="10"/>
  <c r="G161" i="10"/>
  <c r="G160" i="10"/>
  <c r="G159" i="10"/>
  <c r="G158" i="10"/>
  <c r="G157" i="10"/>
  <c r="G151" i="10"/>
  <c r="G150" i="10"/>
  <c r="G147" i="10"/>
  <c r="G144" i="10"/>
  <c r="G143" i="10"/>
  <c r="G142" i="10"/>
  <c r="G139" i="10"/>
  <c r="G136" i="10"/>
  <c r="G131" i="10"/>
  <c r="G130" i="10"/>
  <c r="G127" i="10"/>
  <c r="G126" i="10"/>
  <c r="G123" i="10"/>
  <c r="G122" i="10"/>
  <c r="G121" i="10"/>
  <c r="G118" i="10"/>
  <c r="G117" i="10"/>
  <c r="G116" i="10"/>
  <c r="G113" i="10"/>
  <c r="G112" i="10"/>
  <c r="G111" i="10"/>
  <c r="G108" i="10"/>
  <c r="G107" i="10"/>
  <c r="G106" i="10"/>
  <c r="G105" i="10"/>
  <c r="G104" i="10"/>
  <c r="G103" i="10"/>
  <c r="G102" i="10"/>
  <c r="G99" i="10"/>
  <c r="G98" i="10"/>
  <c r="G97" i="10"/>
  <c r="G94" i="10"/>
  <c r="G93" i="10"/>
  <c r="G92" i="10"/>
  <c r="G91" i="10"/>
  <c r="G88" i="10"/>
  <c r="I88" i="10" s="1"/>
  <c r="G87" i="10"/>
  <c r="G86" i="10"/>
  <c r="I86" i="10" s="1"/>
  <c r="G85" i="10"/>
  <c r="I85" i="10" s="1"/>
  <c r="G81" i="10"/>
  <c r="I81" i="10" s="1"/>
  <c r="G80" i="10"/>
  <c r="G79" i="10"/>
  <c r="G74" i="10"/>
  <c r="G72" i="10"/>
  <c r="G71" i="10"/>
  <c r="G70" i="10"/>
  <c r="G67" i="10"/>
  <c r="G66" i="10"/>
  <c r="G63" i="10"/>
  <c r="G62" i="10"/>
  <c r="G57" i="10"/>
  <c r="G56" i="10"/>
  <c r="G55" i="10"/>
  <c r="G54" i="10"/>
  <c r="G53" i="10"/>
  <c r="G52" i="10"/>
  <c r="G51" i="10"/>
  <c r="G50" i="10"/>
  <c r="G49" i="10"/>
  <c r="G170" i="9"/>
  <c r="G168" i="9"/>
  <c r="G167" i="9"/>
  <c r="G166" i="9"/>
  <c r="G165" i="9"/>
  <c r="G164" i="9"/>
  <c r="G161" i="9"/>
  <c r="G160" i="9"/>
  <c r="G159" i="9"/>
  <c r="G158" i="9"/>
  <c r="G157" i="9"/>
  <c r="G151" i="9"/>
  <c r="G150" i="9"/>
  <c r="G147" i="9"/>
  <c r="G144" i="9"/>
  <c r="G143" i="9"/>
  <c r="G142" i="9"/>
  <c r="G139" i="9"/>
  <c r="G136" i="9"/>
  <c r="G131" i="9"/>
  <c r="G130" i="9"/>
  <c r="G127" i="9"/>
  <c r="G126" i="9"/>
  <c r="G123" i="9"/>
  <c r="G122" i="9"/>
  <c r="G121" i="9"/>
  <c r="G118" i="9"/>
  <c r="G117" i="9"/>
  <c r="G116" i="9"/>
  <c r="G113" i="9"/>
  <c r="G112" i="9"/>
  <c r="G111" i="9"/>
  <c r="G108" i="9"/>
  <c r="G107" i="9"/>
  <c r="G106" i="9"/>
  <c r="G105" i="9"/>
  <c r="G104" i="9"/>
  <c r="G103" i="9"/>
  <c r="G102" i="9"/>
  <c r="G99" i="9"/>
  <c r="G98" i="9"/>
  <c r="G97" i="9"/>
  <c r="G94" i="9"/>
  <c r="G93" i="9"/>
  <c r="G92" i="9"/>
  <c r="G91" i="9"/>
  <c r="G88" i="9"/>
  <c r="I88" i="9" s="1"/>
  <c r="G87" i="9"/>
  <c r="I87" i="9" s="1"/>
  <c r="G86" i="9"/>
  <c r="I86" i="9" s="1"/>
  <c r="G85" i="9"/>
  <c r="I85" i="9" s="1"/>
  <c r="G81" i="9"/>
  <c r="I81" i="9" s="1"/>
  <c r="G80" i="9"/>
  <c r="G79" i="9"/>
  <c r="G74" i="9"/>
  <c r="G72" i="9"/>
  <c r="G71" i="9"/>
  <c r="G70" i="9"/>
  <c r="G67" i="9"/>
  <c r="G66" i="9"/>
  <c r="G63" i="9"/>
  <c r="G62" i="9"/>
  <c r="G57" i="9"/>
  <c r="G56" i="9"/>
  <c r="G55" i="9"/>
  <c r="G54" i="9"/>
  <c r="G53" i="9"/>
  <c r="G52" i="9"/>
  <c r="G51" i="9"/>
  <c r="G50" i="9"/>
  <c r="G49" i="9"/>
  <c r="G170" i="8"/>
  <c r="G168" i="8"/>
  <c r="G167" i="8"/>
  <c r="G166" i="8"/>
  <c r="G165" i="8"/>
  <c r="G164" i="8"/>
  <c r="G161" i="8"/>
  <c r="G160" i="8"/>
  <c r="G159" i="8"/>
  <c r="G158" i="8"/>
  <c r="G157" i="8"/>
  <c r="G151" i="8"/>
  <c r="G150" i="8"/>
  <c r="G147" i="8"/>
  <c r="G144" i="8"/>
  <c r="G143" i="8"/>
  <c r="G142" i="8"/>
  <c r="G139" i="8"/>
  <c r="G136" i="8"/>
  <c r="G131" i="8"/>
  <c r="G130" i="8"/>
  <c r="G127" i="8"/>
  <c r="G126" i="8"/>
  <c r="G123" i="8"/>
  <c r="G122" i="8"/>
  <c r="G121" i="8"/>
  <c r="G118" i="8"/>
  <c r="G117" i="8"/>
  <c r="G116" i="8"/>
  <c r="G113" i="8"/>
  <c r="G112" i="8"/>
  <c r="G111" i="8"/>
  <c r="G108" i="8"/>
  <c r="G107" i="8"/>
  <c r="G106" i="8"/>
  <c r="G105" i="8"/>
  <c r="G104" i="8"/>
  <c r="G103" i="8"/>
  <c r="G102" i="8"/>
  <c r="G99" i="8"/>
  <c r="G98" i="8"/>
  <c r="G97" i="8"/>
  <c r="G94" i="8"/>
  <c r="G93" i="8"/>
  <c r="G92" i="8"/>
  <c r="G91" i="8"/>
  <c r="G88" i="8"/>
  <c r="G87" i="8"/>
  <c r="I87" i="8" s="1"/>
  <c r="G86" i="8"/>
  <c r="I86" i="8" s="1"/>
  <c r="G85" i="8"/>
  <c r="I85" i="8" s="1"/>
  <c r="G84" i="8"/>
  <c r="G81" i="8"/>
  <c r="I81" i="8" s="1"/>
  <c r="G80" i="8"/>
  <c r="G79" i="8"/>
  <c r="G74" i="8"/>
  <c r="G72" i="8"/>
  <c r="G71" i="8"/>
  <c r="G70" i="8"/>
  <c r="G67" i="8"/>
  <c r="G66" i="8"/>
  <c r="G63" i="8"/>
  <c r="G62" i="8"/>
  <c r="G57" i="8"/>
  <c r="G56" i="8"/>
  <c r="G55" i="8"/>
  <c r="G54" i="8"/>
  <c r="G53" i="8"/>
  <c r="G52" i="8"/>
  <c r="G51" i="8"/>
  <c r="G50" i="8"/>
  <c r="G49" i="8"/>
  <c r="G50" i="7"/>
  <c r="G51" i="7"/>
  <c r="G52" i="7"/>
  <c r="G53" i="7"/>
  <c r="G54" i="7"/>
  <c r="G55" i="7"/>
  <c r="G56" i="7"/>
  <c r="G57" i="7"/>
  <c r="G62" i="7"/>
  <c r="G63" i="7"/>
  <c r="G66" i="7"/>
  <c r="G67" i="7"/>
  <c r="G70" i="7"/>
  <c r="G71" i="7"/>
  <c r="G72" i="7"/>
  <c r="G74" i="7"/>
  <c r="G79" i="7"/>
  <c r="I79" i="7" s="1"/>
  <c r="G80" i="7"/>
  <c r="I80" i="7" s="1"/>
  <c r="G81" i="7"/>
  <c r="I81" i="7" s="1"/>
  <c r="G85" i="7"/>
  <c r="I85" i="7" s="1"/>
  <c r="G86" i="7"/>
  <c r="I86" i="7" s="1"/>
  <c r="G87" i="7"/>
  <c r="I87" i="7" s="1"/>
  <c r="G88" i="7"/>
  <c r="I88" i="7" s="1"/>
  <c r="G92" i="7"/>
  <c r="G93" i="7"/>
  <c r="G94" i="7"/>
  <c r="G97" i="7"/>
  <c r="G98" i="7"/>
  <c r="G99" i="7"/>
  <c r="G102" i="7"/>
  <c r="G103" i="7"/>
  <c r="G104" i="7"/>
  <c r="G105" i="7"/>
  <c r="G106" i="7"/>
  <c r="G107" i="7"/>
  <c r="G108" i="7"/>
  <c r="G111" i="7"/>
  <c r="G112" i="7"/>
  <c r="G113" i="7"/>
  <c r="G116" i="7"/>
  <c r="G117" i="7"/>
  <c r="G118" i="7"/>
  <c r="G121" i="7"/>
  <c r="G122" i="7"/>
  <c r="G123" i="7"/>
  <c r="G126" i="7"/>
  <c r="G127" i="7"/>
  <c r="G130" i="7"/>
  <c r="G131" i="7"/>
  <c r="G136" i="7"/>
  <c r="G139" i="7"/>
  <c r="G142" i="7"/>
  <c r="G143" i="7"/>
  <c r="G144" i="7"/>
  <c r="G147" i="7"/>
  <c r="G150" i="7"/>
  <c r="G151" i="7"/>
  <c r="G157" i="7"/>
  <c r="G158" i="7"/>
  <c r="G159" i="7"/>
  <c r="G160" i="7"/>
  <c r="G161" i="7"/>
  <c r="G164" i="7"/>
  <c r="G165" i="7"/>
  <c r="G166" i="7"/>
  <c r="G167" i="7"/>
  <c r="G168" i="7"/>
  <c r="G170" i="7"/>
  <c r="G49" i="7"/>
  <c r="G170" i="6"/>
  <c r="G94" i="6"/>
  <c r="G50" i="6"/>
  <c r="G51" i="6"/>
  <c r="G52" i="6"/>
  <c r="G53" i="6"/>
  <c r="G54" i="6"/>
  <c r="G55" i="6"/>
  <c r="G56" i="6"/>
  <c r="G57" i="6"/>
  <c r="G62" i="6"/>
  <c r="G63" i="6"/>
  <c r="G66" i="6"/>
  <c r="G67" i="6"/>
  <c r="G70" i="6"/>
  <c r="G71" i="6"/>
  <c r="G72" i="6"/>
  <c r="G79" i="6"/>
  <c r="G80" i="6"/>
  <c r="G81" i="6"/>
  <c r="I81" i="6" s="1"/>
  <c r="G85" i="6"/>
  <c r="I85" i="6" s="1"/>
  <c r="G86" i="6"/>
  <c r="I86" i="6" s="1"/>
  <c r="G87" i="6"/>
  <c r="I87" i="6" s="1"/>
  <c r="G88" i="6"/>
  <c r="G91" i="6"/>
  <c r="G92" i="6"/>
  <c r="G93" i="6"/>
  <c r="G97" i="6"/>
  <c r="G98" i="6"/>
  <c r="G99" i="6"/>
  <c r="G102" i="6"/>
  <c r="G103" i="6"/>
  <c r="G104" i="6"/>
  <c r="G105" i="6"/>
  <c r="G106" i="6"/>
  <c r="G107" i="6"/>
  <c r="G108" i="6"/>
  <c r="G111" i="6"/>
  <c r="G112" i="6"/>
  <c r="G113" i="6"/>
  <c r="G116" i="6"/>
  <c r="G117" i="6"/>
  <c r="G118" i="6"/>
  <c r="G121" i="6"/>
  <c r="G122" i="6"/>
  <c r="G123" i="6"/>
  <c r="G126" i="6"/>
  <c r="G127" i="6"/>
  <c r="G128" i="6"/>
  <c r="G129" i="6"/>
  <c r="G130" i="6"/>
  <c r="G131" i="6"/>
  <c r="G132" i="6"/>
  <c r="G133" i="6"/>
  <c r="G134" i="6"/>
  <c r="G135" i="6"/>
  <c r="G136" i="6"/>
  <c r="G139" i="6"/>
  <c r="G142" i="6"/>
  <c r="G143" i="6"/>
  <c r="G144" i="6"/>
  <c r="G147" i="6"/>
  <c r="G150" i="6"/>
  <c r="G151" i="6"/>
  <c r="G157" i="6"/>
  <c r="G158" i="6"/>
  <c r="G159" i="6"/>
  <c r="G160" i="6"/>
  <c r="G161" i="6"/>
  <c r="G164" i="6"/>
  <c r="A165" i="6" s="1"/>
  <c r="G165" i="6"/>
  <c r="G166" i="6"/>
  <c r="G167" i="6"/>
  <c r="G168" i="6"/>
  <c r="G49" i="6"/>
  <c r="B78" i="16" l="1"/>
  <c r="I79" i="16"/>
  <c r="B78" i="15"/>
  <c r="I79" i="15"/>
  <c r="B78" i="8"/>
  <c r="I84" i="8"/>
  <c r="B78" i="14"/>
  <c r="I88" i="14"/>
  <c r="I88" i="13"/>
  <c r="B78" i="13"/>
  <c r="J80" i="12"/>
  <c r="J80" i="11"/>
  <c r="J80" i="10"/>
  <c r="J80" i="9"/>
  <c r="J80" i="7"/>
  <c r="J80" i="15"/>
  <c r="J80" i="13"/>
  <c r="J80" i="8"/>
  <c r="J80" i="16"/>
  <c r="J80" i="14"/>
  <c r="J79" i="13"/>
  <c r="J79" i="8"/>
  <c r="J79" i="12"/>
  <c r="J79" i="11"/>
  <c r="J79" i="10"/>
  <c r="J79" i="9"/>
  <c r="J79" i="7"/>
  <c r="J79" i="14"/>
  <c r="J79" i="15"/>
  <c r="J79" i="16"/>
  <c r="J88" i="13"/>
  <c r="J88" i="10"/>
  <c r="J88" i="7"/>
  <c r="J88" i="12"/>
  <c r="J88" i="9"/>
  <c r="J88" i="8"/>
  <c r="J88" i="11"/>
  <c r="J88" i="15"/>
  <c r="J88" i="16"/>
  <c r="J88" i="14"/>
  <c r="J87" i="9"/>
  <c r="J87" i="12"/>
  <c r="J87" i="8"/>
  <c r="J87" i="7"/>
  <c r="J87" i="13"/>
  <c r="J87" i="10"/>
  <c r="J87" i="6"/>
  <c r="J87" i="11"/>
  <c r="J87" i="14"/>
  <c r="J87" i="15"/>
  <c r="J87" i="16"/>
  <c r="J86" i="11"/>
  <c r="J86" i="10"/>
  <c r="J86" i="6"/>
  <c r="J86" i="13"/>
  <c r="J86" i="12"/>
  <c r="J86" i="8"/>
  <c r="J86" i="7"/>
  <c r="J86" i="9"/>
  <c r="J86" i="15"/>
  <c r="J86" i="16"/>
  <c r="J86" i="14"/>
  <c r="J85" i="7"/>
  <c r="J85" i="13"/>
  <c r="J85" i="12"/>
  <c r="J85" i="11"/>
  <c r="J85" i="8"/>
  <c r="J85" i="10"/>
  <c r="J85" i="9"/>
  <c r="J85" i="6"/>
  <c r="J85" i="15"/>
  <c r="J85" i="14"/>
  <c r="J85" i="16"/>
  <c r="L81" i="5"/>
  <c r="G81" i="5" s="1"/>
  <c r="H63" i="24"/>
  <c r="G150" i="5"/>
  <c r="G50" i="5"/>
  <c r="G51" i="5"/>
  <c r="G52" i="5"/>
  <c r="G53" i="5"/>
  <c r="G54" i="5"/>
  <c r="G55" i="5"/>
  <c r="G56" i="5"/>
  <c r="G57" i="5"/>
  <c r="G62" i="5"/>
  <c r="G63" i="5"/>
  <c r="G66" i="5"/>
  <c r="G67" i="5"/>
  <c r="G70" i="5"/>
  <c r="G71" i="5"/>
  <c r="G72" i="5"/>
  <c r="G74" i="5"/>
  <c r="G79" i="5"/>
  <c r="G69" i="2" s="1"/>
  <c r="G80" i="5"/>
  <c r="G84" i="5"/>
  <c r="G85" i="5"/>
  <c r="G86" i="5"/>
  <c r="G87" i="5"/>
  <c r="G88" i="5"/>
  <c r="G91" i="5"/>
  <c r="G81" i="2" s="1"/>
  <c r="G92" i="5"/>
  <c r="G93" i="5"/>
  <c r="G83" i="2" s="1"/>
  <c r="G94" i="5"/>
  <c r="G84" i="2" s="1"/>
  <c r="G97" i="5"/>
  <c r="G87" i="2" s="1"/>
  <c r="G98" i="5"/>
  <c r="G88" i="2" s="1"/>
  <c r="G99" i="5"/>
  <c r="G89" i="2" s="1"/>
  <c r="G91" i="2"/>
  <c r="G102" i="5"/>
  <c r="G92" i="2" s="1"/>
  <c r="G103" i="5"/>
  <c r="G93" i="2" s="1"/>
  <c r="G104" i="5"/>
  <c r="G94" i="2" s="1"/>
  <c r="G105" i="5"/>
  <c r="G95" i="2" s="1"/>
  <c r="G106" i="5"/>
  <c r="G96" i="2" s="1"/>
  <c r="G107" i="5"/>
  <c r="G97" i="2" s="1"/>
  <c r="G108" i="5"/>
  <c r="G98" i="2" s="1"/>
  <c r="G99" i="2"/>
  <c r="G100" i="2"/>
  <c r="G111" i="5"/>
  <c r="G101" i="2" s="1"/>
  <c r="G112" i="5"/>
  <c r="G113" i="5"/>
  <c r="G103" i="2" s="1"/>
  <c r="G104" i="2"/>
  <c r="G105" i="2"/>
  <c r="G116" i="5"/>
  <c r="G117" i="5"/>
  <c r="G107" i="2" s="1"/>
  <c r="G118" i="5"/>
  <c r="G108" i="2" s="1"/>
  <c r="G121" i="5"/>
  <c r="G111" i="2" s="1"/>
  <c r="G122" i="5"/>
  <c r="G112" i="2" s="1"/>
  <c r="G123" i="5"/>
  <c r="G113" i="2" s="1"/>
  <c r="G126" i="5"/>
  <c r="G116" i="2" s="1"/>
  <c r="G127" i="5"/>
  <c r="G130" i="5"/>
  <c r="G120" i="2" s="1"/>
  <c r="G131" i="5"/>
  <c r="G121" i="2" s="1"/>
  <c r="G136" i="5"/>
  <c r="G139" i="5"/>
  <c r="G129" i="2" s="1"/>
  <c r="G142" i="5"/>
  <c r="G132" i="2" s="1"/>
  <c r="G143" i="5"/>
  <c r="G133" i="2" s="1"/>
  <c r="G144" i="5"/>
  <c r="G147" i="5"/>
  <c r="G137" i="2" s="1"/>
  <c r="G140" i="2"/>
  <c r="G151" i="5"/>
  <c r="G141" i="2" s="1"/>
  <c r="G156" i="5"/>
  <c r="G157" i="5"/>
  <c r="G158" i="5"/>
  <c r="G159" i="5"/>
  <c r="G149" i="2" s="1"/>
  <c r="G160" i="5"/>
  <c r="G161" i="5"/>
  <c r="G164" i="5"/>
  <c r="G165" i="5"/>
  <c r="G155" i="2" s="1"/>
  <c r="G166" i="5"/>
  <c r="G156" i="2" s="1"/>
  <c r="G167" i="5"/>
  <c r="G157" i="2" s="1"/>
  <c r="G168" i="5"/>
  <c r="G170" i="5"/>
  <c r="G160" i="2" s="1"/>
  <c r="G49" i="5"/>
  <c r="Y40" i="5"/>
  <c r="H55" i="16"/>
  <c r="H55" i="15"/>
  <c r="H55" i="14"/>
  <c r="H55" i="13"/>
  <c r="H55" i="12"/>
  <c r="H55" i="11"/>
  <c r="H55" i="10"/>
  <c r="H55" i="9"/>
  <c r="H55" i="8"/>
  <c r="H55" i="7"/>
  <c r="H55" i="6"/>
  <c r="H55" i="5"/>
  <c r="H158" i="2"/>
  <c r="G82" i="2"/>
  <c r="G90" i="2"/>
  <c r="G102" i="2"/>
  <c r="G106" i="2"/>
  <c r="G126" i="2"/>
  <c r="G134" i="2"/>
  <c r="G147" i="2"/>
  <c r="G148" i="2"/>
  <c r="G150" i="2"/>
  <c r="G151" i="2"/>
  <c r="G154" i="2"/>
  <c r="G158" i="2"/>
  <c r="B80" i="2" l="1"/>
  <c r="B78" i="5"/>
  <c r="M66" i="6" l="1"/>
  <c r="M130" i="6"/>
  <c r="I79" i="5"/>
  <c r="J79" i="5" s="1"/>
  <c r="I80" i="5"/>
  <c r="J80" i="5" s="1"/>
  <c r="I81" i="5"/>
  <c r="I84" i="5"/>
  <c r="I85" i="5"/>
  <c r="J85" i="5" s="1"/>
  <c r="I86" i="5"/>
  <c r="J86" i="5" s="1"/>
  <c r="I87" i="5"/>
  <c r="J87" i="5" s="1"/>
  <c r="I88" i="5"/>
  <c r="J88" i="5" s="1"/>
  <c r="J81" i="10" l="1"/>
  <c r="J81" i="12"/>
  <c r="J81" i="8"/>
  <c r="J81" i="7"/>
  <c r="J81" i="6"/>
  <c r="J81" i="11"/>
  <c r="J81" i="13"/>
  <c r="J81" i="9"/>
  <c r="J84" i="5"/>
  <c r="J84" i="8"/>
  <c r="J84" i="9"/>
  <c r="J84" i="6"/>
  <c r="J84" i="13"/>
  <c r="J84" i="10"/>
  <c r="J84" i="7"/>
  <c r="J84" i="14"/>
  <c r="J84" i="11"/>
  <c r="J84" i="16"/>
  <c r="J84" i="12"/>
  <c r="J84" i="15"/>
  <c r="J81" i="5"/>
  <c r="J81" i="14"/>
  <c r="J81" i="15"/>
  <c r="J81" i="16"/>
  <c r="G28" i="7"/>
  <c r="G28" i="8"/>
  <c r="G28" i="9"/>
  <c r="G28" i="10"/>
  <c r="G28" i="11"/>
  <c r="G28" i="12"/>
  <c r="G28" i="13"/>
  <c r="G28" i="14"/>
  <c r="G28" i="15"/>
  <c r="F39" i="1" s="1"/>
  <c r="G28" i="16"/>
  <c r="G28" i="6"/>
  <c r="G28" i="5"/>
  <c r="O46" i="16"/>
  <c r="N46" i="16"/>
  <c r="N41" i="16" s="1"/>
  <c r="M46" i="16"/>
  <c r="M41" i="16" s="1"/>
  <c r="L46" i="16"/>
  <c r="O41" i="16"/>
  <c r="O46" i="15"/>
  <c r="N46" i="15"/>
  <c r="N41" i="15" s="1"/>
  <c r="M46" i="15"/>
  <c r="M41" i="15" s="1"/>
  <c r="M37" i="15" s="1"/>
  <c r="L46" i="15"/>
  <c r="O41" i="15"/>
  <c r="O46" i="14"/>
  <c r="O41" i="14" s="1"/>
  <c r="N46" i="14"/>
  <c r="N41" i="14" s="1"/>
  <c r="M46" i="14"/>
  <c r="M41" i="14" s="1"/>
  <c r="L46" i="14"/>
  <c r="O46" i="13"/>
  <c r="N46" i="13"/>
  <c r="N41" i="13" s="1"/>
  <c r="Q42" i="13" s="1"/>
  <c r="M46" i="13"/>
  <c r="M41" i="13" s="1"/>
  <c r="L46" i="13"/>
  <c r="O41" i="13"/>
  <c r="O46" i="12"/>
  <c r="N46" i="12"/>
  <c r="N41" i="12" s="1"/>
  <c r="R42" i="12" s="1"/>
  <c r="M46" i="12"/>
  <c r="M41" i="12" s="1"/>
  <c r="L46" i="12"/>
  <c r="O41" i="12"/>
  <c r="O46" i="11"/>
  <c r="N46" i="11"/>
  <c r="N41" i="11" s="1"/>
  <c r="M46" i="11"/>
  <c r="M41" i="11" s="1"/>
  <c r="L46" i="11"/>
  <c r="O41" i="11"/>
  <c r="O46" i="10"/>
  <c r="N46" i="10"/>
  <c r="N41" i="10" s="1"/>
  <c r="M46" i="10"/>
  <c r="M41" i="10" s="1"/>
  <c r="L46" i="10"/>
  <c r="O41" i="10"/>
  <c r="O46" i="9"/>
  <c r="N46" i="9"/>
  <c r="N41" i="9" s="1"/>
  <c r="M46" i="9"/>
  <c r="M41" i="9" s="1"/>
  <c r="L46" i="9"/>
  <c r="O41" i="9"/>
  <c r="O46" i="8"/>
  <c r="O41" i="8" s="1"/>
  <c r="N46" i="8"/>
  <c r="N41" i="8" s="1"/>
  <c r="R46" i="8" s="1"/>
  <c r="M46" i="8"/>
  <c r="M41" i="8" s="1"/>
  <c r="L46" i="8"/>
  <c r="O46" i="7"/>
  <c r="O41" i="7" s="1"/>
  <c r="N46" i="7"/>
  <c r="N41" i="7" s="1"/>
  <c r="M46" i="7"/>
  <c r="M41" i="7" s="1"/>
  <c r="L46" i="7"/>
  <c r="N46" i="6"/>
  <c r="N41" i="6" s="1"/>
  <c r="M46" i="6"/>
  <c r="M41" i="6" s="1"/>
  <c r="L46" i="6"/>
  <c r="O41" i="6"/>
  <c r="M127" i="5"/>
  <c r="M130" i="5"/>
  <c r="M116" i="5"/>
  <c r="M151" i="5"/>
  <c r="M142" i="5"/>
  <c r="M81" i="5"/>
  <c r="M74" i="5"/>
  <c r="M118" i="5"/>
  <c r="M66" i="5"/>
  <c r="M67" i="5"/>
  <c r="B78" i="28"/>
  <c r="B128" i="28"/>
  <c r="B126" i="28"/>
  <c r="B131" i="28" s="1"/>
  <c r="D100" i="28"/>
  <c r="B100" i="28"/>
  <c r="B47" i="28"/>
  <c r="D75" i="28"/>
  <c r="B75" i="28"/>
  <c r="B76" i="28" s="1"/>
  <c r="B46" i="28"/>
  <c r="B45" i="28"/>
  <c r="D44" i="28"/>
  <c r="B44" i="28"/>
  <c r="G32" i="28"/>
  <c r="D19" i="28" l="1"/>
  <c r="D101" i="28"/>
  <c r="D48" i="28"/>
  <c r="D45" i="28"/>
  <c r="Q40" i="11"/>
  <c r="Q41" i="11" s="1"/>
  <c r="D76" i="28"/>
  <c r="D18" i="28"/>
  <c r="G10" i="28"/>
  <c r="G11" i="28"/>
  <c r="L39" i="8"/>
  <c r="B127" i="28"/>
  <c r="N118" i="5"/>
  <c r="G13" i="28" l="1"/>
  <c r="AC26" i="4"/>
  <c r="AE26" i="4"/>
  <c r="AC29" i="4"/>
  <c r="AF14" i="4"/>
  <c r="F27" i="3"/>
  <c r="F28" i="3"/>
  <c r="O46" i="5"/>
  <c r="O41" i="5" s="1"/>
  <c r="H70" i="2"/>
  <c r="I70" i="2" s="1"/>
  <c r="H69" i="2"/>
  <c r="AC27" i="4" l="1"/>
  <c r="AC30" i="4"/>
  <c r="N31" i="4" s="1"/>
  <c r="O55" i="17"/>
  <c r="H62" i="24"/>
  <c r="F31" i="24"/>
  <c r="C31" i="24" s="1"/>
  <c r="F35" i="24"/>
  <c r="F24" i="24"/>
  <c r="C24" i="24" s="1"/>
  <c r="D35" i="24"/>
  <c r="C15" i="24"/>
  <c r="C17" i="24" s="1"/>
  <c r="B108" i="17"/>
  <c r="O56" i="17"/>
  <c r="O79" i="17"/>
  <c r="O54" i="22"/>
  <c r="Q48" i="22"/>
  <c r="AH53" i="4"/>
  <c r="Z57" i="4"/>
  <c r="AG24" i="4"/>
  <c r="AG23" i="4"/>
  <c r="AG25" i="4"/>
  <c r="Z28" i="4"/>
  <c r="F211" i="3"/>
  <c r="H46" i="13"/>
  <c r="B182" i="3" l="1"/>
  <c r="B197" i="3"/>
  <c r="B167" i="3"/>
  <c r="B152" i="3"/>
  <c r="O95" i="17"/>
  <c r="J94" i="17"/>
  <c r="C20" i="24" l="1"/>
  <c r="C78" i="8"/>
  <c r="D78" i="8"/>
  <c r="D78" i="5"/>
  <c r="C78" i="5"/>
  <c r="D78" i="6"/>
  <c r="C78" i="6"/>
  <c r="D78" i="7"/>
  <c r="C78" i="7"/>
  <c r="D78" i="9"/>
  <c r="C78" i="9"/>
  <c r="D78" i="10"/>
  <c r="C78" i="10"/>
  <c r="D78" i="11"/>
  <c r="C78" i="11"/>
  <c r="D78" i="16"/>
  <c r="C78" i="16"/>
  <c r="D78" i="15"/>
  <c r="C78" i="15"/>
  <c r="C78" i="13"/>
  <c r="D78" i="13"/>
  <c r="C78" i="12"/>
  <c r="D78" i="12"/>
  <c r="C78" i="14"/>
  <c r="D78" i="14"/>
  <c r="I69" i="2" l="1"/>
  <c r="C4" i="24"/>
  <c r="G6" i="10" l="1"/>
  <c r="B18" i="3" l="1"/>
  <c r="B138" i="3"/>
  <c r="F91" i="22"/>
  <c r="B54" i="22"/>
  <c r="D54" i="22" s="1"/>
  <c r="B29" i="22"/>
  <c r="M94" i="22"/>
  <c r="F93" i="22"/>
  <c r="F92" i="22"/>
  <c r="F119" i="22"/>
  <c r="O81" i="17" l="1"/>
  <c r="O82" i="17"/>
  <c r="O52" i="22" l="1"/>
  <c r="K94" i="22"/>
  <c r="M93" i="22"/>
  <c r="M92" i="22"/>
  <c r="M91" i="22"/>
  <c r="H93" i="22"/>
  <c r="K93" i="22" s="1"/>
  <c r="H92" i="22"/>
  <c r="K92" i="22" s="1"/>
  <c r="H91" i="22"/>
  <c r="K91" i="22" s="1"/>
  <c r="K106" i="22"/>
  <c r="W43" i="22"/>
  <c r="Y43" i="22" s="1"/>
  <c r="Q54" i="22"/>
  <c r="D40" i="1"/>
  <c r="D39" i="1"/>
  <c r="D38" i="1"/>
  <c r="D37" i="1"/>
  <c r="D36" i="1"/>
  <c r="D35" i="1"/>
  <c r="D34" i="1"/>
  <c r="D33" i="1"/>
  <c r="D32" i="1"/>
  <c r="D31" i="1"/>
  <c r="D30" i="1"/>
  <c r="O53" i="17"/>
  <c r="O54" i="17"/>
  <c r="D26" i="17"/>
  <c r="E26" i="17"/>
  <c r="F26" i="17"/>
  <c r="G26" i="17"/>
  <c r="H26" i="17"/>
  <c r="I26" i="17"/>
  <c r="J26" i="17"/>
  <c r="K26" i="17"/>
  <c r="L26" i="17"/>
  <c r="M26" i="17"/>
  <c r="N26" i="17"/>
  <c r="C26" i="17"/>
  <c r="O26" i="17" s="1"/>
  <c r="B19" i="3"/>
  <c r="B82" i="3"/>
  <c r="G6" i="9"/>
  <c r="E143" i="19"/>
  <c r="E135" i="19"/>
  <c r="E93" i="19"/>
  <c r="E77" i="19"/>
  <c r="C51" i="19"/>
  <c r="E27" i="19"/>
  <c r="O94" i="22" l="1"/>
  <c r="K95" i="22"/>
  <c r="O92" i="22"/>
  <c r="O93" i="22"/>
  <c r="O91" i="22"/>
  <c r="O95" i="22" s="1"/>
  <c r="C76" i="19"/>
  <c r="C31" i="19"/>
  <c r="Q50" i="22" l="1"/>
  <c r="Q51" i="22"/>
  <c r="Q49" i="22"/>
  <c r="Q42" i="22"/>
  <c r="H137" i="22" l="1"/>
  <c r="K137" i="22" s="1"/>
  <c r="U134" i="22"/>
  <c r="Y136" i="22" s="1"/>
  <c r="H136" i="22"/>
  <c r="Q43" i="22"/>
  <c r="S43" i="22" s="1"/>
  <c r="B68" i="3"/>
  <c r="B55" i="3"/>
  <c r="E128" i="7"/>
  <c r="U51" i="22"/>
  <c r="W41" i="22"/>
  <c r="Y41" i="22" s="1"/>
  <c r="D55" i="22"/>
  <c r="K102" i="22"/>
  <c r="K107" i="22" s="1"/>
  <c r="H107" i="22"/>
  <c r="AA28" i="22"/>
  <c r="AA27" i="22"/>
  <c r="F102" i="22"/>
  <c r="F101" i="22"/>
  <c r="F106" i="22"/>
  <c r="F105" i="22"/>
  <c r="F104" i="22"/>
  <c r="F103" i="22"/>
  <c r="F100" i="22"/>
  <c r="O105" i="22"/>
  <c r="O101" i="22"/>
  <c r="C92" i="17"/>
  <c r="N94" i="17"/>
  <c r="H94" i="17"/>
  <c r="F94" i="17"/>
  <c r="E94" i="17"/>
  <c r="D94" i="17"/>
  <c r="C94" i="17"/>
  <c r="O90" i="17"/>
  <c r="S44" i="22"/>
  <c r="S45" i="22"/>
  <c r="S46" i="22"/>
  <c r="S47" i="22"/>
  <c r="S48" i="22"/>
  <c r="S49" i="22"/>
  <c r="S50" i="22"/>
  <c r="S51" i="22"/>
  <c r="B120" i="22"/>
  <c r="W51" i="22"/>
  <c r="J29" i="22"/>
  <c r="L24" i="22"/>
  <c r="L17" i="22"/>
  <c r="N23" i="22"/>
  <c r="N17" i="22"/>
  <c r="P23" i="22"/>
  <c r="P17" i="22"/>
  <c r="J26" i="4"/>
  <c r="P20" i="4"/>
  <c r="P14" i="4"/>
  <c r="M21" i="4"/>
  <c r="M14" i="4"/>
  <c r="M26" i="4" s="1"/>
  <c r="S20" i="4"/>
  <c r="S26" i="4" s="1"/>
  <c r="S14" i="4"/>
  <c r="W28" i="4"/>
  <c r="T28" i="4"/>
  <c r="Q28" i="4"/>
  <c r="N28" i="4"/>
  <c r="AB14" i="4"/>
  <c r="AB26" i="4" s="1"/>
  <c r="Y20" i="4"/>
  <c r="Y14" i="4"/>
  <c r="Y26" i="4" s="1"/>
  <c r="V20" i="4"/>
  <c r="V14" i="4"/>
  <c r="V26" i="4" s="1"/>
  <c r="K28" i="4"/>
  <c r="H29" i="4"/>
  <c r="H28" i="4"/>
  <c r="F28" i="4"/>
  <c r="D28" i="4"/>
  <c r="D29" i="4" s="1"/>
  <c r="C40" i="22"/>
  <c r="C46" i="22"/>
  <c r="J40" i="22"/>
  <c r="P40" i="22"/>
  <c r="P52" i="22" s="1"/>
  <c r="J46" i="22"/>
  <c r="AG14" i="4"/>
  <c r="Q41" i="22"/>
  <c r="S41" i="22" s="1"/>
  <c r="S42" i="22"/>
  <c r="Q40" i="22"/>
  <c r="S40" i="22" s="1"/>
  <c r="Y51" i="22"/>
  <c r="B129" i="17" l="1"/>
  <c r="N29" i="22"/>
  <c r="P26" i="4"/>
  <c r="AF26" i="4"/>
  <c r="P29" i="22"/>
  <c r="L29" i="22"/>
  <c r="O107" i="22"/>
  <c r="O109" i="22" s="1"/>
  <c r="F107" i="22"/>
  <c r="J52" i="22"/>
  <c r="C52" i="22"/>
  <c r="B127" i="17"/>
  <c r="N35" i="17" l="1"/>
  <c r="M35" i="17"/>
  <c r="L35" i="17"/>
  <c r="K35" i="17"/>
  <c r="J35" i="17"/>
  <c r="I35" i="17"/>
  <c r="H35" i="17"/>
  <c r="G35" i="17"/>
  <c r="F35" i="17"/>
  <c r="E35" i="17"/>
  <c r="D35" i="17"/>
  <c r="N18" i="17"/>
  <c r="M18" i="17"/>
  <c r="L18" i="17"/>
  <c r="K18" i="17"/>
  <c r="J18" i="17"/>
  <c r="I18" i="17"/>
  <c r="H18" i="17"/>
  <c r="H27" i="17" s="1"/>
  <c r="G18" i="17"/>
  <c r="F18" i="17"/>
  <c r="E18" i="17"/>
  <c r="D18" i="17"/>
  <c r="N11" i="17"/>
  <c r="M11" i="17"/>
  <c r="L11" i="17"/>
  <c r="K11" i="17"/>
  <c r="J11" i="17"/>
  <c r="I11" i="17"/>
  <c r="H11" i="17"/>
  <c r="G11" i="17"/>
  <c r="F11" i="17"/>
  <c r="E11" i="17"/>
  <c r="D11" i="17"/>
  <c r="N13" i="17"/>
  <c r="M13" i="17"/>
  <c r="L13" i="17"/>
  <c r="K13" i="17"/>
  <c r="J13" i="17"/>
  <c r="I13" i="17"/>
  <c r="H13" i="17"/>
  <c r="G13" i="17"/>
  <c r="F13" i="17"/>
  <c r="E13" i="17"/>
  <c r="D13" i="17"/>
  <c r="C13" i="17"/>
  <c r="N6" i="17"/>
  <c r="N8" i="17" s="1"/>
  <c r="M6" i="17"/>
  <c r="M8" i="17" s="1"/>
  <c r="L6" i="17"/>
  <c r="K6" i="17"/>
  <c r="K8" i="17" s="1"/>
  <c r="J6" i="17"/>
  <c r="I6" i="17"/>
  <c r="H6" i="17"/>
  <c r="G6" i="17"/>
  <c r="F6" i="17"/>
  <c r="E6" i="17"/>
  <c r="D6" i="17"/>
  <c r="C30" i="17"/>
  <c r="C32" i="17" s="1"/>
  <c r="C65" i="5"/>
  <c r="L8" i="17" l="1"/>
  <c r="D27" i="17"/>
  <c r="L27" i="17"/>
  <c r="N27" i="17"/>
  <c r="E27" i="17"/>
  <c r="I27" i="17"/>
  <c r="K27" i="17"/>
  <c r="J27" i="17"/>
  <c r="M27" i="17"/>
  <c r="I161" i="16" l="1"/>
  <c r="I161" i="15"/>
  <c r="I161" i="13"/>
  <c r="I161" i="12"/>
  <c r="I161" i="11"/>
  <c r="I161" i="10"/>
  <c r="I161" i="9"/>
  <c r="I161" i="8"/>
  <c r="I161" i="7"/>
  <c r="I161" i="6"/>
  <c r="H151" i="2"/>
  <c r="J58" i="15"/>
  <c r="J59" i="15"/>
  <c r="J60" i="15"/>
  <c r="J61" i="15"/>
  <c r="J64" i="15"/>
  <c r="J65" i="15"/>
  <c r="J68" i="15"/>
  <c r="J69" i="15"/>
  <c r="J73" i="15"/>
  <c r="J95" i="15"/>
  <c r="J96" i="15"/>
  <c r="J100" i="15"/>
  <c r="J101" i="15"/>
  <c r="J109" i="15"/>
  <c r="J110" i="15"/>
  <c r="J114" i="15"/>
  <c r="J115" i="15"/>
  <c r="J119" i="15"/>
  <c r="J120" i="15"/>
  <c r="J124" i="15"/>
  <c r="J125" i="15"/>
  <c r="J128" i="15"/>
  <c r="J129" i="15"/>
  <c r="J132" i="15"/>
  <c r="J133" i="15"/>
  <c r="J134" i="15"/>
  <c r="J135" i="15"/>
  <c r="J137" i="15"/>
  <c r="J138" i="15"/>
  <c r="J140" i="15"/>
  <c r="J141" i="15"/>
  <c r="C155" i="16"/>
  <c r="C149" i="16"/>
  <c r="C146" i="16"/>
  <c r="C141" i="16"/>
  <c r="C138" i="16"/>
  <c r="C125" i="16"/>
  <c r="C120" i="16"/>
  <c r="C115" i="16"/>
  <c r="C110" i="16"/>
  <c r="C101" i="16"/>
  <c r="C96" i="16"/>
  <c r="C90" i="16"/>
  <c r="C65" i="16"/>
  <c r="C61" i="16"/>
  <c r="C155" i="15"/>
  <c r="C149" i="15"/>
  <c r="C146" i="15"/>
  <c r="C141" i="15"/>
  <c r="C138" i="15"/>
  <c r="C125" i="15"/>
  <c r="C120" i="15"/>
  <c r="C115" i="15"/>
  <c r="C110" i="15"/>
  <c r="C101" i="15"/>
  <c r="C96" i="15"/>
  <c r="C90" i="15"/>
  <c r="C65" i="15"/>
  <c r="C61" i="15"/>
  <c r="C155" i="14"/>
  <c r="C149" i="14"/>
  <c r="C146" i="14"/>
  <c r="C141" i="14"/>
  <c r="C138" i="14"/>
  <c r="C125" i="14"/>
  <c r="C120" i="14"/>
  <c r="C115" i="14"/>
  <c r="C110" i="14"/>
  <c r="C101" i="14"/>
  <c r="C96" i="14"/>
  <c r="C90" i="14"/>
  <c r="C65" i="14"/>
  <c r="C61" i="14"/>
  <c r="C155" i="13"/>
  <c r="C149" i="13"/>
  <c r="C146" i="13"/>
  <c r="C141" i="13"/>
  <c r="C138" i="13"/>
  <c r="C125" i="13"/>
  <c r="C120" i="13"/>
  <c r="C115" i="13"/>
  <c r="C110" i="13"/>
  <c r="C101" i="13"/>
  <c r="C96" i="13"/>
  <c r="C90" i="13"/>
  <c r="C65" i="13"/>
  <c r="C61" i="13"/>
  <c r="C155" i="12"/>
  <c r="C149" i="12"/>
  <c r="C146" i="12"/>
  <c r="C141" i="12"/>
  <c r="C138" i="12"/>
  <c r="C125" i="12"/>
  <c r="C120" i="12"/>
  <c r="C115" i="12"/>
  <c r="C110" i="12"/>
  <c r="C101" i="12"/>
  <c r="C96" i="12"/>
  <c r="C90" i="12"/>
  <c r="C65" i="12"/>
  <c r="C61" i="12"/>
  <c r="C155" i="11"/>
  <c r="C149" i="11"/>
  <c r="C146" i="11"/>
  <c r="C141" i="11"/>
  <c r="C138" i="11"/>
  <c r="C125" i="11"/>
  <c r="C120" i="11"/>
  <c r="C115" i="11"/>
  <c r="C110" i="11"/>
  <c r="C101" i="11"/>
  <c r="C96" i="11"/>
  <c r="C90" i="11"/>
  <c r="C65" i="11"/>
  <c r="C61" i="11"/>
  <c r="C155" i="10"/>
  <c r="C149" i="10"/>
  <c r="C146" i="10"/>
  <c r="C141" i="10"/>
  <c r="C138" i="10"/>
  <c r="C125" i="10"/>
  <c r="C120" i="10"/>
  <c r="C115" i="10"/>
  <c r="C110" i="10"/>
  <c r="C101" i="10"/>
  <c r="C96" i="10"/>
  <c r="C90" i="10"/>
  <c r="C65" i="10"/>
  <c r="C61" i="10"/>
  <c r="C155" i="9"/>
  <c r="C149" i="9"/>
  <c r="C146" i="9"/>
  <c r="C141" i="9"/>
  <c r="C138" i="9"/>
  <c r="C125" i="9"/>
  <c r="C120" i="9"/>
  <c r="C115" i="9"/>
  <c r="C110" i="9"/>
  <c r="C101" i="9"/>
  <c r="C96" i="9"/>
  <c r="C90" i="9"/>
  <c r="C65" i="9"/>
  <c r="C61" i="9"/>
  <c r="C155" i="8"/>
  <c r="C149" i="8"/>
  <c r="C146" i="8"/>
  <c r="C141" i="8"/>
  <c r="C138" i="8"/>
  <c r="E129" i="8"/>
  <c r="E128" i="8"/>
  <c r="C125" i="8"/>
  <c r="C120" i="8"/>
  <c r="C115" i="8"/>
  <c r="C110" i="8"/>
  <c r="C101" i="8"/>
  <c r="C96" i="8"/>
  <c r="C90" i="8"/>
  <c r="C65" i="8"/>
  <c r="C61" i="8"/>
  <c r="C155" i="7"/>
  <c r="C149" i="7"/>
  <c r="C146" i="7"/>
  <c r="C141" i="7"/>
  <c r="C138" i="7"/>
  <c r="C125" i="7"/>
  <c r="C120" i="7"/>
  <c r="C115" i="7"/>
  <c r="C110" i="7"/>
  <c r="C101" i="7"/>
  <c r="C96" i="7"/>
  <c r="C90" i="7"/>
  <c r="C65" i="7"/>
  <c r="C61" i="7"/>
  <c r="C155" i="6"/>
  <c r="C149" i="6"/>
  <c r="C146" i="6"/>
  <c r="C141" i="6"/>
  <c r="C138" i="6"/>
  <c r="C125" i="6"/>
  <c r="C120" i="6"/>
  <c r="C115" i="6"/>
  <c r="C110" i="6"/>
  <c r="C101" i="6"/>
  <c r="C96" i="6"/>
  <c r="C90" i="6"/>
  <c r="C65" i="6"/>
  <c r="C61" i="6"/>
  <c r="C155" i="5"/>
  <c r="C149" i="5"/>
  <c r="C146" i="5"/>
  <c r="C141" i="5"/>
  <c r="C138" i="5"/>
  <c r="C125" i="5"/>
  <c r="C120" i="5"/>
  <c r="C115" i="5"/>
  <c r="C110" i="5"/>
  <c r="C101" i="5"/>
  <c r="C96" i="5"/>
  <c r="C90" i="5"/>
  <c r="C61" i="5"/>
  <c r="I166" i="13"/>
  <c r="I168" i="13"/>
  <c r="I166" i="10"/>
  <c r="I170" i="16"/>
  <c r="N23" i="17"/>
  <c r="N21" i="17"/>
  <c r="I160" i="16"/>
  <c r="I159" i="16"/>
  <c r="I158" i="16"/>
  <c r="I170" i="15"/>
  <c r="M24" i="17"/>
  <c r="M22" i="17"/>
  <c r="M20" i="17"/>
  <c r="I160" i="15"/>
  <c r="I159" i="15"/>
  <c r="I158" i="15"/>
  <c r="I170" i="14"/>
  <c r="L23" i="17"/>
  <c r="L21" i="17"/>
  <c r="I160" i="14"/>
  <c r="I159" i="14"/>
  <c r="I158" i="14"/>
  <c r="I170" i="13"/>
  <c r="K24" i="17"/>
  <c r="K22" i="17"/>
  <c r="K20" i="17"/>
  <c r="I160" i="13"/>
  <c r="I159" i="13"/>
  <c r="I158" i="13"/>
  <c r="I170" i="12"/>
  <c r="J23" i="17"/>
  <c r="J21" i="17"/>
  <c r="I160" i="12"/>
  <c r="I159" i="12"/>
  <c r="I158" i="12"/>
  <c r="I157" i="12"/>
  <c r="I170" i="11"/>
  <c r="I24" i="17"/>
  <c r="I23" i="17"/>
  <c r="I22" i="17"/>
  <c r="I21" i="17"/>
  <c r="I20" i="17"/>
  <c r="I160" i="11"/>
  <c r="I159" i="11"/>
  <c r="I158" i="11"/>
  <c r="I157" i="11"/>
  <c r="I170" i="10"/>
  <c r="H24" i="17"/>
  <c r="H22" i="17"/>
  <c r="H20" i="17"/>
  <c r="I160" i="10"/>
  <c r="I159" i="10"/>
  <c r="I158" i="10"/>
  <c r="I170" i="9"/>
  <c r="G24" i="17"/>
  <c r="G22" i="17"/>
  <c r="G21" i="17"/>
  <c r="G20" i="17"/>
  <c r="I160" i="9"/>
  <c r="I159" i="9"/>
  <c r="I158" i="9"/>
  <c r="I170" i="8"/>
  <c r="F24" i="17"/>
  <c r="F27" i="17" s="1"/>
  <c r="F23" i="17"/>
  <c r="F22" i="17"/>
  <c r="F21" i="17"/>
  <c r="F20" i="17"/>
  <c r="I160" i="8"/>
  <c r="I159" i="8"/>
  <c r="I158" i="8"/>
  <c r="I170" i="7"/>
  <c r="I159" i="7"/>
  <c r="I157" i="7"/>
  <c r="I170" i="6"/>
  <c r="D22" i="17"/>
  <c r="D21" i="17"/>
  <c r="D20" i="17"/>
  <c r="C76" i="7" l="1"/>
  <c r="I165" i="12"/>
  <c r="I167" i="12"/>
  <c r="I168" i="10"/>
  <c r="I164" i="10"/>
  <c r="I164" i="9"/>
  <c r="I168" i="9"/>
  <c r="I166" i="9"/>
  <c r="I158" i="6"/>
  <c r="I159" i="6"/>
  <c r="I151" i="2"/>
  <c r="I160" i="6"/>
  <c r="D23" i="17"/>
  <c r="D24" i="17"/>
  <c r="I161" i="5"/>
  <c r="J161" i="7" s="1"/>
  <c r="C24" i="17"/>
  <c r="C20" i="17"/>
  <c r="I168" i="5"/>
  <c r="J168" i="5" s="1"/>
  <c r="C22" i="17"/>
  <c r="I164" i="5"/>
  <c r="J164" i="5" s="1"/>
  <c r="I167" i="14"/>
  <c r="I165" i="14"/>
  <c r="I164" i="13"/>
  <c r="E23" i="17"/>
  <c r="G23" i="17"/>
  <c r="I167" i="9"/>
  <c r="H21" i="17"/>
  <c r="I165" i="10"/>
  <c r="L22" i="17"/>
  <c r="I166" i="14"/>
  <c r="A165" i="10"/>
  <c r="C21" i="17"/>
  <c r="I165" i="5"/>
  <c r="J165" i="5" s="1"/>
  <c r="N20" i="17"/>
  <c r="I164" i="16"/>
  <c r="A165" i="16"/>
  <c r="N24" i="17"/>
  <c r="I168" i="16"/>
  <c r="I167" i="8"/>
  <c r="A165" i="5"/>
  <c r="C76" i="8"/>
  <c r="C76" i="9"/>
  <c r="J161" i="5"/>
  <c r="J20" i="17"/>
  <c r="I164" i="12"/>
  <c r="A165" i="12"/>
  <c r="J24" i="17"/>
  <c r="I168" i="12"/>
  <c r="K23" i="17"/>
  <c r="I167" i="13"/>
  <c r="M21" i="17"/>
  <c r="I165" i="15"/>
  <c r="I165" i="6"/>
  <c r="J165" i="6" s="1"/>
  <c r="A158" i="7"/>
  <c r="E21" i="17"/>
  <c r="H23" i="17"/>
  <c r="I167" i="10"/>
  <c r="J22" i="17"/>
  <c r="I166" i="12"/>
  <c r="K21" i="17"/>
  <c r="I165" i="13"/>
  <c r="L20" i="17"/>
  <c r="A165" i="14"/>
  <c r="I164" i="14"/>
  <c r="L24" i="17"/>
  <c r="I168" i="14"/>
  <c r="M23" i="17"/>
  <c r="I167" i="15"/>
  <c r="I165" i="8"/>
  <c r="C23" i="17"/>
  <c r="I167" i="5"/>
  <c r="A158" i="6"/>
  <c r="B155" i="6"/>
  <c r="D155" i="6" s="1"/>
  <c r="I157" i="6"/>
  <c r="N22" i="17"/>
  <c r="I166" i="16"/>
  <c r="I167" i="6"/>
  <c r="I166" i="7"/>
  <c r="E22" i="17"/>
  <c r="B155" i="8"/>
  <c r="D155" i="8" s="1"/>
  <c r="A158" i="10"/>
  <c r="I168" i="6"/>
  <c r="I164" i="6"/>
  <c r="J164" i="6" s="1"/>
  <c r="I164" i="8"/>
  <c r="C76" i="5"/>
  <c r="C76" i="6"/>
  <c r="C76" i="11"/>
  <c r="A165" i="13"/>
  <c r="I168" i="15"/>
  <c r="I164" i="15"/>
  <c r="I165" i="16"/>
  <c r="I158" i="2"/>
  <c r="C76" i="14"/>
  <c r="I166" i="5"/>
  <c r="A165" i="7"/>
  <c r="E20" i="17"/>
  <c r="I168" i="7"/>
  <c r="E24" i="17"/>
  <c r="I166" i="6"/>
  <c r="I166" i="8"/>
  <c r="C76" i="10"/>
  <c r="C76" i="12"/>
  <c r="C76" i="15"/>
  <c r="A165" i="15"/>
  <c r="C76" i="16"/>
  <c r="I166" i="15"/>
  <c r="I167" i="16"/>
  <c r="I161" i="14"/>
  <c r="E119" i="2"/>
  <c r="E123" i="2"/>
  <c r="E125" i="2"/>
  <c r="E118" i="2"/>
  <c r="E122" i="2"/>
  <c r="E124" i="2"/>
  <c r="I167" i="11"/>
  <c r="I165" i="11"/>
  <c r="A165" i="11"/>
  <c r="I168" i="11"/>
  <c r="I166" i="11"/>
  <c r="I164" i="11"/>
  <c r="B155" i="12"/>
  <c r="D155" i="12" s="1"/>
  <c r="A158" i="12"/>
  <c r="B155" i="11"/>
  <c r="D155" i="11" s="1"/>
  <c r="A158" i="11"/>
  <c r="J161" i="13"/>
  <c r="I157" i="10"/>
  <c r="B155" i="10"/>
  <c r="D155" i="10" s="1"/>
  <c r="A158" i="9"/>
  <c r="G27" i="17"/>
  <c r="I165" i="9"/>
  <c r="A165" i="9"/>
  <c r="I157" i="9"/>
  <c r="B155" i="9"/>
  <c r="D155" i="9" s="1"/>
  <c r="A165" i="8"/>
  <c r="I168" i="8"/>
  <c r="A158" i="8"/>
  <c r="I157" i="8"/>
  <c r="A158" i="5"/>
  <c r="B155" i="5"/>
  <c r="D155" i="5" s="1"/>
  <c r="I167" i="7"/>
  <c r="I165" i="7"/>
  <c r="I160" i="7"/>
  <c r="I158" i="7"/>
  <c r="B155" i="7"/>
  <c r="D155" i="7" s="1"/>
  <c r="I164" i="7"/>
  <c r="C76" i="13"/>
  <c r="J161" i="15" l="1"/>
  <c r="J161" i="9"/>
  <c r="J168" i="10"/>
  <c r="J166" i="13"/>
  <c r="J161" i="11"/>
  <c r="J161" i="8"/>
  <c r="J168" i="15"/>
  <c r="J161" i="12"/>
  <c r="J168" i="6"/>
  <c r="J161" i="6"/>
  <c r="J161" i="10"/>
  <c r="J161" i="16"/>
  <c r="J168" i="11"/>
  <c r="J166" i="7"/>
  <c r="O21" i="17"/>
  <c r="J168" i="7"/>
  <c r="J166" i="12"/>
  <c r="J161" i="14"/>
  <c r="O20" i="17"/>
  <c r="O23" i="17"/>
  <c r="J166" i="15"/>
  <c r="O22" i="17"/>
  <c r="J166" i="9"/>
  <c r="J166" i="8"/>
  <c r="J166" i="14"/>
  <c r="J168" i="14"/>
  <c r="J166" i="5"/>
  <c r="J166" i="6"/>
  <c r="J167" i="5"/>
  <c r="J167" i="6"/>
  <c r="J166" i="11"/>
  <c r="J166" i="10"/>
  <c r="J168" i="13"/>
  <c r="J166" i="16"/>
  <c r="J168" i="9"/>
  <c r="J168" i="16"/>
  <c r="J168" i="8"/>
  <c r="J168" i="12"/>
  <c r="J164" i="15"/>
  <c r="J164" i="14"/>
  <c r="J164" i="13"/>
  <c r="J164" i="12"/>
  <c r="J164" i="10"/>
  <c r="J164" i="8"/>
  <c r="J164" i="7"/>
  <c r="J164" i="16"/>
  <c r="J164" i="11"/>
  <c r="J164" i="9"/>
  <c r="J165" i="16"/>
  <c r="J165" i="11"/>
  <c r="J165" i="9"/>
  <c r="J165" i="15"/>
  <c r="J165" i="14"/>
  <c r="J165" i="13"/>
  <c r="J165" i="12"/>
  <c r="J165" i="10"/>
  <c r="J165" i="8"/>
  <c r="J165" i="7"/>
  <c r="A155" i="2"/>
  <c r="J167" i="16"/>
  <c r="J167" i="11"/>
  <c r="J167" i="9"/>
  <c r="J167" i="15"/>
  <c r="J167" i="14"/>
  <c r="J167" i="13"/>
  <c r="J167" i="12"/>
  <c r="J167" i="10"/>
  <c r="J167" i="8"/>
  <c r="J167" i="7"/>
  <c r="I151" i="16" l="1"/>
  <c r="B149" i="16"/>
  <c r="D149" i="16" s="1"/>
  <c r="I144" i="16"/>
  <c r="I143" i="16"/>
  <c r="B138" i="16"/>
  <c r="D42" i="16" s="1"/>
  <c r="I136" i="16"/>
  <c r="I131" i="16"/>
  <c r="I130" i="16"/>
  <c r="I127" i="16"/>
  <c r="I123" i="16"/>
  <c r="I122" i="16"/>
  <c r="I121" i="16"/>
  <c r="I118" i="16"/>
  <c r="I117" i="16"/>
  <c r="I113" i="16"/>
  <c r="I112" i="16"/>
  <c r="I108" i="16"/>
  <c r="I107" i="16"/>
  <c r="I106" i="16"/>
  <c r="I105" i="16"/>
  <c r="I104" i="16"/>
  <c r="I103" i="16"/>
  <c r="I102" i="16"/>
  <c r="I99" i="16"/>
  <c r="I98" i="16"/>
  <c r="I94" i="16"/>
  <c r="I93" i="16"/>
  <c r="I92" i="16"/>
  <c r="I91" i="16"/>
  <c r="I74" i="16"/>
  <c r="I72" i="16"/>
  <c r="I71" i="16"/>
  <c r="I70" i="16"/>
  <c r="I67" i="16"/>
  <c r="I63" i="16"/>
  <c r="I62" i="16"/>
  <c r="I57" i="16"/>
  <c r="I56" i="16"/>
  <c r="I54" i="16"/>
  <c r="I52" i="16"/>
  <c r="I51" i="16"/>
  <c r="I50" i="16"/>
  <c r="I49" i="16"/>
  <c r="E36" i="16"/>
  <c r="H28" i="16"/>
  <c r="I26" i="16"/>
  <c r="I25" i="16"/>
  <c r="B24" i="16"/>
  <c r="I22" i="16"/>
  <c r="B22" i="16"/>
  <c r="I20" i="16"/>
  <c r="I19" i="16"/>
  <c r="I18" i="16"/>
  <c r="I17" i="16"/>
  <c r="I16" i="16"/>
  <c r="I15" i="16"/>
  <c r="I14" i="16"/>
  <c r="B13" i="16"/>
  <c r="G7" i="16"/>
  <c r="G6" i="16"/>
  <c r="G5" i="16"/>
  <c r="I151" i="15"/>
  <c r="I144" i="15"/>
  <c r="I143" i="15"/>
  <c r="B138" i="15"/>
  <c r="D42" i="15" s="1"/>
  <c r="I136" i="15"/>
  <c r="I131" i="15"/>
  <c r="I130" i="15"/>
  <c r="I127" i="15"/>
  <c r="I123" i="15"/>
  <c r="I122" i="15"/>
  <c r="I118" i="15"/>
  <c r="I117" i="15"/>
  <c r="I113" i="15"/>
  <c r="I112" i="15"/>
  <c r="I108" i="15"/>
  <c r="I107" i="15"/>
  <c r="I106" i="15"/>
  <c r="I105" i="15"/>
  <c r="I104" i="15"/>
  <c r="I103" i="15"/>
  <c r="I99" i="15"/>
  <c r="I98" i="15"/>
  <c r="I94" i="15"/>
  <c r="I93" i="15"/>
  <c r="I92" i="15"/>
  <c r="I91" i="15"/>
  <c r="I74" i="15"/>
  <c r="I72" i="15"/>
  <c r="I71" i="15"/>
  <c r="I70" i="15"/>
  <c r="I67" i="15"/>
  <c r="I63" i="15"/>
  <c r="I62" i="15"/>
  <c r="I57" i="15"/>
  <c r="I56" i="15"/>
  <c r="I55" i="15"/>
  <c r="I54" i="15"/>
  <c r="I52" i="15"/>
  <c r="I51" i="15"/>
  <c r="I50" i="15"/>
  <c r="I49" i="15"/>
  <c r="H28" i="15"/>
  <c r="I26" i="15"/>
  <c r="I25" i="15"/>
  <c r="B24" i="15"/>
  <c r="I22" i="15"/>
  <c r="B22" i="15"/>
  <c r="I20" i="15"/>
  <c r="I19" i="15"/>
  <c r="I18" i="15"/>
  <c r="I17" i="15"/>
  <c r="I16" i="15"/>
  <c r="I15" i="15"/>
  <c r="I14" i="15"/>
  <c r="B13" i="15"/>
  <c r="G7" i="15"/>
  <c r="G6" i="15"/>
  <c r="G5" i="15"/>
  <c r="I151" i="14"/>
  <c r="I144" i="14"/>
  <c r="I143" i="14"/>
  <c r="I142" i="14"/>
  <c r="I136" i="14"/>
  <c r="I131" i="14"/>
  <c r="I130" i="14"/>
  <c r="I127" i="14"/>
  <c r="I123" i="14"/>
  <c r="I122" i="14"/>
  <c r="I118" i="14"/>
  <c r="I117" i="14"/>
  <c r="I113" i="14"/>
  <c r="I112" i="14"/>
  <c r="I108" i="14"/>
  <c r="I107" i="14"/>
  <c r="I106" i="14"/>
  <c r="I105" i="14"/>
  <c r="I104" i="14"/>
  <c r="I103" i="14"/>
  <c r="I99" i="14"/>
  <c r="I98" i="14"/>
  <c r="I94" i="14"/>
  <c r="I93" i="14"/>
  <c r="I92" i="14"/>
  <c r="I74" i="14"/>
  <c r="I72" i="14"/>
  <c r="I71" i="14"/>
  <c r="I70" i="14"/>
  <c r="I67" i="14"/>
  <c r="I63" i="14"/>
  <c r="I57" i="14"/>
  <c r="I56" i="14"/>
  <c r="I54" i="14"/>
  <c r="I52" i="14"/>
  <c r="I51" i="14"/>
  <c r="I50" i="14"/>
  <c r="I49" i="14"/>
  <c r="H28" i="14"/>
  <c r="I26" i="14"/>
  <c r="I25" i="14"/>
  <c r="B24" i="14"/>
  <c r="I22" i="14"/>
  <c r="B22" i="14"/>
  <c r="I20" i="14"/>
  <c r="I19" i="14"/>
  <c r="I18" i="14"/>
  <c r="I17" i="14"/>
  <c r="I16" i="14"/>
  <c r="I15" i="14"/>
  <c r="I14" i="14"/>
  <c r="B13" i="14"/>
  <c r="G7" i="14"/>
  <c r="G6" i="14"/>
  <c r="G5" i="14"/>
  <c r="I151" i="13"/>
  <c r="I144" i="13"/>
  <c r="I143" i="13"/>
  <c r="I142" i="13"/>
  <c r="I136" i="13"/>
  <c r="I131" i="13"/>
  <c r="I130" i="13"/>
  <c r="I127" i="13"/>
  <c r="I123" i="13"/>
  <c r="I122" i="13"/>
  <c r="I118" i="13"/>
  <c r="I117" i="13"/>
  <c r="I113" i="13"/>
  <c r="I112" i="13"/>
  <c r="I108" i="13"/>
  <c r="I107" i="13"/>
  <c r="I106" i="13"/>
  <c r="I105" i="13"/>
  <c r="I104" i="13"/>
  <c r="I103" i="13"/>
  <c r="I99" i="13"/>
  <c r="I98" i="13"/>
  <c r="I94" i="13"/>
  <c r="I93" i="13"/>
  <c r="I92" i="13"/>
  <c r="I74" i="13"/>
  <c r="I72" i="13"/>
  <c r="I71" i="13"/>
  <c r="I70" i="13"/>
  <c r="I67" i="13"/>
  <c r="I63" i="13"/>
  <c r="I57" i="13"/>
  <c r="I56" i="13"/>
  <c r="C48" i="13"/>
  <c r="C47" i="13" s="1"/>
  <c r="I54" i="13"/>
  <c r="I52" i="13"/>
  <c r="I51" i="13"/>
  <c r="I50" i="13"/>
  <c r="H28" i="13"/>
  <c r="I26" i="13"/>
  <c r="I25" i="13"/>
  <c r="B24" i="13"/>
  <c r="I22" i="13"/>
  <c r="B22" i="13"/>
  <c r="I20" i="13"/>
  <c r="I19" i="13"/>
  <c r="I18" i="13"/>
  <c r="I17" i="13"/>
  <c r="I16" i="13"/>
  <c r="I15" i="13"/>
  <c r="I14" i="13"/>
  <c r="B13" i="13"/>
  <c r="G7" i="13"/>
  <c r="G6" i="13"/>
  <c r="G5" i="13"/>
  <c r="E44" i="12"/>
  <c r="I151" i="12"/>
  <c r="I144" i="12"/>
  <c r="I143" i="12"/>
  <c r="I136" i="12"/>
  <c r="I131" i="12"/>
  <c r="I130" i="12"/>
  <c r="I123" i="12"/>
  <c r="I121" i="12"/>
  <c r="I117" i="12"/>
  <c r="I116" i="12"/>
  <c r="I113" i="12"/>
  <c r="I112" i="12"/>
  <c r="I108" i="12"/>
  <c r="I107" i="12"/>
  <c r="I106" i="12"/>
  <c r="I105" i="12"/>
  <c r="I104" i="12"/>
  <c r="I103" i="12"/>
  <c r="I99" i="12"/>
  <c r="I98" i="12"/>
  <c r="I94" i="12"/>
  <c r="I93" i="12"/>
  <c r="I91" i="12"/>
  <c r="I72" i="12"/>
  <c r="I71" i="12"/>
  <c r="I70" i="12"/>
  <c r="I67" i="12"/>
  <c r="I66" i="12"/>
  <c r="I62" i="12"/>
  <c r="I57" i="12"/>
  <c r="I56" i="12"/>
  <c r="I54" i="12"/>
  <c r="I52" i="12"/>
  <c r="I51" i="12"/>
  <c r="I50" i="12"/>
  <c r="I49" i="12"/>
  <c r="H28" i="12"/>
  <c r="I26" i="12"/>
  <c r="I25" i="12"/>
  <c r="B24" i="12"/>
  <c r="I22" i="12"/>
  <c r="B22" i="12"/>
  <c r="I20" i="12"/>
  <c r="I19" i="12"/>
  <c r="I18" i="12"/>
  <c r="I17" i="12"/>
  <c r="I16" i="12"/>
  <c r="I15" i="12"/>
  <c r="I14" i="12"/>
  <c r="B13" i="12"/>
  <c r="G7" i="12"/>
  <c r="G6" i="12"/>
  <c r="G5" i="12"/>
  <c r="I151" i="11"/>
  <c r="I144" i="11"/>
  <c r="I143" i="11"/>
  <c r="I136" i="11"/>
  <c r="I131" i="11"/>
  <c r="I127" i="11"/>
  <c r="I126" i="11"/>
  <c r="I123" i="11"/>
  <c r="I121" i="11"/>
  <c r="I117" i="11"/>
  <c r="I116" i="11"/>
  <c r="I113" i="11"/>
  <c r="I111" i="11"/>
  <c r="I108" i="11"/>
  <c r="I107" i="11"/>
  <c r="I106" i="11"/>
  <c r="I105" i="11"/>
  <c r="I103" i="11"/>
  <c r="I102" i="11"/>
  <c r="I99" i="11"/>
  <c r="I98" i="11"/>
  <c r="I94" i="11"/>
  <c r="I93" i="11"/>
  <c r="I92" i="11"/>
  <c r="I72" i="11"/>
  <c r="I71" i="11"/>
  <c r="I70" i="11"/>
  <c r="I67" i="11"/>
  <c r="I66" i="11"/>
  <c r="I62" i="11"/>
  <c r="I57" i="11"/>
  <c r="I56" i="11"/>
  <c r="I54" i="11"/>
  <c r="I52" i="11"/>
  <c r="I51" i="11"/>
  <c r="I50" i="11"/>
  <c r="I49" i="11"/>
  <c r="E44" i="11"/>
  <c r="H28" i="11"/>
  <c r="I26" i="11"/>
  <c r="I25" i="11"/>
  <c r="B24" i="11"/>
  <c r="I22" i="11"/>
  <c r="B22" i="11"/>
  <c r="I20" i="11"/>
  <c r="I19" i="11"/>
  <c r="I18" i="11"/>
  <c r="I17" i="11"/>
  <c r="I16" i="11"/>
  <c r="I15" i="11"/>
  <c r="I14" i="11"/>
  <c r="B13" i="11"/>
  <c r="G7" i="11"/>
  <c r="J7" i="11" s="1"/>
  <c r="G6" i="11"/>
  <c r="G5" i="11"/>
  <c r="I151" i="10"/>
  <c r="I144" i="10"/>
  <c r="I143" i="10"/>
  <c r="B138" i="10"/>
  <c r="D42" i="10" s="1"/>
  <c r="I136" i="10"/>
  <c r="I131" i="10"/>
  <c r="I127" i="10"/>
  <c r="I126" i="10"/>
  <c r="I122" i="10"/>
  <c r="I121" i="10"/>
  <c r="I117" i="10"/>
  <c r="I116" i="10"/>
  <c r="I113" i="10"/>
  <c r="I111" i="10"/>
  <c r="I108" i="10"/>
  <c r="I107" i="10"/>
  <c r="I106" i="10"/>
  <c r="I105" i="10"/>
  <c r="I104" i="10"/>
  <c r="I103" i="10"/>
  <c r="I99" i="10"/>
  <c r="I98" i="10"/>
  <c r="I94" i="10"/>
  <c r="I93" i="10"/>
  <c r="I91" i="10"/>
  <c r="I74" i="10"/>
  <c r="I72" i="10"/>
  <c r="I71" i="10"/>
  <c r="I70" i="10"/>
  <c r="I66" i="10"/>
  <c r="I57" i="10"/>
  <c r="I56" i="10"/>
  <c r="I54" i="10"/>
  <c r="I52" i="10"/>
  <c r="I51" i="10"/>
  <c r="I50" i="10"/>
  <c r="I49" i="10"/>
  <c r="E44" i="10"/>
  <c r="H28" i="10"/>
  <c r="I26" i="10"/>
  <c r="I25" i="10"/>
  <c r="B24" i="10"/>
  <c r="I22" i="10"/>
  <c r="B22" i="10"/>
  <c r="I20" i="10"/>
  <c r="I19" i="10"/>
  <c r="I18" i="10"/>
  <c r="I17" i="10"/>
  <c r="I16" i="10"/>
  <c r="I15" i="10"/>
  <c r="I14" i="10"/>
  <c r="B13" i="10"/>
  <c r="G7" i="10"/>
  <c r="G5" i="10"/>
  <c r="I150" i="9"/>
  <c r="I144" i="9"/>
  <c r="I143" i="9"/>
  <c r="B138" i="9"/>
  <c r="D42" i="9" s="1"/>
  <c r="I136" i="9"/>
  <c r="I130" i="9"/>
  <c r="I127" i="9"/>
  <c r="I126" i="9"/>
  <c r="I123" i="9"/>
  <c r="I121" i="9"/>
  <c r="I117" i="9"/>
  <c r="I116" i="9"/>
  <c r="I113" i="9"/>
  <c r="I112" i="9"/>
  <c r="I108" i="9"/>
  <c r="I107" i="9"/>
  <c r="I106" i="9"/>
  <c r="I105" i="9"/>
  <c r="I104" i="9"/>
  <c r="I102" i="9"/>
  <c r="I99" i="9"/>
  <c r="I98" i="9"/>
  <c r="I93" i="9"/>
  <c r="I92" i="9"/>
  <c r="I91" i="9"/>
  <c r="I72" i="9"/>
  <c r="I71" i="9"/>
  <c r="I70" i="9"/>
  <c r="I67" i="9"/>
  <c r="I66" i="9"/>
  <c r="I62" i="9"/>
  <c r="I57" i="9"/>
  <c r="I56" i="9"/>
  <c r="I54" i="9"/>
  <c r="I52" i="9"/>
  <c r="I51" i="9"/>
  <c r="I50" i="9"/>
  <c r="I49" i="9"/>
  <c r="E44" i="9"/>
  <c r="H28" i="9"/>
  <c r="I26" i="9"/>
  <c r="I25" i="9"/>
  <c r="B24" i="9"/>
  <c r="I22" i="9"/>
  <c r="B22" i="9"/>
  <c r="I20" i="9"/>
  <c r="I19" i="9"/>
  <c r="I18" i="9"/>
  <c r="I17" i="9"/>
  <c r="I16" i="9"/>
  <c r="I15" i="9"/>
  <c r="I14" i="9"/>
  <c r="B13" i="9"/>
  <c r="G7" i="9"/>
  <c r="G5" i="9"/>
  <c r="I151" i="8"/>
  <c r="I150" i="8"/>
  <c r="I144" i="8"/>
  <c r="I143" i="8"/>
  <c r="I136" i="8"/>
  <c r="I131" i="8"/>
  <c r="I127" i="8"/>
  <c r="I123" i="8"/>
  <c r="I121" i="8"/>
  <c r="I118" i="8"/>
  <c r="I117" i="8"/>
  <c r="I113" i="8"/>
  <c r="I112" i="8"/>
  <c r="I108" i="8"/>
  <c r="I107" i="8"/>
  <c r="I106" i="8"/>
  <c r="I105" i="8"/>
  <c r="I104" i="8"/>
  <c r="I103" i="8"/>
  <c r="I102" i="8"/>
  <c r="I99" i="8"/>
  <c r="I98" i="8"/>
  <c r="I94" i="8"/>
  <c r="I92" i="8"/>
  <c r="I91" i="8"/>
  <c r="I74" i="8"/>
  <c r="I71" i="8"/>
  <c r="I70" i="8"/>
  <c r="I67" i="8"/>
  <c r="I66" i="8"/>
  <c r="I63" i="8"/>
  <c r="I56" i="8"/>
  <c r="I54" i="8"/>
  <c r="I53" i="8"/>
  <c r="I52" i="8"/>
  <c r="I51" i="8"/>
  <c r="I50" i="8"/>
  <c r="I49" i="8"/>
  <c r="E44" i="8"/>
  <c r="H28" i="8"/>
  <c r="I26" i="8"/>
  <c r="I25" i="8"/>
  <c r="B24" i="8"/>
  <c r="I22" i="8"/>
  <c r="B22" i="8"/>
  <c r="I20" i="8"/>
  <c r="I19" i="8"/>
  <c r="I18" i="8"/>
  <c r="I17" i="8"/>
  <c r="I16" i="8"/>
  <c r="I15" i="8"/>
  <c r="I14" i="8"/>
  <c r="B13" i="8"/>
  <c r="G7" i="8"/>
  <c r="G6" i="8"/>
  <c r="G5" i="8"/>
  <c r="I151" i="7"/>
  <c r="I150" i="7"/>
  <c r="I127" i="7"/>
  <c r="I122" i="7"/>
  <c r="I118" i="7"/>
  <c r="I117" i="7"/>
  <c r="I113" i="7"/>
  <c r="I112" i="7"/>
  <c r="I108" i="7"/>
  <c r="I107" i="7"/>
  <c r="I106" i="7"/>
  <c r="I105" i="7"/>
  <c r="I104" i="7"/>
  <c r="I103" i="7"/>
  <c r="I99" i="7"/>
  <c r="I98" i="7"/>
  <c r="I94" i="7"/>
  <c r="I93" i="7"/>
  <c r="I92" i="7"/>
  <c r="I74" i="7"/>
  <c r="I72" i="7"/>
  <c r="I71" i="7"/>
  <c r="I70" i="7"/>
  <c r="I67" i="7"/>
  <c r="I63" i="7"/>
  <c r="I57" i="7"/>
  <c r="I56" i="7"/>
  <c r="C48" i="7"/>
  <c r="C47" i="7" s="1"/>
  <c r="I54" i="7"/>
  <c r="I53" i="7"/>
  <c r="I52" i="7"/>
  <c r="I51" i="7"/>
  <c r="I50" i="7"/>
  <c r="H46" i="7"/>
  <c r="E44" i="7"/>
  <c r="H28" i="7"/>
  <c r="I26" i="7"/>
  <c r="I25" i="7"/>
  <c r="B24" i="7"/>
  <c r="I22" i="7"/>
  <c r="B22" i="7"/>
  <c r="I20" i="7"/>
  <c r="I19" i="7"/>
  <c r="I18" i="7"/>
  <c r="I17" i="7"/>
  <c r="I16" i="7"/>
  <c r="I15" i="7"/>
  <c r="I14" i="7"/>
  <c r="B13" i="7"/>
  <c r="G7" i="7"/>
  <c r="G6" i="7"/>
  <c r="G5" i="7"/>
  <c r="C64" i="1" l="1"/>
  <c r="B4" i="13"/>
  <c r="B115" i="15"/>
  <c r="D115" i="15" s="1"/>
  <c r="B149" i="14"/>
  <c r="D149" i="14" s="1"/>
  <c r="I116" i="15"/>
  <c r="I49" i="13"/>
  <c r="G46" i="13"/>
  <c r="B96" i="11"/>
  <c r="D96" i="11" s="1"/>
  <c r="I55" i="14"/>
  <c r="B141" i="14"/>
  <c r="D141" i="14" s="1"/>
  <c r="B101" i="14"/>
  <c r="D101" i="14" s="1"/>
  <c r="B149" i="15"/>
  <c r="D149" i="15" s="1"/>
  <c r="B65" i="15"/>
  <c r="D65" i="15" s="1"/>
  <c r="B61" i="15"/>
  <c r="D61" i="15" s="1"/>
  <c r="B125" i="14"/>
  <c r="D125" i="14" s="1"/>
  <c r="I102" i="14"/>
  <c r="B65" i="14"/>
  <c r="D65" i="14" s="1"/>
  <c r="I147" i="9"/>
  <c r="B146" i="9"/>
  <c r="D146" i="9" s="1"/>
  <c r="I139" i="12"/>
  <c r="D138" i="12" s="1"/>
  <c r="B138" i="12"/>
  <c r="D42" i="12" s="1"/>
  <c r="I157" i="13"/>
  <c r="A158" i="13"/>
  <c r="B155" i="13"/>
  <c r="A148" i="2"/>
  <c r="I139" i="14"/>
  <c r="D138" i="14" s="1"/>
  <c r="B138" i="14"/>
  <c r="D42" i="14" s="1"/>
  <c r="I157" i="14"/>
  <c r="B155" i="14"/>
  <c r="A158" i="14"/>
  <c r="I142" i="15"/>
  <c r="B141" i="15"/>
  <c r="D141" i="15" s="1"/>
  <c r="I157" i="15"/>
  <c r="B155" i="15"/>
  <c r="A158" i="15"/>
  <c r="H46" i="16"/>
  <c r="C48" i="16"/>
  <c r="C47" i="16" s="1"/>
  <c r="I97" i="16"/>
  <c r="B96" i="16"/>
  <c r="I116" i="16"/>
  <c r="B115" i="16"/>
  <c r="I142" i="16"/>
  <c r="B141" i="16"/>
  <c r="D141" i="16" s="1"/>
  <c r="I157" i="16"/>
  <c r="A158" i="16"/>
  <c r="B155" i="16"/>
  <c r="B101" i="7"/>
  <c r="D101" i="7" s="1"/>
  <c r="B115" i="8"/>
  <c r="D115" i="8" s="1"/>
  <c r="I102" i="10"/>
  <c r="B101" i="10"/>
  <c r="D101" i="10" s="1"/>
  <c r="I139" i="10"/>
  <c r="D138" i="10" s="1"/>
  <c r="I147" i="10"/>
  <c r="B146" i="10"/>
  <c r="D146" i="10" s="1"/>
  <c r="I150" i="12"/>
  <c r="B149" i="12"/>
  <c r="D149" i="12" s="1"/>
  <c r="I147" i="13"/>
  <c r="B146" i="13"/>
  <c r="D146" i="13" s="1"/>
  <c r="C48" i="14"/>
  <c r="C47" i="14" s="1"/>
  <c r="H46" i="14"/>
  <c r="I150" i="14"/>
  <c r="H46" i="15"/>
  <c r="C48" i="15"/>
  <c r="C47" i="15" s="1"/>
  <c r="I150" i="15"/>
  <c r="I111" i="16"/>
  <c r="B110" i="16"/>
  <c r="D110" i="16" s="1"/>
  <c r="I126" i="16"/>
  <c r="B125" i="16"/>
  <c r="I150" i="16"/>
  <c r="H46" i="9"/>
  <c r="C48" i="9"/>
  <c r="C47" i="9" s="1"/>
  <c r="H46" i="8"/>
  <c r="C48" i="8"/>
  <c r="C47" i="8" s="1"/>
  <c r="I111" i="8"/>
  <c r="B110" i="8"/>
  <c r="D110" i="8" s="1"/>
  <c r="I147" i="8"/>
  <c r="B146" i="8"/>
  <c r="D146" i="8" s="1"/>
  <c r="I111" i="9"/>
  <c r="B110" i="9"/>
  <c r="D110" i="9" s="1"/>
  <c r="I97" i="10"/>
  <c r="B96" i="10"/>
  <c r="B149" i="10"/>
  <c r="D149" i="10" s="1"/>
  <c r="B101" i="13"/>
  <c r="D101" i="13" s="1"/>
  <c r="B115" i="13"/>
  <c r="B125" i="13"/>
  <c r="D125" i="13" s="1"/>
  <c r="I139" i="13"/>
  <c r="D138" i="13" s="1"/>
  <c r="B138" i="13"/>
  <c r="D42" i="13" s="1"/>
  <c r="I150" i="13"/>
  <c r="B149" i="13"/>
  <c r="D149" i="13" s="1"/>
  <c r="B90" i="14"/>
  <c r="D38" i="14" s="1"/>
  <c r="B115" i="14"/>
  <c r="B101" i="15"/>
  <c r="D101" i="15" s="1"/>
  <c r="B120" i="15"/>
  <c r="I97" i="8"/>
  <c r="B96" i="8"/>
  <c r="B101" i="8"/>
  <c r="B141" i="8"/>
  <c r="D141" i="8" s="1"/>
  <c r="B149" i="8"/>
  <c r="D149" i="8" s="1"/>
  <c r="I97" i="9"/>
  <c r="B96" i="9"/>
  <c r="B149" i="9"/>
  <c r="D149" i="9" s="1"/>
  <c r="H46" i="10"/>
  <c r="C48" i="10"/>
  <c r="C47" i="10" s="1"/>
  <c r="I150" i="10"/>
  <c r="H46" i="12"/>
  <c r="C48" i="12"/>
  <c r="C47" i="12" s="1"/>
  <c r="I102" i="13"/>
  <c r="I116" i="13"/>
  <c r="B141" i="13"/>
  <c r="D141" i="13" s="1"/>
  <c r="I91" i="14"/>
  <c r="I147" i="14"/>
  <c r="B146" i="14"/>
  <c r="D146" i="14" s="1"/>
  <c r="I139" i="15"/>
  <c r="D138" i="15" s="1"/>
  <c r="I147" i="15"/>
  <c r="B146" i="15"/>
  <c r="D146" i="15" s="1"/>
  <c r="I55" i="16"/>
  <c r="B61" i="16"/>
  <c r="D61" i="16" s="1"/>
  <c r="I66" i="16"/>
  <c r="B65" i="16"/>
  <c r="D65" i="16" s="1"/>
  <c r="B90" i="16"/>
  <c r="B101" i="16"/>
  <c r="B120" i="16"/>
  <c r="I139" i="16"/>
  <c r="D138" i="16" s="1"/>
  <c r="I147" i="16"/>
  <c r="B146" i="16"/>
  <c r="D146" i="16" s="1"/>
  <c r="B4" i="16"/>
  <c r="B4" i="15"/>
  <c r="B16" i="3" s="1"/>
  <c r="B65" i="13"/>
  <c r="D65" i="13" s="1"/>
  <c r="I55" i="11"/>
  <c r="B149" i="11"/>
  <c r="D149" i="11" s="1"/>
  <c r="I97" i="12"/>
  <c r="B96" i="12"/>
  <c r="I111" i="12"/>
  <c r="B110" i="12"/>
  <c r="D110" i="12" s="1"/>
  <c r="I102" i="12"/>
  <c r="B101" i="12"/>
  <c r="I91" i="13"/>
  <c r="B90" i="13"/>
  <c r="I97" i="13"/>
  <c r="B96" i="13"/>
  <c r="I66" i="13"/>
  <c r="I126" i="13"/>
  <c r="I62" i="13"/>
  <c r="B61" i="13"/>
  <c r="D61" i="13" s="1"/>
  <c r="I111" i="13"/>
  <c r="B110" i="13"/>
  <c r="I121" i="13"/>
  <c r="B120" i="13"/>
  <c r="I97" i="14"/>
  <c r="B96" i="14"/>
  <c r="I111" i="14"/>
  <c r="B110" i="14"/>
  <c r="I66" i="14"/>
  <c r="I116" i="14"/>
  <c r="I126" i="14"/>
  <c r="I62" i="14"/>
  <c r="B61" i="14"/>
  <c r="D61" i="14" s="1"/>
  <c r="I121" i="14"/>
  <c r="B120" i="14"/>
  <c r="I97" i="15"/>
  <c r="B96" i="15"/>
  <c r="I126" i="15"/>
  <c r="B125" i="15"/>
  <c r="I66" i="15"/>
  <c r="B90" i="15"/>
  <c r="I102" i="15"/>
  <c r="I121" i="15"/>
  <c r="I111" i="15"/>
  <c r="B110" i="15"/>
  <c r="H46" i="11"/>
  <c r="C48" i="11"/>
  <c r="C47" i="11" s="1"/>
  <c r="I150" i="11"/>
  <c r="I97" i="11"/>
  <c r="I147" i="12"/>
  <c r="B146" i="12"/>
  <c r="D146" i="12" s="1"/>
  <c r="I118" i="12"/>
  <c r="B115" i="12"/>
  <c r="I122" i="12"/>
  <c r="B120" i="12"/>
  <c r="I92" i="12"/>
  <c r="B90" i="12"/>
  <c r="G46" i="12"/>
  <c r="I63" i="12"/>
  <c r="B61" i="12"/>
  <c r="D61" i="12" s="1"/>
  <c r="I126" i="12"/>
  <c r="I127" i="12"/>
  <c r="B125" i="12"/>
  <c r="D125" i="12" s="1"/>
  <c r="I142" i="12"/>
  <c r="B141" i="12"/>
  <c r="I74" i="12"/>
  <c r="B65" i="12"/>
  <c r="D65" i="12" s="1"/>
  <c r="I104" i="11"/>
  <c r="B101" i="11"/>
  <c r="D101" i="11" s="1"/>
  <c r="I122" i="11"/>
  <c r="B120" i="11"/>
  <c r="B4" i="12"/>
  <c r="I91" i="11"/>
  <c r="B90" i="11"/>
  <c r="I63" i="11"/>
  <c r="B61" i="11"/>
  <c r="D61" i="11" s="1"/>
  <c r="B4" i="11"/>
  <c r="I147" i="11"/>
  <c r="B146" i="11"/>
  <c r="D146" i="11" s="1"/>
  <c r="I139" i="11"/>
  <c r="D138" i="11" s="1"/>
  <c r="B138" i="11"/>
  <c r="D42" i="11" s="1"/>
  <c r="I112" i="11"/>
  <c r="B110" i="11"/>
  <c r="G46" i="11"/>
  <c r="I142" i="11"/>
  <c r="B141" i="11"/>
  <c r="D141" i="11" s="1"/>
  <c r="I130" i="11"/>
  <c r="B125" i="11"/>
  <c r="I118" i="11"/>
  <c r="B115" i="11"/>
  <c r="I74" i="11"/>
  <c r="B65" i="11"/>
  <c r="D65" i="11" s="1"/>
  <c r="I142" i="10"/>
  <c r="B141" i="10"/>
  <c r="D141" i="10" s="1"/>
  <c r="I118" i="10"/>
  <c r="B115" i="10"/>
  <c r="B90" i="10"/>
  <c r="D90" i="10" s="1"/>
  <c r="I63" i="10"/>
  <c r="G46" i="10"/>
  <c r="I112" i="10"/>
  <c r="B110" i="10"/>
  <c r="I62" i="10"/>
  <c r="B61" i="10"/>
  <c r="D61" i="10" s="1"/>
  <c r="I67" i="10"/>
  <c r="B65" i="10"/>
  <c r="D65" i="10" s="1"/>
  <c r="B4" i="10"/>
  <c r="B101" i="9"/>
  <c r="I123" i="10"/>
  <c r="B120" i="10"/>
  <c r="B125" i="10"/>
  <c r="D125" i="10" s="1"/>
  <c r="I130" i="10"/>
  <c r="I92" i="10"/>
  <c r="I63" i="9"/>
  <c r="B61" i="9"/>
  <c r="D61" i="9" s="1"/>
  <c r="I130" i="8"/>
  <c r="G46" i="8"/>
  <c r="I122" i="9"/>
  <c r="B120" i="9"/>
  <c r="I53" i="16"/>
  <c r="G46" i="16"/>
  <c r="B48" i="16"/>
  <c r="I53" i="15"/>
  <c r="D48" i="15" s="1"/>
  <c r="G46" i="15"/>
  <c r="G32" i="15" s="1"/>
  <c r="B48" i="15"/>
  <c r="I53" i="14"/>
  <c r="D48" i="14" s="1"/>
  <c r="B48" i="14"/>
  <c r="G46" i="14"/>
  <c r="I53" i="13"/>
  <c r="B48" i="13"/>
  <c r="I53" i="12"/>
  <c r="B48" i="12"/>
  <c r="I53" i="11"/>
  <c r="B48" i="11"/>
  <c r="I53" i="9"/>
  <c r="G46" i="9"/>
  <c r="B48" i="9"/>
  <c r="I53" i="10"/>
  <c r="B48" i="10"/>
  <c r="I139" i="9"/>
  <c r="D138" i="9" s="1"/>
  <c r="I118" i="9"/>
  <c r="B115" i="9"/>
  <c r="I74" i="9"/>
  <c r="B65" i="9"/>
  <c r="I142" i="9"/>
  <c r="B141" i="9"/>
  <c r="D141" i="9" s="1"/>
  <c r="I94" i="9"/>
  <c r="B90" i="9"/>
  <c r="I131" i="9"/>
  <c r="B125" i="9"/>
  <c r="I103" i="9"/>
  <c r="I151" i="9"/>
  <c r="B4" i="9"/>
  <c r="I93" i="8"/>
  <c r="B90" i="8"/>
  <c r="B4" i="8"/>
  <c r="I62" i="8"/>
  <c r="B61" i="8"/>
  <c r="D61" i="8" s="1"/>
  <c r="B48" i="8"/>
  <c r="I57" i="8"/>
  <c r="I139" i="8"/>
  <c r="D138" i="8" s="1"/>
  <c r="B138" i="8"/>
  <c r="D42" i="8" s="1"/>
  <c r="I142" i="8"/>
  <c r="B65" i="8"/>
  <c r="D65" i="8" s="1"/>
  <c r="I116" i="8"/>
  <c r="I72" i="8"/>
  <c r="B125" i="8"/>
  <c r="D125" i="8" s="1"/>
  <c r="I126" i="8"/>
  <c r="I122" i="8"/>
  <c r="B120" i="8"/>
  <c r="I111" i="7"/>
  <c r="B110" i="7"/>
  <c r="D110" i="7" s="1"/>
  <c r="I121" i="7"/>
  <c r="B120" i="7"/>
  <c r="I123" i="7"/>
  <c r="I131" i="7"/>
  <c r="I139" i="7"/>
  <c r="B138" i="7"/>
  <c r="D42" i="7" s="1"/>
  <c r="I143" i="7"/>
  <c r="I147" i="7"/>
  <c r="B146" i="7"/>
  <c r="D146" i="7" s="1"/>
  <c r="I49" i="7"/>
  <c r="B48" i="7"/>
  <c r="I62" i="7"/>
  <c r="B61" i="7"/>
  <c r="D61" i="7" s="1"/>
  <c r="I66" i="7"/>
  <c r="B65" i="7"/>
  <c r="D65" i="7" s="1"/>
  <c r="I91" i="7"/>
  <c r="B90" i="7"/>
  <c r="I97" i="7"/>
  <c r="B96" i="7"/>
  <c r="I116" i="7"/>
  <c r="B115" i="7"/>
  <c r="I126" i="7"/>
  <c r="B125" i="7"/>
  <c r="I130" i="7"/>
  <c r="I136" i="7"/>
  <c r="I142" i="7"/>
  <c r="B141" i="7"/>
  <c r="D141" i="7" s="1"/>
  <c r="I144" i="7"/>
  <c r="B149" i="7"/>
  <c r="D149" i="7" s="1"/>
  <c r="B4" i="7"/>
  <c r="G46" i="7"/>
  <c r="I55" i="7"/>
  <c r="I102" i="7"/>
  <c r="I55" i="13"/>
  <c r="I55" i="12"/>
  <c r="I55" i="10"/>
  <c r="I55" i="9"/>
  <c r="I55" i="8"/>
  <c r="I102" i="5"/>
  <c r="J102" i="5" s="1"/>
  <c r="C48" i="6"/>
  <c r="C47" i="6" s="1"/>
  <c r="C48" i="5"/>
  <c r="C47" i="5" s="1"/>
  <c r="I144" i="6"/>
  <c r="I136" i="6"/>
  <c r="I123" i="6"/>
  <c r="I121" i="6"/>
  <c r="I118" i="6"/>
  <c r="I117" i="6"/>
  <c r="I113" i="6"/>
  <c r="I112" i="6"/>
  <c r="I108" i="6"/>
  <c r="I104" i="6"/>
  <c r="I103" i="6"/>
  <c r="I99" i="6"/>
  <c r="I98" i="6"/>
  <c r="I72" i="6"/>
  <c r="I71" i="6"/>
  <c r="I70" i="6"/>
  <c r="I67" i="6"/>
  <c r="I66" i="6"/>
  <c r="I62" i="6"/>
  <c r="I57" i="6"/>
  <c r="I56" i="6"/>
  <c r="I54" i="6"/>
  <c r="I52" i="6"/>
  <c r="I51" i="6"/>
  <c r="I50" i="6"/>
  <c r="I49" i="6"/>
  <c r="E44" i="6"/>
  <c r="H28" i="6"/>
  <c r="I26" i="6"/>
  <c r="I25" i="6"/>
  <c r="B24" i="6"/>
  <c r="I22" i="6"/>
  <c r="B22" i="6"/>
  <c r="I20" i="6"/>
  <c r="I19" i="6"/>
  <c r="I18" i="6"/>
  <c r="I17" i="6"/>
  <c r="I16" i="6"/>
  <c r="I15" i="6"/>
  <c r="I14" i="6"/>
  <c r="B13" i="6"/>
  <c r="G7" i="6"/>
  <c r="G6" i="6"/>
  <c r="G5" i="6"/>
  <c r="I70" i="5"/>
  <c r="I97" i="5"/>
  <c r="E44" i="5"/>
  <c r="N46" i="5"/>
  <c r="N41" i="5" s="1"/>
  <c r="M46" i="5"/>
  <c r="M41" i="5" s="1"/>
  <c r="L46" i="5"/>
  <c r="H46" i="5"/>
  <c r="G117" i="2"/>
  <c r="I126" i="5"/>
  <c r="I123" i="5"/>
  <c r="H62" i="2"/>
  <c r="F30" i="2"/>
  <c r="F29" i="2"/>
  <c r="F27" i="2"/>
  <c r="G26" i="2"/>
  <c r="F23" i="2"/>
  <c r="F24" i="2"/>
  <c r="F25" i="2"/>
  <c r="F26" i="2"/>
  <c r="H26" i="2" s="1"/>
  <c r="F21" i="2"/>
  <c r="F22" i="2"/>
  <c r="F20" i="2"/>
  <c r="B22" i="5"/>
  <c r="B13" i="5"/>
  <c r="I14" i="5"/>
  <c r="J14" i="5" s="1"/>
  <c r="I15" i="5"/>
  <c r="I16" i="5"/>
  <c r="I17" i="5"/>
  <c r="I18" i="5"/>
  <c r="I19" i="5"/>
  <c r="I20" i="5"/>
  <c r="I157" i="5"/>
  <c r="I158" i="5"/>
  <c r="I159" i="5"/>
  <c r="I160" i="5"/>
  <c r="I170" i="5"/>
  <c r="I55" i="5"/>
  <c r="J55" i="5" s="1"/>
  <c r="I56" i="5"/>
  <c r="J56" i="5" s="1"/>
  <c r="I57" i="5"/>
  <c r="H156" i="2"/>
  <c r="I156" i="2" s="1"/>
  <c r="H157" i="2"/>
  <c r="I157" i="2" s="1"/>
  <c r="H154" i="2"/>
  <c r="I154" i="2" s="1"/>
  <c r="H155" i="2"/>
  <c r="I155" i="2" s="1"/>
  <c r="H133" i="2"/>
  <c r="H132" i="2"/>
  <c r="G32" i="16" l="1"/>
  <c r="I46" i="11"/>
  <c r="D40" i="15"/>
  <c r="G32" i="14"/>
  <c r="G32" i="13"/>
  <c r="H37" i="1" s="1"/>
  <c r="G32" i="12"/>
  <c r="G32" i="11"/>
  <c r="H35" i="1" s="1"/>
  <c r="G32" i="10"/>
  <c r="H34" i="1" s="1"/>
  <c r="G32" i="9"/>
  <c r="H33" i="1" s="1"/>
  <c r="G32" i="8"/>
  <c r="G32" i="7"/>
  <c r="D48" i="16"/>
  <c r="D47" i="16" s="1"/>
  <c r="I46" i="10"/>
  <c r="D39" i="11"/>
  <c r="D40" i="8"/>
  <c r="I94" i="6"/>
  <c r="I106" i="6"/>
  <c r="I126" i="6"/>
  <c r="J126" i="12" s="1"/>
  <c r="I107" i="6"/>
  <c r="B138" i="6"/>
  <c r="D42" i="6" s="1"/>
  <c r="J18" i="15"/>
  <c r="I130" i="6"/>
  <c r="I105" i="6"/>
  <c r="I131" i="6"/>
  <c r="I143" i="6"/>
  <c r="I151" i="6"/>
  <c r="I108" i="5"/>
  <c r="J108" i="5" s="1"/>
  <c r="I136" i="5"/>
  <c r="J136" i="5" s="1"/>
  <c r="I143" i="5"/>
  <c r="J143" i="13" s="1"/>
  <c r="I150" i="5"/>
  <c r="J150" i="5" s="1"/>
  <c r="I142" i="5"/>
  <c r="I92" i="5"/>
  <c r="I127" i="5"/>
  <c r="J127" i="5" s="1"/>
  <c r="J20" i="15"/>
  <c r="J16" i="15"/>
  <c r="I91" i="6"/>
  <c r="J91" i="6" s="1"/>
  <c r="B96" i="6"/>
  <c r="D39" i="6" s="1"/>
  <c r="I93" i="6"/>
  <c r="B47" i="15"/>
  <c r="E35" i="15" s="1"/>
  <c r="D47" i="15"/>
  <c r="B47" i="14"/>
  <c r="E35" i="14" s="1"/>
  <c r="D43" i="14"/>
  <c r="D47" i="14"/>
  <c r="B47" i="13"/>
  <c r="E35" i="13" s="1"/>
  <c r="D96" i="9"/>
  <c r="D39" i="9"/>
  <c r="D101" i="8"/>
  <c r="D37" i="8"/>
  <c r="D115" i="13"/>
  <c r="D40" i="13"/>
  <c r="D115" i="16"/>
  <c r="D40" i="16"/>
  <c r="D155" i="14"/>
  <c r="E44" i="14"/>
  <c r="J170" i="6"/>
  <c r="J170" i="9"/>
  <c r="J170" i="10"/>
  <c r="J170" i="13"/>
  <c r="J170" i="15"/>
  <c r="J170" i="8"/>
  <c r="J170" i="11"/>
  <c r="J170" i="12"/>
  <c r="J170" i="16"/>
  <c r="J170" i="14"/>
  <c r="J170" i="7"/>
  <c r="J17" i="15"/>
  <c r="J108" i="6"/>
  <c r="I150" i="6"/>
  <c r="J150" i="16" s="1"/>
  <c r="B149" i="6"/>
  <c r="D149" i="6" s="1"/>
  <c r="D37" i="7"/>
  <c r="B76" i="7"/>
  <c r="B76" i="8"/>
  <c r="E36" i="8" s="1"/>
  <c r="B76" i="11"/>
  <c r="E36" i="11" s="1"/>
  <c r="D90" i="14"/>
  <c r="D43" i="13"/>
  <c r="D120" i="16"/>
  <c r="D41" i="16"/>
  <c r="D96" i="8"/>
  <c r="D39" i="8"/>
  <c r="D115" i="14"/>
  <c r="D40" i="14"/>
  <c r="D125" i="16"/>
  <c r="D43" i="16"/>
  <c r="D155" i="13"/>
  <c r="E44" i="13"/>
  <c r="I147" i="6"/>
  <c r="B146" i="6"/>
  <c r="D146" i="6" s="1"/>
  <c r="J57" i="14"/>
  <c r="J160" i="6"/>
  <c r="J160" i="9"/>
  <c r="J160" i="12"/>
  <c r="J160" i="15"/>
  <c r="J160" i="10"/>
  <c r="J160" i="11"/>
  <c r="J160" i="13"/>
  <c r="J160" i="16"/>
  <c r="J160" i="14"/>
  <c r="J160" i="8"/>
  <c r="J160" i="7"/>
  <c r="H46" i="6"/>
  <c r="B47" i="8"/>
  <c r="E35" i="8" s="1"/>
  <c r="B47" i="11"/>
  <c r="E35" i="11" s="1"/>
  <c r="B47" i="16"/>
  <c r="E35" i="16" s="1"/>
  <c r="D101" i="16"/>
  <c r="D37" i="16"/>
  <c r="D96" i="16"/>
  <c r="D39" i="16"/>
  <c r="J159" i="6"/>
  <c r="J159" i="14"/>
  <c r="J159" i="8"/>
  <c r="J159" i="9"/>
  <c r="J159" i="13"/>
  <c r="J159" i="7"/>
  <c r="J159" i="15"/>
  <c r="J159" i="11"/>
  <c r="J159" i="12"/>
  <c r="J159" i="16"/>
  <c r="J159" i="10"/>
  <c r="J19" i="15"/>
  <c r="J15" i="15"/>
  <c r="B4" i="6"/>
  <c r="B101" i="6"/>
  <c r="D101" i="6" s="1"/>
  <c r="B76" i="9"/>
  <c r="E36" i="9" s="1"/>
  <c r="D48" i="11"/>
  <c r="D38" i="10"/>
  <c r="B76" i="10"/>
  <c r="E36" i="10" s="1"/>
  <c r="B76" i="14"/>
  <c r="E36" i="14" s="1"/>
  <c r="B76" i="16"/>
  <c r="D90" i="16"/>
  <c r="D38" i="16"/>
  <c r="D120" i="15"/>
  <c r="D41" i="15"/>
  <c r="D96" i="10"/>
  <c r="D39" i="10"/>
  <c r="D155" i="16"/>
  <c r="E44" i="16"/>
  <c r="D155" i="15"/>
  <c r="E44" i="15"/>
  <c r="I46" i="12"/>
  <c r="D101" i="12"/>
  <c r="D37" i="12"/>
  <c r="D96" i="12"/>
  <c r="D39" i="12"/>
  <c r="B76" i="12"/>
  <c r="E36" i="12" s="1"/>
  <c r="D120" i="13"/>
  <c r="D41" i="13"/>
  <c r="D110" i="13"/>
  <c r="D37" i="13"/>
  <c r="D96" i="13"/>
  <c r="D39" i="13"/>
  <c r="B76" i="13"/>
  <c r="E36" i="13" s="1"/>
  <c r="D90" i="13"/>
  <c r="D38" i="13"/>
  <c r="D120" i="14"/>
  <c r="D41" i="14"/>
  <c r="D110" i="14"/>
  <c r="D37" i="14"/>
  <c r="D96" i="14"/>
  <c r="D39" i="14"/>
  <c r="D110" i="15"/>
  <c r="D37" i="15"/>
  <c r="B76" i="15"/>
  <c r="E36" i="15" s="1"/>
  <c r="D90" i="15"/>
  <c r="D38" i="15"/>
  <c r="D125" i="15"/>
  <c r="D43" i="15"/>
  <c r="D96" i="15"/>
  <c r="D39" i="15"/>
  <c r="D115" i="12"/>
  <c r="D40" i="12"/>
  <c r="D120" i="12"/>
  <c r="D41" i="12"/>
  <c r="D90" i="12"/>
  <c r="D38" i="12"/>
  <c r="D141" i="12"/>
  <c r="D43" i="12"/>
  <c r="B47" i="12"/>
  <c r="E35" i="12" s="1"/>
  <c r="D120" i="11"/>
  <c r="D41" i="11"/>
  <c r="D90" i="11"/>
  <c r="D38" i="11"/>
  <c r="D110" i="11"/>
  <c r="D37" i="11"/>
  <c r="D125" i="11"/>
  <c r="D43" i="11"/>
  <c r="D115" i="11"/>
  <c r="D40" i="11"/>
  <c r="D47" i="11"/>
  <c r="D115" i="10"/>
  <c r="D40" i="10"/>
  <c r="D110" i="10"/>
  <c r="D37" i="10"/>
  <c r="B47" i="10"/>
  <c r="E35" i="10" s="1"/>
  <c r="D101" i="9"/>
  <c r="D37" i="9"/>
  <c r="D120" i="10"/>
  <c r="D41" i="10"/>
  <c r="D43" i="10"/>
  <c r="D120" i="9"/>
  <c r="D41" i="9"/>
  <c r="I46" i="16"/>
  <c r="H39" i="1"/>
  <c r="I46" i="15"/>
  <c r="D48" i="13"/>
  <c r="D47" i="13" s="1"/>
  <c r="D48" i="12"/>
  <c r="D47" i="12" s="1"/>
  <c r="D48" i="9"/>
  <c r="D48" i="10"/>
  <c r="D47" i="10" s="1"/>
  <c r="D115" i="9"/>
  <c r="D40" i="9"/>
  <c r="B47" i="9"/>
  <c r="E35" i="9" s="1"/>
  <c r="D65" i="9"/>
  <c r="D90" i="9"/>
  <c r="D38" i="9"/>
  <c r="D125" i="9"/>
  <c r="D43" i="9"/>
  <c r="D90" i="8"/>
  <c r="D38" i="8"/>
  <c r="D48" i="8"/>
  <c r="D47" i="8" s="1"/>
  <c r="D43" i="8"/>
  <c r="D120" i="8"/>
  <c r="D41" i="8"/>
  <c r="J70" i="12"/>
  <c r="I111" i="6"/>
  <c r="B110" i="6"/>
  <c r="I142" i="6"/>
  <c r="J142" i="15" s="1"/>
  <c r="B141" i="6"/>
  <c r="D141" i="6" s="1"/>
  <c r="I92" i="6"/>
  <c r="J92" i="6" s="1"/>
  <c r="B90" i="6"/>
  <c r="I63" i="6"/>
  <c r="B61" i="6"/>
  <c r="D61" i="6" s="1"/>
  <c r="B125" i="6"/>
  <c r="I74" i="6"/>
  <c r="B65" i="6"/>
  <c r="D65" i="6" s="1"/>
  <c r="I122" i="6"/>
  <c r="B120" i="6"/>
  <c r="I46" i="7"/>
  <c r="I53" i="6"/>
  <c r="B48" i="6"/>
  <c r="I102" i="6"/>
  <c r="J102" i="14" s="1"/>
  <c r="I127" i="6"/>
  <c r="I139" i="6"/>
  <c r="I116" i="6"/>
  <c r="B115" i="6"/>
  <c r="I97" i="6"/>
  <c r="J97" i="14" s="1"/>
  <c r="I71" i="5"/>
  <c r="J71" i="5" s="1"/>
  <c r="J56" i="11"/>
  <c r="J56" i="15"/>
  <c r="J56" i="12"/>
  <c r="J56" i="13"/>
  <c r="J56" i="14"/>
  <c r="J56" i="16"/>
  <c r="J57" i="13"/>
  <c r="J57" i="16"/>
  <c r="J57" i="12"/>
  <c r="J57" i="11"/>
  <c r="J57" i="15"/>
  <c r="J20" i="13"/>
  <c r="J20" i="16"/>
  <c r="J19" i="9"/>
  <c r="J19" i="16"/>
  <c r="J19" i="13"/>
  <c r="J18" i="13"/>
  <c r="J18" i="16"/>
  <c r="J18" i="9"/>
  <c r="J17" i="16"/>
  <c r="J17" i="13"/>
  <c r="J17" i="9"/>
  <c r="J16" i="16"/>
  <c r="J16" i="9"/>
  <c r="J15" i="9"/>
  <c r="J14" i="11"/>
  <c r="J14" i="13"/>
  <c r="J14" i="14"/>
  <c r="J14" i="15"/>
  <c r="J14" i="12"/>
  <c r="J14" i="16"/>
  <c r="I130" i="5"/>
  <c r="J136" i="13"/>
  <c r="J157" i="6"/>
  <c r="J157" i="15"/>
  <c r="J157" i="12"/>
  <c r="J157" i="8"/>
  <c r="J157" i="16"/>
  <c r="J157" i="9"/>
  <c r="J157" i="14"/>
  <c r="J157" i="10"/>
  <c r="J157" i="7"/>
  <c r="J157" i="11"/>
  <c r="J158" i="6"/>
  <c r="J158" i="11"/>
  <c r="J158" i="16"/>
  <c r="J158" i="9"/>
  <c r="J158" i="14"/>
  <c r="J158" i="12"/>
  <c r="J158" i="8"/>
  <c r="J158" i="15"/>
  <c r="J158" i="13"/>
  <c r="J158" i="10"/>
  <c r="J158" i="7"/>
  <c r="J136" i="14"/>
  <c r="J136" i="16"/>
  <c r="D115" i="7"/>
  <c r="D40" i="7"/>
  <c r="D96" i="7"/>
  <c r="D39" i="7"/>
  <c r="E36" i="7"/>
  <c r="D90" i="7"/>
  <c r="D38" i="7"/>
  <c r="D138" i="7"/>
  <c r="D48" i="7"/>
  <c r="D47" i="7" s="1"/>
  <c r="D125" i="7"/>
  <c r="D43" i="7"/>
  <c r="D120" i="7"/>
  <c r="D41" i="7"/>
  <c r="B47" i="7"/>
  <c r="E35" i="7" s="1"/>
  <c r="J92" i="5"/>
  <c r="J108" i="14"/>
  <c r="I91" i="5"/>
  <c r="I62" i="5"/>
  <c r="J62" i="10" s="1"/>
  <c r="I66" i="5"/>
  <c r="J66" i="9" s="1"/>
  <c r="J70" i="5"/>
  <c r="J70" i="16"/>
  <c r="J70" i="15"/>
  <c r="J70" i="14"/>
  <c r="J70" i="11"/>
  <c r="B120" i="5"/>
  <c r="I122" i="5"/>
  <c r="J70" i="13"/>
  <c r="J123" i="5"/>
  <c r="J123" i="16"/>
  <c r="J123" i="15"/>
  <c r="J123" i="14"/>
  <c r="J123" i="11"/>
  <c r="J123" i="12"/>
  <c r="J123" i="13"/>
  <c r="J126" i="5"/>
  <c r="J97" i="5"/>
  <c r="J170" i="5"/>
  <c r="J159" i="5"/>
  <c r="J157" i="5"/>
  <c r="J157" i="13"/>
  <c r="J160" i="5"/>
  <c r="J158" i="5"/>
  <c r="I46" i="9"/>
  <c r="J56" i="10"/>
  <c r="J56" i="9"/>
  <c r="J56" i="8"/>
  <c r="J56" i="7"/>
  <c r="J123" i="10"/>
  <c r="J123" i="9"/>
  <c r="J123" i="8"/>
  <c r="J123" i="7"/>
  <c r="J123" i="6"/>
  <c r="J14" i="10"/>
  <c r="J14" i="9"/>
  <c r="J14" i="7"/>
  <c r="J14" i="8"/>
  <c r="J57" i="8"/>
  <c r="J57" i="10"/>
  <c r="J57" i="9"/>
  <c r="J108" i="9"/>
  <c r="J70" i="9"/>
  <c r="J70" i="10"/>
  <c r="J70" i="8"/>
  <c r="J70" i="7"/>
  <c r="J136" i="8"/>
  <c r="J136" i="10"/>
  <c r="G46" i="6"/>
  <c r="I55" i="6"/>
  <c r="J55" i="13" s="1"/>
  <c r="J70" i="6"/>
  <c r="I46" i="14"/>
  <c r="I46" i="13"/>
  <c r="I46" i="8"/>
  <c r="J57" i="6"/>
  <c r="J14" i="6"/>
  <c r="J56" i="6"/>
  <c r="I133" i="2"/>
  <c r="G52" i="2"/>
  <c r="G56" i="2"/>
  <c r="G60" i="2"/>
  <c r="G61" i="2"/>
  <c r="J45" i="2"/>
  <c r="H41" i="2"/>
  <c r="H42" i="2"/>
  <c r="H43" i="2"/>
  <c r="H44" i="2"/>
  <c r="H46" i="2"/>
  <c r="H47" i="2"/>
  <c r="G45" i="2"/>
  <c r="G46" i="2"/>
  <c r="G27" i="2"/>
  <c r="H45" i="2" l="1"/>
  <c r="I45" i="2" s="1"/>
  <c r="J36" i="2"/>
  <c r="H36" i="1"/>
  <c r="H32" i="1"/>
  <c r="H38" i="1"/>
  <c r="H31" i="1"/>
  <c r="J126" i="13"/>
  <c r="J126" i="16"/>
  <c r="J92" i="12"/>
  <c r="J126" i="8"/>
  <c r="J127" i="16"/>
  <c r="J143" i="16"/>
  <c r="J91" i="9"/>
  <c r="J136" i="6"/>
  <c r="J136" i="9"/>
  <c r="J136" i="11"/>
  <c r="J136" i="12"/>
  <c r="J92" i="11"/>
  <c r="D96" i="6"/>
  <c r="G32" i="6"/>
  <c r="D76" i="16"/>
  <c r="J97" i="6"/>
  <c r="J97" i="15"/>
  <c r="J126" i="6"/>
  <c r="J126" i="9"/>
  <c r="J126" i="15"/>
  <c r="J150" i="7"/>
  <c r="J126" i="10"/>
  <c r="J127" i="13"/>
  <c r="J126" i="14"/>
  <c r="J150" i="14"/>
  <c r="J127" i="10"/>
  <c r="J102" i="16"/>
  <c r="J130" i="12"/>
  <c r="J143" i="12"/>
  <c r="J92" i="15"/>
  <c r="J150" i="11"/>
  <c r="D76" i="10"/>
  <c r="D76" i="9"/>
  <c r="D76" i="8"/>
  <c r="J150" i="13"/>
  <c r="J142" i="9"/>
  <c r="J150" i="8"/>
  <c r="J91" i="10"/>
  <c r="J142" i="11"/>
  <c r="J142" i="10"/>
  <c r="J150" i="9"/>
  <c r="J143" i="9"/>
  <c r="J97" i="7"/>
  <c r="J127" i="11"/>
  <c r="J142" i="16"/>
  <c r="J150" i="12"/>
  <c r="J92" i="16"/>
  <c r="J150" i="6"/>
  <c r="J142" i="8"/>
  <c r="J150" i="10"/>
  <c r="J127" i="8"/>
  <c r="J126" i="7"/>
  <c r="J97" i="10"/>
  <c r="J97" i="11"/>
  <c r="J126" i="11"/>
  <c r="J150" i="15"/>
  <c r="J142" i="7"/>
  <c r="J143" i="10"/>
  <c r="J108" i="7"/>
  <c r="J108" i="13"/>
  <c r="J108" i="16"/>
  <c r="J143" i="11"/>
  <c r="J92" i="7"/>
  <c r="J143" i="7"/>
  <c r="J108" i="8"/>
  <c r="J92" i="9"/>
  <c r="J108" i="12"/>
  <c r="J108" i="15"/>
  <c r="J92" i="13"/>
  <c r="J143" i="14"/>
  <c r="J142" i="6"/>
  <c r="J136" i="7"/>
  <c r="J143" i="6"/>
  <c r="J143" i="8"/>
  <c r="J108" i="10"/>
  <c r="J108" i="11"/>
  <c r="J143" i="15"/>
  <c r="J136" i="15"/>
  <c r="J142" i="12"/>
  <c r="J62" i="5"/>
  <c r="J91" i="8"/>
  <c r="J127" i="15"/>
  <c r="J122" i="9"/>
  <c r="J92" i="8"/>
  <c r="J91" i="7"/>
  <c r="J92" i="10"/>
  <c r="J92" i="14"/>
  <c r="J66" i="7"/>
  <c r="J66" i="10"/>
  <c r="J122" i="8"/>
  <c r="J66" i="8"/>
  <c r="J122" i="7"/>
  <c r="J62" i="9"/>
  <c r="J130" i="13"/>
  <c r="J62" i="7"/>
  <c r="J130" i="7"/>
  <c r="J130" i="15"/>
  <c r="H40" i="1"/>
  <c r="D76" i="14"/>
  <c r="J130" i="8"/>
  <c r="J62" i="8"/>
  <c r="J97" i="9"/>
  <c r="J71" i="7"/>
  <c r="J97" i="13"/>
  <c r="J97" i="16"/>
  <c r="J130" i="11"/>
  <c r="J130" i="5"/>
  <c r="D76" i="11"/>
  <c r="D76" i="13"/>
  <c r="J130" i="9"/>
  <c r="J102" i="7"/>
  <c r="J71" i="10"/>
  <c r="J102" i="12"/>
  <c r="J71" i="14"/>
  <c r="J130" i="16"/>
  <c r="B76" i="6"/>
  <c r="E36" i="6" s="1"/>
  <c r="J62" i="6"/>
  <c r="J130" i="6"/>
  <c r="J66" i="6"/>
  <c r="J130" i="10"/>
  <c r="J102" i="10"/>
  <c r="J97" i="8"/>
  <c r="J97" i="12"/>
  <c r="J102" i="15"/>
  <c r="J71" i="12"/>
  <c r="J71" i="13"/>
  <c r="J71" i="16"/>
  <c r="D76" i="7"/>
  <c r="J130" i="14"/>
  <c r="J142" i="14"/>
  <c r="J142" i="13"/>
  <c r="D76" i="12"/>
  <c r="D76" i="15"/>
  <c r="D47" i="9"/>
  <c r="J102" i="6"/>
  <c r="J102" i="9"/>
  <c r="J102" i="8"/>
  <c r="J102" i="13"/>
  <c r="J102" i="11"/>
  <c r="J122" i="6"/>
  <c r="J122" i="10"/>
  <c r="D110" i="6"/>
  <c r="D37" i="6"/>
  <c r="D90" i="6"/>
  <c r="D38" i="6"/>
  <c r="B47" i="6"/>
  <c r="E35" i="6" s="1"/>
  <c r="D125" i="6"/>
  <c r="D43" i="6"/>
  <c r="J127" i="6"/>
  <c r="J127" i="7"/>
  <c r="J127" i="9"/>
  <c r="J127" i="12"/>
  <c r="J127" i="14"/>
  <c r="D120" i="6"/>
  <c r="D41" i="6"/>
  <c r="J55" i="6"/>
  <c r="J55" i="11"/>
  <c r="J55" i="16"/>
  <c r="J55" i="12"/>
  <c r="D48" i="6"/>
  <c r="D47" i="6" s="1"/>
  <c r="J55" i="15"/>
  <c r="J55" i="14"/>
  <c r="D138" i="6"/>
  <c r="D115" i="6"/>
  <c r="D40" i="6"/>
  <c r="J71" i="6"/>
  <c r="J71" i="9"/>
  <c r="J71" i="8"/>
  <c r="J71" i="11"/>
  <c r="J71" i="15"/>
  <c r="J66" i="5"/>
  <c r="J66" i="16"/>
  <c r="J66" i="15"/>
  <c r="J66" i="14"/>
  <c r="J66" i="11"/>
  <c r="J66" i="12"/>
  <c r="J66" i="13"/>
  <c r="J62" i="16"/>
  <c r="J62" i="15"/>
  <c r="J62" i="14"/>
  <c r="J62" i="11"/>
  <c r="J62" i="12"/>
  <c r="J62" i="13"/>
  <c r="J122" i="5"/>
  <c r="J122" i="16"/>
  <c r="J122" i="14"/>
  <c r="J122" i="15"/>
  <c r="J122" i="11"/>
  <c r="J122" i="12"/>
  <c r="J122" i="13"/>
  <c r="D120" i="5"/>
  <c r="D41" i="5"/>
  <c r="J91" i="5"/>
  <c r="J91" i="16"/>
  <c r="J91" i="14"/>
  <c r="J91" i="15"/>
  <c r="J91" i="11"/>
  <c r="J91" i="12"/>
  <c r="J91" i="13"/>
  <c r="J55" i="8"/>
  <c r="J55" i="10"/>
  <c r="J55" i="9"/>
  <c r="J55" i="7"/>
  <c r="I46" i="6"/>
  <c r="H54" i="22"/>
  <c r="K54" i="22" s="1"/>
  <c r="K55" i="22" s="1"/>
  <c r="S134" i="22"/>
  <c r="O56" i="22"/>
  <c r="S119" i="22" s="1"/>
  <c r="U119" i="22" s="1"/>
  <c r="Q52" i="22"/>
  <c r="R52" i="22"/>
  <c r="S52" i="22"/>
  <c r="T52" i="22"/>
  <c r="N11" i="23"/>
  <c r="L11" i="23"/>
  <c r="F11" i="23"/>
  <c r="N9" i="23"/>
  <c r="L9" i="23"/>
  <c r="F9" i="23"/>
  <c r="N7" i="23"/>
  <c r="L7" i="23"/>
  <c r="F7" i="23"/>
  <c r="N5" i="23"/>
  <c r="L5" i="23"/>
  <c r="F5" i="23"/>
  <c r="E26" i="3"/>
  <c r="E28" i="3"/>
  <c r="C70" i="17"/>
  <c r="C83" i="17" s="1"/>
  <c r="O76" i="17"/>
  <c r="O75" i="17"/>
  <c r="Z55" i="4"/>
  <c r="Z56" i="4" s="1"/>
  <c r="Z29" i="4"/>
  <c r="Z26" i="4"/>
  <c r="Z27" i="4" s="1"/>
  <c r="M222" i="22"/>
  <c r="M224" i="22" s="1"/>
  <c r="M225" i="22" s="1"/>
  <c r="M228" i="22" s="1"/>
  <c r="K222" i="22"/>
  <c r="K224" i="22" s="1"/>
  <c r="K225" i="22" s="1"/>
  <c r="K228" i="22" s="1"/>
  <c r="H134" i="22"/>
  <c r="K134" i="22" s="1"/>
  <c r="S130" i="22"/>
  <c r="H130" i="22"/>
  <c r="K130" i="22" s="1"/>
  <c r="H129" i="22"/>
  <c r="K129" i="22" s="1"/>
  <c r="F122" i="22"/>
  <c r="F121" i="22"/>
  <c r="F120" i="22"/>
  <c r="F118" i="22"/>
  <c r="Q178" i="22"/>
  <c r="O178" i="22"/>
  <c r="M178" i="22"/>
  <c r="K178" i="22"/>
  <c r="H178" i="22"/>
  <c r="F178" i="22"/>
  <c r="E178" i="22"/>
  <c r="D178" i="22"/>
  <c r="C178" i="22"/>
  <c r="B178" i="22"/>
  <c r="O173" i="22"/>
  <c r="M173" i="22"/>
  <c r="K173" i="22"/>
  <c r="H173" i="22"/>
  <c r="F173" i="22"/>
  <c r="D173" i="22"/>
  <c r="B173" i="22"/>
  <c r="Q166" i="22"/>
  <c r="Q168" i="22" s="1"/>
  <c r="Q169" i="22" s="1"/>
  <c r="O166" i="22"/>
  <c r="O168" i="22" s="1"/>
  <c r="O169" i="22" s="1"/>
  <c r="M166" i="22"/>
  <c r="M168" i="22" s="1"/>
  <c r="M169" i="22" s="1"/>
  <c r="K166" i="22"/>
  <c r="K168" i="22" s="1"/>
  <c r="K169" i="22" s="1"/>
  <c r="H166" i="22"/>
  <c r="H168" i="22" s="1"/>
  <c r="H169" i="22" s="1"/>
  <c r="F166" i="22"/>
  <c r="F168" i="22" s="1"/>
  <c r="F169" i="22" s="1"/>
  <c r="E166" i="22"/>
  <c r="E168" i="22" s="1"/>
  <c r="E169" i="22" s="1"/>
  <c r="D166" i="22"/>
  <c r="D168" i="22" s="1"/>
  <c r="D169" i="22" s="1"/>
  <c r="C166" i="22"/>
  <c r="C168" i="22" s="1"/>
  <c r="C169" i="22" s="1"/>
  <c r="B166" i="22"/>
  <c r="B168" i="22" s="1"/>
  <c r="B169" i="22" s="1"/>
  <c r="O157" i="22"/>
  <c r="M157" i="22"/>
  <c r="K157" i="22"/>
  <c r="H157" i="22"/>
  <c r="F157" i="22"/>
  <c r="E157" i="22"/>
  <c r="D157" i="22"/>
  <c r="C157" i="22"/>
  <c r="B157" i="22"/>
  <c r="O152" i="22"/>
  <c r="M152" i="22"/>
  <c r="K152" i="22"/>
  <c r="H152" i="22"/>
  <c r="F152" i="22"/>
  <c r="D152" i="22"/>
  <c r="B152" i="22"/>
  <c r="E145" i="22"/>
  <c r="E147" i="22" s="1"/>
  <c r="E148" i="22" s="1"/>
  <c r="C145" i="22"/>
  <c r="C147" i="22" s="1"/>
  <c r="C148" i="22" s="1"/>
  <c r="S107" i="22"/>
  <c r="W32" i="22"/>
  <c r="AA32" i="22" s="1"/>
  <c r="O31" i="22"/>
  <c r="M31" i="22"/>
  <c r="K31" i="22"/>
  <c r="H31" i="22"/>
  <c r="F31" i="22"/>
  <c r="D31" i="22"/>
  <c r="B31" i="22"/>
  <c r="Y29" i="22"/>
  <c r="Y30" i="22" s="1"/>
  <c r="W29" i="22"/>
  <c r="W30" i="22" s="1"/>
  <c r="L52" i="22"/>
  <c r="O29" i="22"/>
  <c r="O30" i="22" s="1"/>
  <c r="M29" i="22"/>
  <c r="K29" i="22"/>
  <c r="H29" i="22"/>
  <c r="F29" i="22"/>
  <c r="D29" i="22"/>
  <c r="B30" i="22"/>
  <c r="K51" i="22"/>
  <c r="D51" i="22"/>
  <c r="B52" i="22"/>
  <c r="B56" i="22" s="1"/>
  <c r="R28" i="22"/>
  <c r="R29" i="22" s="1"/>
  <c r="K50" i="22"/>
  <c r="M50" i="22" s="1"/>
  <c r="D50" i="22"/>
  <c r="F50" i="22" s="1"/>
  <c r="Q27" i="22"/>
  <c r="S27" i="22" s="1"/>
  <c r="K49" i="22"/>
  <c r="M49" i="22" s="1"/>
  <c r="D49" i="22"/>
  <c r="F49" i="22" s="1"/>
  <c r="Q26" i="22"/>
  <c r="S26" i="22" s="1"/>
  <c r="AA25" i="22"/>
  <c r="M48" i="22"/>
  <c r="F48" i="22"/>
  <c r="S25" i="22"/>
  <c r="M47" i="22"/>
  <c r="F47" i="22"/>
  <c r="S24" i="22"/>
  <c r="M46" i="22"/>
  <c r="F46" i="22"/>
  <c r="S23" i="22"/>
  <c r="M45" i="22"/>
  <c r="F45" i="22"/>
  <c r="S22" i="22"/>
  <c r="M44" i="22"/>
  <c r="F44" i="22"/>
  <c r="S21" i="22"/>
  <c r="AA20" i="22"/>
  <c r="M43" i="22"/>
  <c r="E43" i="22"/>
  <c r="D43" i="22" s="1"/>
  <c r="F43" i="22" s="1"/>
  <c r="S20" i="22"/>
  <c r="AA19" i="22"/>
  <c r="K42" i="22"/>
  <c r="M42" i="22" s="1"/>
  <c r="E42" i="22"/>
  <c r="E52" i="22" s="1"/>
  <c r="S19" i="22"/>
  <c r="AA18" i="22"/>
  <c r="K41" i="22"/>
  <c r="M41" i="22" s="1"/>
  <c r="D41" i="22"/>
  <c r="F41" i="22" s="1"/>
  <c r="S18" i="22"/>
  <c r="AA17" i="22"/>
  <c r="AA29" i="22" s="1"/>
  <c r="AA30" i="22" s="1"/>
  <c r="AA31" i="22" s="1"/>
  <c r="K40" i="22"/>
  <c r="D40" i="22"/>
  <c r="F40" i="22" s="1"/>
  <c r="S17" i="22"/>
  <c r="M33" i="22" l="1"/>
  <c r="M145" i="22" s="1"/>
  <c r="M147" i="22" s="1"/>
  <c r="S53" i="22"/>
  <c r="H119" i="22"/>
  <c r="K119" i="22" s="1"/>
  <c r="W119" i="22"/>
  <c r="Y119" i="22" s="1"/>
  <c r="H30" i="1"/>
  <c r="H33" i="22"/>
  <c r="H145" i="22" s="1"/>
  <c r="H147" i="22" s="1"/>
  <c r="H158" i="22" s="1"/>
  <c r="E158" i="22"/>
  <c r="D76" i="6"/>
  <c r="O74" i="17"/>
  <c r="B83" i="17"/>
  <c r="W31" i="22"/>
  <c r="D42" i="22"/>
  <c r="F42" i="22" s="1"/>
  <c r="D56" i="22"/>
  <c r="S121" i="22"/>
  <c r="U121" i="22" s="1"/>
  <c r="U130" i="22"/>
  <c r="Y133" i="22" s="1"/>
  <c r="C179" i="22"/>
  <c r="E179" i="22"/>
  <c r="H179" i="22"/>
  <c r="M179" i="22"/>
  <c r="O53" i="22"/>
  <c r="W52" i="22"/>
  <c r="Y52" i="22" s="1"/>
  <c r="M40" i="22"/>
  <c r="Q179" i="22"/>
  <c r="M51" i="22"/>
  <c r="K52" i="22"/>
  <c r="B53" i="22"/>
  <c r="B179" i="22"/>
  <c r="D179" i="22"/>
  <c r="F179" i="22"/>
  <c r="K179" i="22"/>
  <c r="O179" i="22"/>
  <c r="C158" i="22"/>
  <c r="M158" i="22"/>
  <c r="Q28" i="22"/>
  <c r="S28" i="22" s="1"/>
  <c r="S29" i="22" s="1"/>
  <c r="S30" i="22" s="1"/>
  <c r="H52" i="22"/>
  <c r="H56" i="22" s="1"/>
  <c r="D30" i="22"/>
  <c r="H30" i="22"/>
  <c r="M30" i="22"/>
  <c r="Y32" i="22"/>
  <c r="Y31" i="22" s="1"/>
  <c r="B33" i="22"/>
  <c r="B145" i="22" s="1"/>
  <c r="B147" i="22" s="1"/>
  <c r="B148" i="22" s="1"/>
  <c r="F33" i="22"/>
  <c r="F145" i="22" s="1"/>
  <c r="F147" i="22" s="1"/>
  <c r="F148" i="22" s="1"/>
  <c r="K33" i="22"/>
  <c r="K145" i="22" s="1"/>
  <c r="K147" i="22" s="1"/>
  <c r="K148" i="22" s="1"/>
  <c r="O33" i="22"/>
  <c r="M148" i="22"/>
  <c r="U129" i="22"/>
  <c r="Y129" i="22" s="1"/>
  <c r="F51" i="22"/>
  <c r="F30" i="22"/>
  <c r="K30" i="22"/>
  <c r="D33" i="22"/>
  <c r="D145" i="22" s="1"/>
  <c r="D147" i="22" s="1"/>
  <c r="D158" i="22" s="1"/>
  <c r="W57" i="4"/>
  <c r="O43" i="17"/>
  <c r="O46" i="17"/>
  <c r="B59" i="17"/>
  <c r="O57" i="17"/>
  <c r="H117" i="2"/>
  <c r="N91" i="17"/>
  <c r="M91" i="17"/>
  <c r="L91" i="17"/>
  <c r="K91" i="17"/>
  <c r="J91" i="17"/>
  <c r="I91" i="17"/>
  <c r="H91" i="17"/>
  <c r="G91" i="17"/>
  <c r="F91" i="17"/>
  <c r="E91" i="17"/>
  <c r="D91" i="17"/>
  <c r="N30" i="17"/>
  <c r="N32" i="17" s="1"/>
  <c r="M30" i="17"/>
  <c r="M32" i="17" s="1"/>
  <c r="L30" i="17"/>
  <c r="L32" i="17" s="1"/>
  <c r="K30" i="17"/>
  <c r="K32" i="17" s="1"/>
  <c r="J30" i="17"/>
  <c r="J32" i="17" s="1"/>
  <c r="I30" i="17"/>
  <c r="I32" i="17" s="1"/>
  <c r="H30" i="17"/>
  <c r="H32" i="17" s="1"/>
  <c r="G30" i="17"/>
  <c r="G32" i="17" s="1"/>
  <c r="F30" i="17"/>
  <c r="F32" i="17" s="1"/>
  <c r="E30" i="17"/>
  <c r="E32" i="17" s="1"/>
  <c r="D30" i="17"/>
  <c r="D32" i="17" s="1"/>
  <c r="O77" i="17"/>
  <c r="H148" i="22" l="1"/>
  <c r="M52" i="22"/>
  <c r="H120" i="22" s="1"/>
  <c r="K120" i="22" s="1"/>
  <c r="F52" i="22"/>
  <c r="F53" i="22" s="1"/>
  <c r="D52" i="22"/>
  <c r="Q29" i="22"/>
  <c r="K56" i="22"/>
  <c r="S120" i="22"/>
  <c r="U120" i="22" s="1"/>
  <c r="D148" i="22"/>
  <c r="O145" i="22"/>
  <c r="O147" i="22" s="1"/>
  <c r="O158" i="22" s="1"/>
  <c r="S122" i="22"/>
  <c r="U122" i="22" s="1"/>
  <c r="H53" i="22"/>
  <c r="Q153" i="22"/>
  <c r="Q157" i="22" s="1"/>
  <c r="Q145" i="22"/>
  <c r="Q147" i="22" s="1"/>
  <c r="F158" i="22"/>
  <c r="B158" i="22"/>
  <c r="H122" i="22"/>
  <c r="K122" i="22" s="1"/>
  <c r="M122" i="22" s="1"/>
  <c r="W122" i="22"/>
  <c r="K158" i="22"/>
  <c r="B111" i="3"/>
  <c r="H121" i="22" l="1"/>
  <c r="K121" i="22" s="1"/>
  <c r="M121" i="22" s="1"/>
  <c r="M120" i="22" s="1"/>
  <c r="M119" i="22" s="1"/>
  <c r="M53" i="22"/>
  <c r="W120" i="22"/>
  <c r="Y120" i="22" s="1"/>
  <c r="O148" i="22"/>
  <c r="W121" i="22"/>
  <c r="Y121" i="22" s="1"/>
  <c r="Q158" i="22"/>
  <c r="Y122" i="22"/>
  <c r="AN201" i="22" l="1"/>
  <c r="AN200" i="22" s="1"/>
  <c r="AN199" i="22" s="1"/>
  <c r="AN198" i="22" s="1"/>
  <c r="AA122" i="22"/>
  <c r="AA121" i="22" s="1"/>
  <c r="AA120" i="22" s="1"/>
  <c r="AA119" i="22" s="1"/>
  <c r="I50" i="5" l="1"/>
  <c r="I46" i="2"/>
  <c r="H39" i="2"/>
  <c r="H40" i="2"/>
  <c r="D29" i="1"/>
  <c r="O58" i="17"/>
  <c r="I52" i="5"/>
  <c r="O24" i="17"/>
  <c r="O19" i="17" s="1"/>
  <c r="B100" i="17"/>
  <c r="J50" i="16" l="1"/>
  <c r="J50" i="14"/>
  <c r="J50" i="15"/>
  <c r="J52" i="16"/>
  <c r="J52" i="15"/>
  <c r="J52" i="14"/>
  <c r="B48" i="5"/>
  <c r="G42" i="2"/>
  <c r="I42" i="2" s="1"/>
  <c r="G40" i="2"/>
  <c r="I40" i="2" s="1"/>
  <c r="G41" i="2"/>
  <c r="I41" i="2" s="1"/>
  <c r="I53" i="5"/>
  <c r="J53" i="13" s="1"/>
  <c r="G43" i="2"/>
  <c r="I43" i="2" s="1"/>
  <c r="I54" i="5"/>
  <c r="J54" i="12" s="1"/>
  <c r="G44" i="2"/>
  <c r="I44" i="2" s="1"/>
  <c r="I51" i="5"/>
  <c r="C38" i="2"/>
  <c r="J52" i="8"/>
  <c r="J50" i="6"/>
  <c r="G39" i="2"/>
  <c r="J50" i="11"/>
  <c r="J50" i="12"/>
  <c r="J50" i="13"/>
  <c r="J50" i="10"/>
  <c r="J50" i="9"/>
  <c r="J52" i="12"/>
  <c r="J52" i="11"/>
  <c r="J52" i="13"/>
  <c r="J52" i="9"/>
  <c r="J52" i="10"/>
  <c r="J52" i="5"/>
  <c r="J50" i="5"/>
  <c r="J52" i="6"/>
  <c r="J50" i="7"/>
  <c r="J52" i="7"/>
  <c r="J51" i="8"/>
  <c r="J50" i="8"/>
  <c r="I49" i="5"/>
  <c r="O52" i="17"/>
  <c r="O80" i="17"/>
  <c r="W55" i="4"/>
  <c r="O51" i="17"/>
  <c r="J53" i="8" l="1"/>
  <c r="J54" i="8"/>
  <c r="J54" i="9"/>
  <c r="J53" i="12"/>
  <c r="J53" i="9"/>
  <c r="J53" i="11"/>
  <c r="J54" i="11"/>
  <c r="J53" i="10"/>
  <c r="J51" i="16"/>
  <c r="J51" i="14"/>
  <c r="J51" i="15"/>
  <c r="J51" i="7"/>
  <c r="J54" i="10"/>
  <c r="J54" i="13"/>
  <c r="J51" i="6"/>
  <c r="J51" i="5"/>
  <c r="J51" i="9"/>
  <c r="J54" i="7"/>
  <c r="J54" i="15"/>
  <c r="J54" i="16"/>
  <c r="J54" i="14"/>
  <c r="D48" i="5"/>
  <c r="J53" i="14"/>
  <c r="J53" i="15"/>
  <c r="J53" i="7"/>
  <c r="J53" i="16"/>
  <c r="J54" i="5"/>
  <c r="J54" i="6"/>
  <c r="J53" i="5"/>
  <c r="J53" i="6"/>
  <c r="I39" i="2"/>
  <c r="J51" i="12"/>
  <c r="J51" i="13"/>
  <c r="J51" i="11"/>
  <c r="J51" i="10"/>
  <c r="J49" i="15"/>
  <c r="J49" i="5"/>
  <c r="J49" i="8"/>
  <c r="J49" i="14" l="1"/>
  <c r="J49" i="11"/>
  <c r="J49" i="16"/>
  <c r="J49" i="7"/>
  <c r="J49" i="13"/>
  <c r="J49" i="10"/>
  <c r="J49" i="12"/>
  <c r="J49" i="9"/>
  <c r="J49" i="6"/>
  <c r="O71" i="17" l="1"/>
  <c r="O78" i="17"/>
  <c r="O94" i="17"/>
  <c r="O93" i="17"/>
  <c r="G6" i="5"/>
  <c r="C63" i="1" s="1"/>
  <c r="G7" i="5"/>
  <c r="B24" i="5" l="1"/>
  <c r="W26" i="4" l="1"/>
  <c r="T57" i="4"/>
  <c r="W56" i="4" l="1"/>
  <c r="W29" i="4"/>
  <c r="W27" i="4"/>
  <c r="B15" i="17"/>
  <c r="O49" i="17"/>
  <c r="O47" i="17"/>
  <c r="O48" i="17"/>
  <c r="O50" i="17"/>
  <c r="O14" i="17"/>
  <c r="H160" i="2"/>
  <c r="G22" i="2"/>
  <c r="H22" i="2" s="1"/>
  <c r="G23" i="2"/>
  <c r="G24" i="2"/>
  <c r="H24" i="2" s="1"/>
  <c r="G25" i="2"/>
  <c r="J19" i="5" l="1"/>
  <c r="J19" i="7"/>
  <c r="J19" i="8"/>
  <c r="J19" i="10"/>
  <c r="J19" i="12"/>
  <c r="J18" i="10"/>
  <c r="J18" i="8"/>
  <c r="J18" i="7"/>
  <c r="J18" i="12"/>
  <c r="J17" i="10"/>
  <c r="J17" i="7"/>
  <c r="J17" i="8"/>
  <c r="J17" i="12"/>
  <c r="J17" i="14"/>
  <c r="J20" i="5"/>
  <c r="J20" i="8"/>
  <c r="J20" i="7"/>
  <c r="J18" i="5"/>
  <c r="J18" i="6"/>
  <c r="J19" i="14"/>
  <c r="J19" i="6"/>
  <c r="J17" i="5"/>
  <c r="J17" i="6"/>
  <c r="O13" i="17"/>
  <c r="H140" i="2"/>
  <c r="H141" i="2"/>
  <c r="G5" i="5"/>
  <c r="H23" i="2"/>
  <c r="H25" i="2"/>
  <c r="H27" i="2"/>
  <c r="B138" i="17"/>
  <c r="B137" i="17"/>
  <c r="M70" i="17"/>
  <c r="M83" i="17" s="1"/>
  <c r="N70" i="17"/>
  <c r="N83" i="17" s="1"/>
  <c r="L70" i="17"/>
  <c r="L83" i="17" s="1"/>
  <c r="K70" i="17"/>
  <c r="K83" i="17" s="1"/>
  <c r="J70" i="17"/>
  <c r="J83" i="17" s="1"/>
  <c r="I70" i="17"/>
  <c r="I83" i="17" s="1"/>
  <c r="H70" i="17"/>
  <c r="H83" i="17" s="1"/>
  <c r="G70" i="17"/>
  <c r="G83" i="17" s="1"/>
  <c r="F70" i="17"/>
  <c r="F83" i="17" s="1"/>
  <c r="E70" i="17"/>
  <c r="E83" i="17" s="1"/>
  <c r="D70" i="17"/>
  <c r="D83" i="17" s="1"/>
  <c r="N41" i="17"/>
  <c r="M41" i="17"/>
  <c r="L41" i="17"/>
  <c r="K41" i="17"/>
  <c r="J41" i="17"/>
  <c r="I41" i="17"/>
  <c r="H41" i="17"/>
  <c r="G41" i="17"/>
  <c r="F41" i="17"/>
  <c r="E41" i="17"/>
  <c r="D41" i="17"/>
  <c r="C41" i="17"/>
  <c r="N92" i="17"/>
  <c r="N97" i="17" s="1"/>
  <c r="M92" i="17"/>
  <c r="M97" i="17" s="1"/>
  <c r="L97" i="17"/>
  <c r="K92" i="17"/>
  <c r="K97" i="17" s="1"/>
  <c r="J92" i="17"/>
  <c r="J97" i="17" s="1"/>
  <c r="I92" i="17"/>
  <c r="I97" i="17" s="1"/>
  <c r="H92" i="17"/>
  <c r="H97" i="17" s="1"/>
  <c r="G92" i="17"/>
  <c r="G97" i="17" s="1"/>
  <c r="F92" i="17"/>
  <c r="F97" i="17" s="1"/>
  <c r="E92" i="17"/>
  <c r="E97" i="17" s="1"/>
  <c r="D92" i="17"/>
  <c r="D97" i="17" s="1"/>
  <c r="N15" i="17"/>
  <c r="M15" i="17"/>
  <c r="L15" i="17"/>
  <c r="K15" i="17"/>
  <c r="J15" i="17"/>
  <c r="I15" i="17"/>
  <c r="H15" i="17"/>
  <c r="G15" i="17"/>
  <c r="F15" i="17"/>
  <c r="E15" i="17"/>
  <c r="D15" i="17"/>
  <c r="C35" i="17"/>
  <c r="C11" i="17"/>
  <c r="C15" i="17" s="1"/>
  <c r="C91" i="17"/>
  <c r="C18" i="17"/>
  <c r="C27" i="17" s="1"/>
  <c r="C6" i="17"/>
  <c r="O6" i="17" s="1"/>
  <c r="C65" i="1"/>
  <c r="G64" i="2"/>
  <c r="J15" i="5"/>
  <c r="I22" i="5"/>
  <c r="I25" i="5"/>
  <c r="J25" i="16" s="1"/>
  <c r="I26" i="5"/>
  <c r="H28" i="5"/>
  <c r="I93" i="5"/>
  <c r="I106" i="5"/>
  <c r="G14" i="2"/>
  <c r="I32" i="2"/>
  <c r="G29" i="2"/>
  <c r="H134" i="2"/>
  <c r="H147" i="2"/>
  <c r="H148" i="2"/>
  <c r="H149" i="2"/>
  <c r="H150" i="2"/>
  <c r="G21" i="2"/>
  <c r="G20" i="2"/>
  <c r="G18" i="2"/>
  <c r="H120" i="2"/>
  <c r="H121" i="2"/>
  <c r="H126" i="2"/>
  <c r="H116" i="2"/>
  <c r="H52" i="2"/>
  <c r="H53" i="2"/>
  <c r="H92" i="2"/>
  <c r="H93" i="2"/>
  <c r="H94" i="2"/>
  <c r="H95" i="2"/>
  <c r="H96" i="2"/>
  <c r="H97" i="2"/>
  <c r="H56" i="2"/>
  <c r="H57" i="2"/>
  <c r="H60" i="2"/>
  <c r="H61" i="2"/>
  <c r="H111" i="2"/>
  <c r="H112" i="2"/>
  <c r="H64" i="2"/>
  <c r="O91" i="17" l="1"/>
  <c r="C97" i="17"/>
  <c r="O97" i="17" s="1"/>
  <c r="C55" i="2"/>
  <c r="B90" i="5"/>
  <c r="D90" i="5" s="1"/>
  <c r="I103" i="5"/>
  <c r="J103" i="16" s="1"/>
  <c r="I99" i="5"/>
  <c r="J99" i="5" s="1"/>
  <c r="I104" i="5"/>
  <c r="J104" i="15" s="1"/>
  <c r="J106" i="5"/>
  <c r="J106" i="11"/>
  <c r="J106" i="13"/>
  <c r="J106" i="16"/>
  <c r="J106" i="12"/>
  <c r="J106" i="14"/>
  <c r="J106" i="15"/>
  <c r="J106" i="9"/>
  <c r="J106" i="10"/>
  <c r="J106" i="8"/>
  <c r="B125" i="5"/>
  <c r="D125" i="5" s="1"/>
  <c r="I134" i="2"/>
  <c r="B141" i="5"/>
  <c r="D141" i="5" s="1"/>
  <c r="B138" i="5"/>
  <c r="D42" i="5" s="1"/>
  <c r="C59" i="2"/>
  <c r="B96" i="5"/>
  <c r="D96" i="5" s="1"/>
  <c r="I107" i="5"/>
  <c r="J107" i="16" s="1"/>
  <c r="B146" i="5"/>
  <c r="D146" i="5" s="1"/>
  <c r="B149" i="5"/>
  <c r="I141" i="2"/>
  <c r="I74" i="5"/>
  <c r="J74" i="16" s="1"/>
  <c r="B65" i="5"/>
  <c r="D65" i="5" s="1"/>
  <c r="O92" i="17"/>
  <c r="J99" i="14"/>
  <c r="B110" i="5"/>
  <c r="D110" i="5" s="1"/>
  <c r="B101" i="5"/>
  <c r="J103" i="12"/>
  <c r="J93" i="5"/>
  <c r="J93" i="16"/>
  <c r="J93" i="14"/>
  <c r="J93" i="15"/>
  <c r="J93" i="11"/>
  <c r="J93" i="12"/>
  <c r="J93" i="13"/>
  <c r="J93" i="10"/>
  <c r="J93" i="9"/>
  <c r="J93" i="8"/>
  <c r="B61" i="5"/>
  <c r="G46" i="5"/>
  <c r="B115" i="5"/>
  <c r="G47" i="2"/>
  <c r="I96" i="2"/>
  <c r="I144" i="5"/>
  <c r="I118" i="5"/>
  <c r="J118" i="6" s="1"/>
  <c r="I112" i="5"/>
  <c r="I105" i="5"/>
  <c r="J105" i="7" s="1"/>
  <c r="I95" i="2"/>
  <c r="I67" i="5"/>
  <c r="J67" i="6" s="1"/>
  <c r="G57" i="2"/>
  <c r="B55" i="2" s="1"/>
  <c r="I63" i="5"/>
  <c r="J63" i="7" s="1"/>
  <c r="G53" i="2"/>
  <c r="I151" i="5"/>
  <c r="I139" i="5"/>
  <c r="I121" i="5"/>
  <c r="J121" i="6" s="1"/>
  <c r="I117" i="5"/>
  <c r="J117" i="5" s="1"/>
  <c r="I113" i="5"/>
  <c r="J113" i="6" s="1"/>
  <c r="I111" i="5"/>
  <c r="J111" i="5" s="1"/>
  <c r="I94" i="5"/>
  <c r="J94" i="6" s="1"/>
  <c r="I72" i="5"/>
  <c r="J72" i="6" s="1"/>
  <c r="G62" i="2"/>
  <c r="H21" i="2"/>
  <c r="H29" i="2"/>
  <c r="I97" i="2"/>
  <c r="H20" i="2"/>
  <c r="I147" i="5"/>
  <c r="O41" i="17"/>
  <c r="C145" i="2"/>
  <c r="I140" i="2"/>
  <c r="I148" i="2"/>
  <c r="J26" i="16"/>
  <c r="J22" i="16"/>
  <c r="J15" i="16"/>
  <c r="I94" i="2"/>
  <c r="I149" i="2"/>
  <c r="I147" i="2"/>
  <c r="I160" i="2"/>
  <c r="C139" i="2"/>
  <c r="J105" i="6"/>
  <c r="J106" i="7"/>
  <c r="J106" i="6"/>
  <c r="J26" i="5"/>
  <c r="J26" i="8"/>
  <c r="J26" i="9"/>
  <c r="J26" i="10"/>
  <c r="J26" i="11"/>
  <c r="J26" i="12"/>
  <c r="J26" i="13"/>
  <c r="J26" i="6"/>
  <c r="J26" i="7"/>
  <c r="J26" i="14"/>
  <c r="J26" i="15"/>
  <c r="J25" i="7"/>
  <c r="J25" i="8"/>
  <c r="J25" i="10"/>
  <c r="J25" i="12"/>
  <c r="J25" i="15"/>
  <c r="J25" i="5"/>
  <c r="J25" i="6"/>
  <c r="J25" i="9"/>
  <c r="J25" i="11"/>
  <c r="J25" i="13"/>
  <c r="J25" i="14"/>
  <c r="J22" i="5"/>
  <c r="J22" i="8"/>
  <c r="J22" i="9"/>
  <c r="J22" i="10"/>
  <c r="J22" i="11"/>
  <c r="J22" i="12"/>
  <c r="J22" i="13"/>
  <c r="J22" i="6"/>
  <c r="J22" i="7"/>
  <c r="J22" i="14"/>
  <c r="J22" i="15"/>
  <c r="J20" i="10"/>
  <c r="J20" i="12"/>
  <c r="J20" i="6"/>
  <c r="J20" i="9"/>
  <c r="J20" i="11"/>
  <c r="J20" i="14"/>
  <c r="J18" i="11"/>
  <c r="J18" i="14"/>
  <c r="J16" i="7"/>
  <c r="J16" i="10"/>
  <c r="J16" i="12"/>
  <c r="J16" i="5"/>
  <c r="J16" i="6"/>
  <c r="J16" i="8"/>
  <c r="J16" i="11"/>
  <c r="J16" i="13"/>
  <c r="J16" i="14"/>
  <c r="J15" i="8"/>
  <c r="J15" i="10"/>
  <c r="J15" i="11"/>
  <c r="J15" i="12"/>
  <c r="J15" i="13"/>
  <c r="J15" i="6"/>
  <c r="J15" i="7"/>
  <c r="J15" i="14"/>
  <c r="I116" i="5"/>
  <c r="I131" i="5"/>
  <c r="I98" i="5"/>
  <c r="I9" i="2"/>
  <c r="I14" i="2" s="1"/>
  <c r="H102" i="2"/>
  <c r="H103" i="2"/>
  <c r="H98" i="2"/>
  <c r="C91" i="2" s="1"/>
  <c r="G32" i="5" l="1"/>
  <c r="G34" i="2"/>
  <c r="J104" i="9"/>
  <c r="J104" i="6"/>
  <c r="J104" i="11"/>
  <c r="J104" i="8"/>
  <c r="J99" i="10"/>
  <c r="D39" i="5"/>
  <c r="J104" i="14"/>
  <c r="J94" i="5"/>
  <c r="D38" i="5"/>
  <c r="J107" i="11"/>
  <c r="J104" i="10"/>
  <c r="J104" i="16"/>
  <c r="J104" i="7"/>
  <c r="J74" i="10"/>
  <c r="J107" i="5"/>
  <c r="J104" i="12"/>
  <c r="J104" i="5"/>
  <c r="J103" i="10"/>
  <c r="J103" i="14"/>
  <c r="J103" i="11"/>
  <c r="J103" i="5"/>
  <c r="J103" i="6"/>
  <c r="J103" i="9"/>
  <c r="J103" i="15"/>
  <c r="H29" i="1"/>
  <c r="J74" i="7"/>
  <c r="J74" i="11"/>
  <c r="J74" i="12"/>
  <c r="J74" i="6"/>
  <c r="J74" i="8"/>
  <c r="J74" i="5"/>
  <c r="J99" i="13"/>
  <c r="J99" i="16"/>
  <c r="J111" i="6"/>
  <c r="J99" i="8"/>
  <c r="J99" i="12"/>
  <c r="J99" i="15"/>
  <c r="J103" i="7"/>
  <c r="J117" i="6"/>
  <c r="J99" i="6"/>
  <c r="J99" i="7"/>
  <c r="J74" i="9"/>
  <c r="J74" i="14"/>
  <c r="J103" i="8"/>
  <c r="J103" i="13"/>
  <c r="J107" i="9"/>
  <c r="J99" i="9"/>
  <c r="J99" i="11"/>
  <c r="J63" i="6"/>
  <c r="J118" i="5"/>
  <c r="J74" i="13"/>
  <c r="J74" i="15"/>
  <c r="J104" i="13"/>
  <c r="J107" i="7"/>
  <c r="J107" i="10"/>
  <c r="J107" i="15"/>
  <c r="J94" i="7"/>
  <c r="J107" i="6"/>
  <c r="J107" i="12"/>
  <c r="J107" i="14"/>
  <c r="J63" i="12"/>
  <c r="J72" i="7"/>
  <c r="B76" i="5"/>
  <c r="E36" i="5" s="1"/>
  <c r="J107" i="8"/>
  <c r="J107" i="13"/>
  <c r="J144" i="13"/>
  <c r="J144" i="12"/>
  <c r="J144" i="15"/>
  <c r="J144" i="10"/>
  <c r="J144" i="14"/>
  <c r="J144" i="9"/>
  <c r="J144" i="11"/>
  <c r="J144" i="7"/>
  <c r="J144" i="16"/>
  <c r="J144" i="8"/>
  <c r="J144" i="6"/>
  <c r="J139" i="5"/>
  <c r="D138" i="5"/>
  <c r="J139" i="15"/>
  <c r="J139" i="10"/>
  <c r="J139" i="14"/>
  <c r="J139" i="9"/>
  <c r="J139" i="6"/>
  <c r="J139" i="7"/>
  <c r="J139" i="16"/>
  <c r="J139" i="11"/>
  <c r="J139" i="8"/>
  <c r="J139" i="12"/>
  <c r="J139" i="13"/>
  <c r="J131" i="5"/>
  <c r="J131" i="13"/>
  <c r="J131" i="15"/>
  <c r="J131" i="10"/>
  <c r="J131" i="6"/>
  <c r="J131" i="14"/>
  <c r="J131" i="9"/>
  <c r="J131" i="16"/>
  <c r="J131" i="7"/>
  <c r="J131" i="12"/>
  <c r="J131" i="11"/>
  <c r="J131" i="8"/>
  <c r="J147" i="5"/>
  <c r="J147" i="12"/>
  <c r="J147" i="14"/>
  <c r="J147" i="7"/>
  <c r="J147" i="13"/>
  <c r="J147" i="11"/>
  <c r="J147" i="10"/>
  <c r="J147" i="6"/>
  <c r="J147" i="16"/>
  <c r="J147" i="9"/>
  <c r="J147" i="15"/>
  <c r="J147" i="8"/>
  <c r="I62" i="2"/>
  <c r="B59" i="2"/>
  <c r="D59" i="2" s="1"/>
  <c r="D149" i="5"/>
  <c r="D43" i="5"/>
  <c r="J151" i="5"/>
  <c r="J151" i="16"/>
  <c r="J151" i="14"/>
  <c r="J151" i="12"/>
  <c r="J151" i="11"/>
  <c r="J151" i="6"/>
  <c r="J151" i="15"/>
  <c r="J151" i="13"/>
  <c r="J151" i="9"/>
  <c r="J151" i="7"/>
  <c r="J151" i="10"/>
  <c r="J151" i="8"/>
  <c r="J98" i="5"/>
  <c r="J98" i="16"/>
  <c r="J98" i="14"/>
  <c r="J98" i="15"/>
  <c r="J98" i="11"/>
  <c r="J98" i="13"/>
  <c r="J98" i="12"/>
  <c r="J98" i="10"/>
  <c r="J98" i="9"/>
  <c r="J98" i="8"/>
  <c r="J116" i="15"/>
  <c r="J116" i="16"/>
  <c r="J116" i="14"/>
  <c r="J116" i="11"/>
  <c r="J116" i="12"/>
  <c r="J116" i="13"/>
  <c r="J116" i="10"/>
  <c r="J116" i="7"/>
  <c r="J116" i="8"/>
  <c r="J116" i="9"/>
  <c r="J111" i="16"/>
  <c r="J111" i="14"/>
  <c r="J111" i="15"/>
  <c r="J111" i="11"/>
  <c r="J111" i="12"/>
  <c r="J111" i="13"/>
  <c r="J111" i="10"/>
  <c r="J111" i="7"/>
  <c r="J111" i="9"/>
  <c r="J111" i="8"/>
  <c r="J113" i="5"/>
  <c r="J113" i="16"/>
  <c r="J113" i="14"/>
  <c r="J113" i="15"/>
  <c r="J113" i="11"/>
  <c r="J113" i="13"/>
  <c r="J113" i="12"/>
  <c r="J113" i="10"/>
  <c r="J113" i="7"/>
  <c r="J113" i="9"/>
  <c r="J113" i="8"/>
  <c r="J117" i="16"/>
  <c r="J117" i="14"/>
  <c r="J117" i="15"/>
  <c r="J117" i="11"/>
  <c r="J117" i="13"/>
  <c r="J117" i="12"/>
  <c r="J117" i="10"/>
  <c r="J117" i="7"/>
  <c r="J117" i="9"/>
  <c r="J117" i="8"/>
  <c r="J118" i="15"/>
  <c r="J118" i="16"/>
  <c r="J118" i="14"/>
  <c r="J118" i="11"/>
  <c r="J118" i="12"/>
  <c r="J118" i="13"/>
  <c r="J118" i="10"/>
  <c r="J118" i="7"/>
  <c r="J118" i="8"/>
  <c r="J118" i="9"/>
  <c r="J72" i="5"/>
  <c r="J72" i="16"/>
  <c r="J72" i="15"/>
  <c r="J72" i="14"/>
  <c r="J72" i="11"/>
  <c r="J72" i="13"/>
  <c r="J72" i="12"/>
  <c r="J72" i="9"/>
  <c r="J72" i="8"/>
  <c r="J72" i="10"/>
  <c r="J94" i="15"/>
  <c r="J94" i="16"/>
  <c r="J94" i="14"/>
  <c r="J94" i="11"/>
  <c r="J94" i="13"/>
  <c r="J94" i="12"/>
  <c r="J94" i="10"/>
  <c r="J94" i="9"/>
  <c r="J94" i="8"/>
  <c r="J63" i="5"/>
  <c r="J63" i="16"/>
  <c r="J63" i="15"/>
  <c r="J63" i="14"/>
  <c r="J63" i="11"/>
  <c r="J63" i="13"/>
  <c r="J63" i="8"/>
  <c r="J63" i="9"/>
  <c r="J63" i="10"/>
  <c r="J67" i="5"/>
  <c r="J67" i="16"/>
  <c r="J67" i="15"/>
  <c r="J67" i="14"/>
  <c r="J67" i="11"/>
  <c r="J67" i="13"/>
  <c r="J67" i="8"/>
  <c r="J67" i="10"/>
  <c r="J67" i="9"/>
  <c r="J105" i="5"/>
  <c r="J105" i="16"/>
  <c r="J105" i="14"/>
  <c r="J105" i="15"/>
  <c r="J105" i="11"/>
  <c r="J105" i="12"/>
  <c r="J105" i="13"/>
  <c r="J105" i="9"/>
  <c r="J105" i="8"/>
  <c r="J105" i="10"/>
  <c r="J112" i="5"/>
  <c r="J112" i="15"/>
  <c r="J112" i="16"/>
  <c r="J112" i="14"/>
  <c r="J112" i="11"/>
  <c r="J112" i="13"/>
  <c r="J112" i="12"/>
  <c r="J112" i="10"/>
  <c r="J112" i="7"/>
  <c r="J112" i="8"/>
  <c r="J112" i="9"/>
  <c r="D115" i="5"/>
  <c r="D40" i="5"/>
  <c r="B47" i="5"/>
  <c r="E35" i="5" s="1"/>
  <c r="D61" i="5"/>
  <c r="D47" i="5" s="1"/>
  <c r="D101" i="5"/>
  <c r="D37" i="5"/>
  <c r="J121" i="5"/>
  <c r="J121" i="16"/>
  <c r="J121" i="15"/>
  <c r="J121" i="14"/>
  <c r="J121" i="11"/>
  <c r="J121" i="13"/>
  <c r="J121" i="12"/>
  <c r="J121" i="10"/>
  <c r="J121" i="7"/>
  <c r="J121" i="9"/>
  <c r="J121" i="8"/>
  <c r="G36" i="2"/>
  <c r="I47" i="2"/>
  <c r="D38" i="2" s="1"/>
  <c r="B38" i="2"/>
  <c r="J67" i="12"/>
  <c r="J67" i="7"/>
  <c r="J112" i="6"/>
  <c r="B145" i="2"/>
  <c r="D145" i="2" s="1"/>
  <c r="J98" i="7"/>
  <c r="J98" i="6"/>
  <c r="I98" i="2"/>
  <c r="B139" i="2"/>
  <c r="J93" i="7"/>
  <c r="J93" i="6"/>
  <c r="J116" i="6"/>
  <c r="J116" i="5"/>
  <c r="J57" i="5"/>
  <c r="J57" i="7"/>
  <c r="I46" i="5"/>
  <c r="G30" i="2"/>
  <c r="G32" i="2" s="1"/>
  <c r="H81" i="2"/>
  <c r="H82" i="2"/>
  <c r="I82" i="2" s="1"/>
  <c r="H83" i="2"/>
  <c r="H84" i="2"/>
  <c r="H87" i="2"/>
  <c r="H88" i="2"/>
  <c r="I88" i="2" s="1"/>
  <c r="H89" i="2"/>
  <c r="H106" i="2"/>
  <c r="H107" i="2"/>
  <c r="I107" i="2" s="1"/>
  <c r="H108" i="2"/>
  <c r="I108" i="2" s="1"/>
  <c r="H113" i="2"/>
  <c r="H129" i="2"/>
  <c r="C128" i="2" s="1"/>
  <c r="H137" i="2"/>
  <c r="C136" i="2" s="1"/>
  <c r="I120" i="2"/>
  <c r="B30" i="2"/>
  <c r="I126" i="2"/>
  <c r="D8" i="17"/>
  <c r="F8" i="17"/>
  <c r="I8" i="17"/>
  <c r="B8" i="17"/>
  <c r="B27" i="17"/>
  <c r="O27" i="17" s="1"/>
  <c r="B32" i="17"/>
  <c r="O70" i="17"/>
  <c r="O72" i="17"/>
  <c r="O73" i="17"/>
  <c r="O89" i="17"/>
  <c r="P97" i="17" s="1"/>
  <c r="B136" i="17"/>
  <c r="B139" i="17" s="1"/>
  <c r="E32" i="1"/>
  <c r="E34" i="1"/>
  <c r="C67" i="1"/>
  <c r="B9" i="3"/>
  <c r="C9" i="3" s="1"/>
  <c r="B14" i="3"/>
  <c r="C14" i="3" s="1"/>
  <c r="A37" i="3"/>
  <c r="B42" i="3"/>
  <c r="D6" i="3" s="1"/>
  <c r="D7" i="3"/>
  <c r="G11" i="6" s="1"/>
  <c r="D8" i="3"/>
  <c r="D9" i="3"/>
  <c r="G11" i="8" s="1"/>
  <c r="B97" i="3"/>
  <c r="D10" i="3" s="1"/>
  <c r="D11" i="3"/>
  <c r="B125" i="3"/>
  <c r="D12" i="3" s="1"/>
  <c r="D13" i="3"/>
  <c r="D14" i="3"/>
  <c r="D15" i="3"/>
  <c r="D16" i="3"/>
  <c r="D17" i="3"/>
  <c r="AG26" i="4"/>
  <c r="B26" i="4"/>
  <c r="B27" i="4" s="1"/>
  <c r="D26" i="4"/>
  <c r="D27" i="4" s="1"/>
  <c r="F26" i="4"/>
  <c r="H26" i="4"/>
  <c r="H27" i="4" s="1"/>
  <c r="K26" i="4"/>
  <c r="N26" i="4"/>
  <c r="N27" i="4" s="1"/>
  <c r="Q26" i="4"/>
  <c r="Q27" i="4" s="1"/>
  <c r="T26" i="4"/>
  <c r="T27" i="4" s="1"/>
  <c r="AH26" i="4"/>
  <c r="AI26" i="4"/>
  <c r="F27" i="4"/>
  <c r="K27" i="4"/>
  <c r="N29" i="4"/>
  <c r="AG28" i="4"/>
  <c r="AH28" i="4"/>
  <c r="AI28" i="4"/>
  <c r="F29" i="4"/>
  <c r="K29" i="4"/>
  <c r="Q29" i="4"/>
  <c r="T29" i="4"/>
  <c r="B55" i="4"/>
  <c r="B56" i="4" s="1"/>
  <c r="D55" i="4"/>
  <c r="D56" i="4" s="1"/>
  <c r="F55" i="4"/>
  <c r="F56" i="4" s="1"/>
  <c r="H55" i="4"/>
  <c r="K55" i="4"/>
  <c r="K56" i="4" s="1"/>
  <c r="N55" i="4"/>
  <c r="N56" i="4" s="1"/>
  <c r="Q55" i="4"/>
  <c r="Q56" i="4" s="1"/>
  <c r="T55" i="4"/>
  <c r="T56" i="4" s="1"/>
  <c r="AH55" i="4"/>
  <c r="H56" i="4"/>
  <c r="B57" i="4"/>
  <c r="D57" i="4"/>
  <c r="F57" i="4"/>
  <c r="H57" i="4"/>
  <c r="K57" i="4"/>
  <c r="N57" i="4"/>
  <c r="Q57" i="4"/>
  <c r="E37" i="1"/>
  <c r="C15" i="3"/>
  <c r="E38" i="1"/>
  <c r="E39" i="1"/>
  <c r="E31" i="1"/>
  <c r="B8" i="3"/>
  <c r="C8" i="3" s="1"/>
  <c r="I57" i="2"/>
  <c r="E33" i="1"/>
  <c r="B10" i="3"/>
  <c r="C10" i="3" s="1"/>
  <c r="B136" i="2"/>
  <c r="C16" i="3"/>
  <c r="B128" i="2"/>
  <c r="I113" i="2"/>
  <c r="B11" i="3"/>
  <c r="C11" i="3" s="1"/>
  <c r="I60" i="2"/>
  <c r="I102" i="2"/>
  <c r="I53" i="2"/>
  <c r="I56" i="2"/>
  <c r="I150" i="2"/>
  <c r="I89" i="2"/>
  <c r="I83" i="2"/>
  <c r="C51" i="2"/>
  <c r="C37" i="2" s="1"/>
  <c r="I93" i="2"/>
  <c r="E35" i="1"/>
  <c r="B12" i="3"/>
  <c r="C12" i="3" s="1"/>
  <c r="B17" i="3"/>
  <c r="C17" i="3" s="1"/>
  <c r="E40" i="1"/>
  <c r="I132" i="2"/>
  <c r="B7" i="3"/>
  <c r="C7" i="3" s="1"/>
  <c r="E30" i="1"/>
  <c r="I103" i="2"/>
  <c r="J8" i="17"/>
  <c r="I64" i="2"/>
  <c r="E36" i="1"/>
  <c r="B13" i="3"/>
  <c r="C13" i="3" s="1"/>
  <c r="I117" i="2"/>
  <c r="C80" i="2" l="1"/>
  <c r="G32" i="1"/>
  <c r="G31" i="8"/>
  <c r="G33" i="8" s="1"/>
  <c r="G30" i="1"/>
  <c r="G31" i="6"/>
  <c r="G33" i="6" s="1"/>
  <c r="D76" i="5"/>
  <c r="J46" i="13"/>
  <c r="O83" i="17"/>
  <c r="C86" i="2"/>
  <c r="J46" i="8"/>
  <c r="J46" i="12"/>
  <c r="J46" i="11"/>
  <c r="J46" i="10"/>
  <c r="J46" i="9"/>
  <c r="J46" i="16"/>
  <c r="G11" i="16"/>
  <c r="G11" i="15"/>
  <c r="G11" i="14"/>
  <c r="G11" i="13"/>
  <c r="G11" i="12"/>
  <c r="G11" i="11"/>
  <c r="G11" i="10"/>
  <c r="G11" i="9"/>
  <c r="B11" i="8"/>
  <c r="I11" i="8"/>
  <c r="I28" i="8" s="1"/>
  <c r="E11" i="8"/>
  <c r="G11" i="7"/>
  <c r="B11" i="6"/>
  <c r="I11" i="6"/>
  <c r="I28" i="6" s="1"/>
  <c r="E11" i="6"/>
  <c r="J46" i="14"/>
  <c r="J46" i="15"/>
  <c r="J46" i="5"/>
  <c r="E35" i="3"/>
  <c r="E37" i="3" s="1"/>
  <c r="G11" i="5"/>
  <c r="J46" i="6"/>
  <c r="J46" i="7"/>
  <c r="G8" i="17"/>
  <c r="E8" i="17"/>
  <c r="O7" i="17"/>
  <c r="B4" i="5"/>
  <c r="H6" i="3"/>
  <c r="H7" i="3" s="1"/>
  <c r="H8" i="3" s="1"/>
  <c r="H9" i="3" s="1"/>
  <c r="H10" i="3" s="1"/>
  <c r="H11" i="3" s="1"/>
  <c r="H12" i="3" s="1"/>
  <c r="H13" i="3" s="1"/>
  <c r="F17" i="3"/>
  <c r="F14" i="3"/>
  <c r="F12" i="3"/>
  <c r="F13" i="3"/>
  <c r="F7" i="3"/>
  <c r="D21" i="3"/>
  <c r="D22" i="3" s="1"/>
  <c r="H30" i="2"/>
  <c r="I84" i="2"/>
  <c r="B105" i="2"/>
  <c r="C131" i="2"/>
  <c r="H101" i="2"/>
  <c r="C100" i="2" s="1"/>
  <c r="C115" i="2"/>
  <c r="D139" i="2"/>
  <c r="I87" i="2"/>
  <c r="I92" i="2"/>
  <c r="B91" i="2"/>
  <c r="D91" i="2" s="1"/>
  <c r="C105" i="2"/>
  <c r="I81" i="2"/>
  <c r="I116" i="2"/>
  <c r="I52" i="2"/>
  <c r="I61" i="2"/>
  <c r="I121" i="2"/>
  <c r="I106" i="2"/>
  <c r="C110" i="2"/>
  <c r="I111" i="2"/>
  <c r="I112" i="2"/>
  <c r="D136" i="2"/>
  <c r="B131" i="2"/>
  <c r="B86" i="2"/>
  <c r="C8" i="17"/>
  <c r="D55" i="2"/>
  <c r="O18" i="17"/>
  <c r="B115" i="2"/>
  <c r="B51" i="2"/>
  <c r="B37" i="2" s="1"/>
  <c r="F16" i="3"/>
  <c r="I129" i="2"/>
  <c r="D128" i="2" s="1"/>
  <c r="F15" i="3"/>
  <c r="F9" i="3"/>
  <c r="D42" i="1"/>
  <c r="O30" i="17"/>
  <c r="O32" i="17" s="1"/>
  <c r="O11" i="17"/>
  <c r="H8" i="17"/>
  <c r="B100" i="2"/>
  <c r="I137" i="2"/>
  <c r="B110" i="2"/>
  <c r="F8" i="3"/>
  <c r="F11" i="3"/>
  <c r="F10" i="3"/>
  <c r="G40" i="1" l="1"/>
  <c r="G31" i="16"/>
  <c r="G33" i="16" s="1"/>
  <c r="G39" i="1"/>
  <c r="G31" i="15"/>
  <c r="G33" i="15" s="1"/>
  <c r="G38" i="1"/>
  <c r="G31" i="14"/>
  <c r="G33" i="14" s="1"/>
  <c r="G37" i="1"/>
  <c r="G31" i="13"/>
  <c r="G33" i="13" s="1"/>
  <c r="G36" i="1"/>
  <c r="G31" i="12"/>
  <c r="G33" i="12" s="1"/>
  <c r="G35" i="1"/>
  <c r="G31" i="11"/>
  <c r="G33" i="11" s="1"/>
  <c r="G34" i="1"/>
  <c r="G31" i="10"/>
  <c r="G33" i="10" s="1"/>
  <c r="G33" i="1"/>
  <c r="G31" i="9"/>
  <c r="G33" i="9" s="1"/>
  <c r="G31" i="1"/>
  <c r="G31" i="7"/>
  <c r="G33" i="7" s="1"/>
  <c r="G31" i="5"/>
  <c r="G33" i="5" s="1"/>
  <c r="C66" i="2"/>
  <c r="C36" i="2" s="1"/>
  <c r="D86" i="2"/>
  <c r="B66" i="2"/>
  <c r="B36" i="2" s="1"/>
  <c r="C30" i="1"/>
  <c r="C32" i="1"/>
  <c r="E38" i="3"/>
  <c r="F38" i="3"/>
  <c r="F37" i="3"/>
  <c r="E29" i="1"/>
  <c r="E42" i="1" s="1"/>
  <c r="B11" i="16"/>
  <c r="E11" i="16"/>
  <c r="I11" i="16"/>
  <c r="I28" i="16" s="1"/>
  <c r="B11" i="15"/>
  <c r="I11" i="15"/>
  <c r="I28" i="15" s="1"/>
  <c r="E11" i="15"/>
  <c r="B11" i="14"/>
  <c r="E11" i="14"/>
  <c r="I11" i="14"/>
  <c r="I28" i="14" s="1"/>
  <c r="B11" i="13"/>
  <c r="E11" i="13"/>
  <c r="I11" i="13"/>
  <c r="I28" i="13" s="1"/>
  <c r="B11" i="12"/>
  <c r="E11" i="12"/>
  <c r="I11" i="12"/>
  <c r="I28" i="12" s="1"/>
  <c r="B11" i="11"/>
  <c r="E11" i="11"/>
  <c r="I11" i="11"/>
  <c r="I28" i="11" s="1"/>
  <c r="B11" i="10"/>
  <c r="I11" i="10"/>
  <c r="I28" i="10" s="1"/>
  <c r="E11" i="10"/>
  <c r="B11" i="9"/>
  <c r="E11" i="9"/>
  <c r="I11" i="9"/>
  <c r="I28" i="9" s="1"/>
  <c r="B11" i="7"/>
  <c r="I11" i="7"/>
  <c r="I28" i="7" s="1"/>
  <c r="E11" i="7"/>
  <c r="D51" i="2"/>
  <c r="D37" i="2" s="1"/>
  <c r="H36" i="2"/>
  <c r="B33" i="2" s="1"/>
  <c r="H42" i="1"/>
  <c r="H44" i="1" s="1"/>
  <c r="H48" i="1" s="1"/>
  <c r="H14" i="3"/>
  <c r="H15" i="3" s="1"/>
  <c r="H16" i="3" s="1"/>
  <c r="H17" i="3" s="1"/>
  <c r="B11" i="5"/>
  <c r="G29" i="1"/>
  <c r="I11" i="5"/>
  <c r="F18" i="2"/>
  <c r="D110" i="2"/>
  <c r="D115" i="2"/>
  <c r="D131" i="2"/>
  <c r="B6" i="3"/>
  <c r="O8" i="17"/>
  <c r="E11" i="5"/>
  <c r="D100" i="2"/>
  <c r="D105" i="2"/>
  <c r="I101" i="2"/>
  <c r="I36" i="2" s="1"/>
  <c r="D80" i="2"/>
  <c r="E46" i="1" l="1"/>
  <c r="J44" i="1" s="1"/>
  <c r="J43" i="1"/>
  <c r="D66" i="2"/>
  <c r="D36" i="2" s="1"/>
  <c r="F6" i="3"/>
  <c r="B21" i="3"/>
  <c r="D23" i="3" s="1"/>
  <c r="C34" i="1"/>
  <c r="C35" i="1"/>
  <c r="C39" i="1"/>
  <c r="C29" i="1"/>
  <c r="C36" i="1"/>
  <c r="C37" i="1"/>
  <c r="C38" i="1"/>
  <c r="C31" i="1"/>
  <c r="D42" i="17"/>
  <c r="D37" i="17"/>
  <c r="F42" i="17"/>
  <c r="F59" i="17" s="1"/>
  <c r="F61" i="17" s="1"/>
  <c r="F37" i="17"/>
  <c r="J11" i="16"/>
  <c r="J28" i="16" s="1"/>
  <c r="J11" i="15"/>
  <c r="J28" i="15" s="1"/>
  <c r="J11" i="14"/>
  <c r="J28" i="14" s="1"/>
  <c r="J11" i="11"/>
  <c r="J28" i="11" s="1"/>
  <c r="J11" i="13"/>
  <c r="J28" i="13" s="1"/>
  <c r="J11" i="12"/>
  <c r="J28" i="12" s="1"/>
  <c r="J11" i="8"/>
  <c r="J11" i="10"/>
  <c r="J28" i="10" s="1"/>
  <c r="J11" i="7"/>
  <c r="J28" i="7" s="1"/>
  <c r="J11" i="6"/>
  <c r="J28" i="6" s="1"/>
  <c r="J11" i="9"/>
  <c r="J28" i="9" s="1"/>
  <c r="H51" i="1"/>
  <c r="J11" i="5"/>
  <c r="J28" i="5" s="1"/>
  <c r="I28" i="5"/>
  <c r="J28" i="8"/>
  <c r="H18" i="2"/>
  <c r="H32" i="2" s="1"/>
  <c r="F32" i="2"/>
  <c r="G6" i="3"/>
  <c r="C6" i="3"/>
  <c r="C21" i="3" s="1"/>
  <c r="O12" i="17"/>
  <c r="O15" i="17" s="1"/>
  <c r="G42" i="1"/>
  <c r="J42" i="1" s="1"/>
  <c r="H50" i="1" l="1"/>
  <c r="J47" i="1"/>
  <c r="C40" i="1"/>
  <c r="N13" i="23"/>
  <c r="C33" i="1"/>
  <c r="C42" i="17"/>
  <c r="P42" i="17" s="1"/>
  <c r="C37" i="17"/>
  <c r="E37" i="17"/>
  <c r="E42" i="17"/>
  <c r="E59" i="17" s="1"/>
  <c r="E61" i="17" s="1"/>
  <c r="H42" i="17"/>
  <c r="H37" i="17"/>
  <c r="J42" i="17"/>
  <c r="J37" i="17"/>
  <c r="L42" i="17"/>
  <c r="L37" i="17"/>
  <c r="N42" i="17"/>
  <c r="N59" i="17" s="1"/>
  <c r="N61" i="17" s="1"/>
  <c r="G37" i="17"/>
  <c r="I37" i="17"/>
  <c r="I42" i="17"/>
  <c r="K42" i="17"/>
  <c r="K37" i="17"/>
  <c r="M42" i="17"/>
  <c r="M37" i="17"/>
  <c r="O35" i="17"/>
  <c r="F42" i="1"/>
  <c r="D59" i="17"/>
  <c r="I6" i="3"/>
  <c r="G7" i="3"/>
  <c r="E6" i="3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D61" i="17" l="1"/>
  <c r="M59" i="17"/>
  <c r="M61" i="17" s="1"/>
  <c r="L59" i="17"/>
  <c r="L61" i="17" s="1"/>
  <c r="I59" i="17"/>
  <c r="I61" i="17" s="1"/>
  <c r="H59" i="17"/>
  <c r="H61" i="17" s="1"/>
  <c r="K59" i="17"/>
  <c r="K61" i="17" s="1"/>
  <c r="J59" i="17"/>
  <c r="J61" i="17" s="1"/>
  <c r="N37" i="17"/>
  <c r="G42" i="17"/>
  <c r="C59" i="17"/>
  <c r="C61" i="17" s="1"/>
  <c r="C42" i="1"/>
  <c r="C51" i="1" s="1"/>
  <c r="I7" i="3"/>
  <c r="G8" i="3"/>
  <c r="Q57" i="17" l="1"/>
  <c r="G59" i="17"/>
  <c r="G61" i="17" s="1"/>
  <c r="P61" i="17" s="1"/>
  <c r="L13" i="23"/>
  <c r="O42" i="17"/>
  <c r="P59" i="17" s="1"/>
  <c r="O37" i="17"/>
  <c r="I8" i="3"/>
  <c r="G9" i="3"/>
  <c r="O59" i="17" l="1"/>
  <c r="O61" i="17" s="1"/>
  <c r="F13" i="23"/>
  <c r="G10" i="3"/>
  <c r="I9" i="3"/>
  <c r="I10" i="3" l="1"/>
  <c r="G11" i="3"/>
  <c r="I11" i="3" l="1"/>
  <c r="G12" i="3"/>
  <c r="I12" i="3" l="1"/>
  <c r="G13" i="3"/>
  <c r="G14" i="3" l="1"/>
  <c r="I14" i="3" s="1"/>
  <c r="I13" i="3"/>
  <c r="G15" i="3" l="1"/>
  <c r="G16" i="3" s="1"/>
  <c r="I15" i="3" l="1"/>
  <c r="G17" i="3"/>
  <c r="I17" i="3" s="1"/>
  <c r="I16" i="3"/>
</calcChain>
</file>

<file path=xl/sharedStrings.xml><?xml version="1.0" encoding="utf-8"?>
<sst xmlns="http://schemas.openxmlformats.org/spreadsheetml/2006/main" count="4633" uniqueCount="1364">
  <si>
    <t>YEAR</t>
  </si>
  <si>
    <t>Financial Goal:</t>
  </si>
  <si>
    <t>NET SAVING</t>
  </si>
  <si>
    <t>TAX/Refund</t>
  </si>
  <si>
    <t>INCOME</t>
  </si>
  <si>
    <t>OFFERING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</si>
  <si>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</si>
  <si>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</si>
  <si>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</si>
  <si>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</si>
  <si>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</si>
  <si>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</si>
  <si>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</si>
  <si>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</si>
  <si>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</si>
  <si>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</si>
  <si>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</si>
  <si>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</si>
  <si>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offering rate</t>
  </si>
  <si>
    <t>monthly mortgage paym't</t>
  </si>
  <si>
    <t>other expenses</t>
  </si>
  <si>
    <t>monthly w/ mortgage</t>
  </si>
  <si>
    <t>Income Breakdown:</t>
  </si>
  <si>
    <t>After Tax</t>
  </si>
  <si>
    <t>Liberty Mutual</t>
  </si>
  <si>
    <t>Teaching:</t>
  </si>
  <si>
    <t>Electricity</t>
  </si>
  <si>
    <t>PSNH</t>
  </si>
  <si>
    <t>Water</t>
  </si>
  <si>
    <t>Merrimack Village District</t>
  </si>
  <si>
    <t>Allowance</t>
  </si>
  <si>
    <t>TOTAL</t>
  </si>
  <si>
    <t>ANNUAL EXPENSES (Actual vs. Budgeting)</t>
  </si>
  <si>
    <t xml:space="preserve">Actual </t>
  </si>
  <si>
    <t>Under/(Over)</t>
  </si>
  <si>
    <t>YTD Total</t>
  </si>
  <si>
    <t>Annual Budget</t>
  </si>
  <si>
    <t>Available</t>
  </si>
  <si>
    <t>Monthly Bgt</t>
  </si>
  <si>
    <t>Utilities:</t>
  </si>
  <si>
    <t>House heating</t>
  </si>
  <si>
    <t>Pellets</t>
  </si>
  <si>
    <t>Water heating</t>
  </si>
  <si>
    <t>Propane</t>
  </si>
  <si>
    <t>Cell phone</t>
  </si>
  <si>
    <t>Insurance:</t>
  </si>
  <si>
    <t>Home &amp; Umbrella</t>
  </si>
  <si>
    <t>Car Insurance</t>
  </si>
  <si>
    <t>Life Insurance Premium</t>
  </si>
  <si>
    <t>Home Maintenance:</t>
  </si>
  <si>
    <t>Living:</t>
  </si>
  <si>
    <t>Cash Allowance</t>
  </si>
  <si>
    <t>Clothes &amp; Shoes</t>
  </si>
  <si>
    <t>Car:</t>
  </si>
  <si>
    <t>Registry</t>
  </si>
  <si>
    <t>CK's Gasoline</t>
  </si>
  <si>
    <t>Transportation</t>
  </si>
  <si>
    <t>MBTA, bus, train, toll fee, parking</t>
  </si>
  <si>
    <t>CK's meal at work w/coworkers</t>
  </si>
  <si>
    <t>Education:</t>
  </si>
  <si>
    <t>BJU Curriculumn</t>
  </si>
  <si>
    <t>Admission fee to parks, museums</t>
  </si>
  <si>
    <t>Lodge, hotel</t>
  </si>
  <si>
    <t>Gifts to family members</t>
  </si>
  <si>
    <t>Gifts to others</t>
  </si>
  <si>
    <t>Medical &amp; Health</t>
  </si>
  <si>
    <t>Vitamins, co-pay, out of pocket etc.</t>
  </si>
  <si>
    <t>Misc</t>
  </si>
  <si>
    <t>USPS, phonecard, fee, DVD rental</t>
  </si>
  <si>
    <t>Proverbs 3:9</t>
  </si>
  <si>
    <t>“HONOR the Lord with your wealth, with the FIRST fruits of all your crops”</t>
  </si>
  <si>
    <t>Income</t>
  </si>
  <si>
    <t>Goal 10%</t>
  </si>
  <si>
    <t>Realized Giving</t>
  </si>
  <si>
    <t>Fund to Allocate</t>
  </si>
  <si>
    <t>Realized giving %</t>
  </si>
  <si>
    <t>Acc. Income</t>
  </si>
  <si>
    <t>Accum Giving</t>
  </si>
  <si>
    <t>Acc. %</t>
  </si>
  <si>
    <t>Total</t>
  </si>
  <si>
    <t>Avg monthly</t>
  </si>
  <si>
    <t>giving %</t>
  </si>
  <si>
    <t>Budgeted Amt</t>
  </si>
  <si>
    <t xml:space="preserve">Realized </t>
  </si>
  <si>
    <t>Receipt?</t>
  </si>
  <si>
    <t>Baptist Mid Mission</t>
  </si>
  <si>
    <t>Kirk Lehner</t>
  </si>
  <si>
    <t>EMU International</t>
  </si>
  <si>
    <t>Tim &amp; Ruth Bixby</t>
  </si>
  <si>
    <t>CEF Greater NYC</t>
  </si>
  <si>
    <t>monthly</t>
  </si>
  <si>
    <t xml:space="preserve"> </t>
  </si>
  <si>
    <t>weekly</t>
  </si>
  <si>
    <t>DETAILED GIVING ALLOCATION:</t>
  </si>
  <si>
    <t>ck#</t>
  </si>
  <si>
    <t>date</t>
  </si>
  <si>
    <t>Amt $</t>
  </si>
  <si>
    <t>Note</t>
  </si>
  <si>
    <t>South Pacific</t>
  </si>
  <si>
    <t>Elisa &amp; Helen Teo</t>
  </si>
  <si>
    <t>Chinese children in NYC</t>
  </si>
  <si>
    <t>NYC</t>
  </si>
  <si>
    <t>Propane (Current month)</t>
  </si>
  <si>
    <t>(See Breakeven Analyses, below)</t>
  </si>
  <si>
    <t>^ guests visit &amp; stay over less than a week</t>
  </si>
  <si>
    <t>1.)Electric heater on from Nov 08 to Apr 09 for homeschooling in basement.  Electric heater costs lots of $.</t>
  </si>
  <si>
    <t xml:space="preserve">@ guests (most family members from TW) visit &amp; stay over for more than two week to a month. </t>
  </si>
  <si>
    <t>2.)Central A/C installed 7/23/10.</t>
  </si>
  <si>
    <t xml:space="preserve">3.)Moved schoolroom to library in Sep. 2009.  </t>
  </si>
  <si>
    <t>$ using electric heater for library school time.  Better using propane than electric heater.</t>
  </si>
  <si>
    <t>Year 2008 Spring to 2009Spring, open home to Ladies Bible Studies.</t>
  </si>
  <si>
    <t>5) Ryan Chou stayed with us 2005 to Jul 2007.    Anne Lee stayed with us from Aug 2008 to Jun 2010.  T&amp;G Chu stayed Sep to Nov 2011.</t>
  </si>
  <si>
    <t>6) Unit price up since 2009</t>
  </si>
  <si>
    <t>House Heating Secondary</t>
  </si>
  <si>
    <t>Since 9/2006</t>
  </si>
  <si>
    <t>Begins in 2012</t>
  </si>
  <si>
    <t>2005 to 2011 Water &amp; House Heating</t>
  </si>
  <si>
    <t>6)</t>
  </si>
  <si>
    <t>Avg usage</t>
  </si>
  <si>
    <t>Max kwh</t>
  </si>
  <si>
    <t>Min kwh</t>
  </si>
  <si>
    <t>Jan</t>
  </si>
  <si>
    <t>4)</t>
  </si>
  <si>
    <t>1)</t>
  </si>
  <si>
    <t>Propane Only</t>
  </si>
  <si>
    <t xml:space="preserve">Propane </t>
  </si>
  <si>
    <t xml:space="preserve">Pellet </t>
  </si>
  <si>
    <t>Total Heating</t>
  </si>
  <si>
    <t>Feb</t>
  </si>
  <si>
    <t>$5.4/bag</t>
  </si>
  <si>
    <t>New Schedule</t>
  </si>
  <si>
    <t>Avg GL</t>
  </si>
  <si>
    <t>Max Gallon</t>
  </si>
  <si>
    <t>Min, Gallon</t>
  </si>
  <si>
    <t>Mar</t>
  </si>
  <si>
    <t>5)</t>
  </si>
  <si>
    <t>Apr</t>
  </si>
  <si>
    <t>@</t>
  </si>
  <si>
    <t>Jun</t>
  </si>
  <si>
    <t>Jul</t>
  </si>
  <si>
    <t>*</t>
  </si>
  <si>
    <t>Aug</t>
  </si>
  <si>
    <t>***</t>
  </si>
  <si>
    <t>Sep</t>
  </si>
  <si>
    <t>*5)</t>
  </si>
  <si>
    <t>Oct</t>
  </si>
  <si>
    <t>3)</t>
  </si>
  <si>
    <t>Nov</t>
  </si>
  <si>
    <t>Dec</t>
  </si>
  <si>
    <t>5)@</t>
  </si>
  <si>
    <t>Usage</t>
  </si>
  <si>
    <t>(1)</t>
  </si>
  <si>
    <t>Avg Usage</t>
  </si>
  <si>
    <t>Avg Mnth$</t>
  </si>
  <si>
    <t>Avg G</t>
  </si>
  <si>
    <t>Gallon</t>
  </si>
  <si>
    <t>Avg $/mo</t>
  </si>
  <si>
    <t>Purchase unit price</t>
  </si>
  <si>
    <t>$/g</t>
  </si>
  <si>
    <t>Water (Prior 3 months)</t>
  </si>
  <si>
    <t>actual $/gl</t>
  </si>
  <si>
    <t>*water leak found in Oct. '06</t>
  </si>
  <si>
    <t>^estimated usage  cause no bill in file</t>
  </si>
  <si>
    <t>?need to find if leaked, changed to manually switch on/off lawn irrigation to save water bill</t>
  </si>
  <si>
    <t>Average</t>
  </si>
  <si>
    <t>1/3 yard expansion in 7/2009</t>
  </si>
  <si>
    <t>Pellets - projected</t>
  </si>
  <si>
    <t xml:space="preserve">!  Water dripping from backyard facet in the winter.   Remember to check backyard facet if turned off in the winter.  </t>
  </si>
  <si>
    <t>5 summer months (May – Sep)</t>
  </si>
  <si>
    <t>Mid Oct +Nov.</t>
  </si>
  <si>
    <t>Since  Feb/2007</t>
  </si>
  <si>
    <t>Month</t>
  </si>
  <si>
    <t>bags</t>
  </si>
  <si>
    <t>gallons (maximum usage)</t>
  </si>
  <si>
    <t>^</t>
  </si>
  <si>
    <t>!</t>
  </si>
  <si>
    <t>(40 gallons of water tank, based on the info on tank: 266 gallons of gas to heat water a year)</t>
  </si>
  <si>
    <t>?</t>
  </si>
  <si>
    <t>BREAK-EVEN POINT for Propane Unit Price and Usage</t>
  </si>
  <si>
    <t>(1) Using Actual Average Unit Price:</t>
  </si>
  <si>
    <t>*2011 winter began using propane and pellets</t>
  </si>
  <si>
    <t>If 350 gallons of propane heating water and 3 tons pellet heating house:</t>
  </si>
  <si>
    <t>Year</t>
  </si>
  <si>
    <t>Saving</t>
  </si>
  <si>
    <t>Y/N</t>
  </si>
  <si>
    <t>N</t>
  </si>
  <si>
    <t>Y</t>
  </si>
  <si>
    <t>BreakEven</t>
  </si>
  <si>
    <t>Actual $</t>
  </si>
  <si>
    <t>Actual usage</t>
  </si>
  <si>
    <t>Avg unit price</t>
  </si>
  <si>
    <t>IF Avg Usage = 806 gallons a year to heat both house and water (Propane Only):</t>
  </si>
  <si>
    <t>Cost</t>
  </si>
  <si>
    <t>(2)Using Pre-buy unit price</t>
  </si>
  <si>
    <t>$/gl (prebuy)</t>
  </si>
  <si>
    <t>CONCLUSION (1):  The breakeven point for average 806 gallons propane a year is $2.099.  Otherwise, use pellets to heat the house and propane to heat water to save $.</t>
  </si>
  <si>
    <t>CONCLUSION (2):  The breakeven point for reserve propane use to heat house and water: $2.549/gl for 745 gallons a year.  Otherwise, use pellets to heat the house and propane to heat water to save $.</t>
  </si>
  <si>
    <t>CONCLUSION (3):  In 2013, the saving is expected to cover the cost of pellet stove and pipes.  After 2013, it can be pure money saved to our pocket!</t>
  </si>
  <si>
    <t>Breakeven to cover the cost of pellet stove &amp; insulated pipes</t>
  </si>
  <si>
    <t>From 2005 to 2011, average usage of propane for heating water and house is</t>
  </si>
  <si>
    <t>(Based on monthly average usage. See  (1).)</t>
  </si>
  <si>
    <t xml:space="preserve">In 2011, Cost of pellet stove and insulated pipes:  $1399.99 + $572.01 = $1972. </t>
  </si>
  <si>
    <t>Pre-buy</t>
  </si>
  <si>
    <t>Avg</t>
  </si>
  <si>
    <t>Unit Price</t>
  </si>
  <si>
    <t>Avg use Cost</t>
  </si>
  <si>
    <t>Actual Cost</t>
  </si>
  <si>
    <t>Accumulated</t>
  </si>
  <si>
    <t xml:space="preserve">Year </t>
  </si>
  <si>
    <t>Total Avg</t>
  </si>
  <si>
    <t>Actual Saving</t>
  </si>
  <si>
    <t xml:space="preserve">Wood Pellets Purchase </t>
  </si>
  <si>
    <t>Tons</t>
  </si>
  <si>
    <t>Delivery Fee</t>
  </si>
  <si>
    <t>$/bag</t>
  </si>
  <si>
    <t>Bags Used</t>
  </si>
  <si>
    <t>Amount</t>
  </si>
  <si>
    <t>Clear Choice</t>
  </si>
  <si>
    <t>Logik-E Premium Hardwood</t>
  </si>
  <si>
    <t>**** Estimate beginning in 2012, heating water will need :</t>
  </si>
  <si>
    <t>Maximum</t>
  </si>
  <si>
    <t>Minimum</t>
  </si>
  <si>
    <t>5 summer months (May - Sep)</t>
  </si>
  <si>
    <t>7 winter/cold months (Oct - April)</t>
  </si>
  <si>
    <t>gallons of propane to heating water</t>
  </si>
  <si>
    <t>estimate $3/gl + $150</t>
  </si>
  <si>
    <t>* prefer the minimum - save $$$, monitor hot water usage beginning in Jan. 2012 by checking the propane meter.</t>
  </si>
  <si>
    <t>Burning pellets to heat up house</t>
  </si>
  <si>
    <t>(house temperature stay around 67 to 72 on 1st flr and 63 to 65 on 2nd flr, comparing to 62 using propane and feeling cold all the time)</t>
  </si>
  <si>
    <t>Total heating cost (est.)</t>
  </si>
  <si>
    <t>Liberty Univ.</t>
  </si>
  <si>
    <t>Withheld</t>
  </si>
  <si>
    <t>Property Tax</t>
  </si>
  <si>
    <t>Gifts to CK's parents</t>
  </si>
  <si>
    <t>Actual Total</t>
  </si>
  <si>
    <t>Cash/Check</t>
  </si>
  <si>
    <t>Home Improvement:</t>
  </si>
  <si>
    <t>SUBACCOUNTS</t>
  </si>
  <si>
    <t>Carryover</t>
  </si>
  <si>
    <t>prior year</t>
  </si>
  <si>
    <t>Distribution</t>
  </si>
  <si>
    <t>Balance</t>
  </si>
  <si>
    <t>Frances' allowance</t>
  </si>
  <si>
    <t>(Principal $10000, APR 5%)</t>
  </si>
  <si>
    <t>04/26/2010 balance</t>
  </si>
  <si>
    <t>2/26/2012 Balance</t>
  </si>
  <si>
    <t>I owe Dad (Principal) from 4/26/10</t>
  </si>
  <si>
    <t>Interest total</t>
  </si>
  <si>
    <t>Chris' Job Related Travel Log</t>
  </si>
  <si>
    <t>Date</t>
  </si>
  <si>
    <t>Travel To</t>
  </si>
  <si>
    <t>For what?</t>
  </si>
  <si>
    <t>SAS Conference</t>
  </si>
  <si>
    <t>5)^</t>
  </si>
  <si>
    <t>2)^</t>
  </si>
  <si>
    <t>Kids College Fund</t>
  </si>
  <si>
    <t>EMERGENCY FUND</t>
  </si>
  <si>
    <t>AT&amp;T</t>
  </si>
  <si>
    <t>Home Indoor Appliance &amp; maintenance</t>
  </si>
  <si>
    <t>Yard tools maintenance (mowner, snow thrower)</t>
  </si>
  <si>
    <t>Offering/Giving</t>
  </si>
  <si>
    <t>Allowance to CK's Parents</t>
  </si>
  <si>
    <t>Allowance to FC's Parents</t>
  </si>
  <si>
    <t>FC's pocket money</t>
  </si>
  <si>
    <t xml:space="preserve">Loan (Lender: FC's Dad.. </t>
  </si>
  <si>
    <t>Plan to save for emergency fund</t>
  </si>
  <si>
    <t>Family Dine-out(Special Occasions Only) like B-day</t>
  </si>
  <si>
    <t>Vacation - Food/Eat Out</t>
  </si>
  <si>
    <t>Vacation Transportation exp. (Gas, Airfare. Train etc)</t>
  </si>
  <si>
    <t>Gifts</t>
  </si>
  <si>
    <t xml:space="preserve"> to Sunday school teachers, shower gifts</t>
  </si>
  <si>
    <t>Family Fun</t>
  </si>
  <si>
    <t>Art Purchase (not budgeted, taken out from emergency fund)</t>
  </si>
  <si>
    <t>Annual Income</t>
  </si>
  <si>
    <t>Monthly Income</t>
  </si>
  <si>
    <t>OFFERING/GIVING</t>
  </si>
  <si>
    <t>AVAILABLE FOR EXPENSE</t>
  </si>
  <si>
    <t>GIVING %</t>
  </si>
  <si>
    <t>DEBT</t>
  </si>
  <si>
    <t>SAVING</t>
  </si>
  <si>
    <t>Carry-Over</t>
  </si>
  <si>
    <t>Annual Bdgt</t>
  </si>
  <si>
    <t>Avaiable</t>
  </si>
  <si>
    <t>PRIOR YEAR FEDERAL/STATE TAX REFUND</t>
  </si>
  <si>
    <t>Extra saving to emergency fund</t>
  </si>
  <si>
    <t>Prior year TAX REFUND</t>
  </si>
  <si>
    <t>PROPERTY TAX</t>
  </si>
  <si>
    <t>(Principal $18750, APR 6%)</t>
  </si>
  <si>
    <t>$18750 in July 2009 to July 2010</t>
  </si>
  <si>
    <t>$10000 in 12/10</t>
  </si>
  <si>
    <t>Medical Insurance Exp. (CK's Parents)</t>
  </si>
  <si>
    <t>Medical Insurance Exp. (FC's Parents)</t>
  </si>
  <si>
    <t>Medical Insurance Exp. (CK's parents)</t>
  </si>
  <si>
    <t>Medical Insurance Exp. (FC's parents)</t>
  </si>
  <si>
    <t>Extra to CK's Parents</t>
  </si>
  <si>
    <t>Extra to FC's Parents</t>
  </si>
  <si>
    <t>Medical Insurance Premium</t>
  </si>
  <si>
    <t>Insurance Premium Distribution</t>
  </si>
  <si>
    <t>Extra to cover Property Tax</t>
  </si>
  <si>
    <t xml:space="preserve">Applicance maintenance/repair (generator, A/C, water heater, furnance) </t>
  </si>
  <si>
    <t>Necessities (non-food) ie. Tissues, detergent, shampoo, cookware etc</t>
  </si>
  <si>
    <t>* Summer months.  Next year (2012) set thermo at 80-85 and see if lower $.  Use fan often.</t>
  </si>
  <si>
    <t>When outdoor temp reaches to 85, time to turn on A/C to 80 for cooling down.  Otherwise, use fan or hide in the basement.</t>
  </si>
  <si>
    <t>Outdoor yard (Seeding, fertilizers, plants, lawn service etc.)</t>
  </si>
  <si>
    <t xml:space="preserve"> Allowance Distribution</t>
  </si>
  <si>
    <t>Monthly Budgeted</t>
  </si>
  <si>
    <t>MONTH-END SAVING (to emergency fd)</t>
  </si>
  <si>
    <t>Extra for Income Tax</t>
  </si>
  <si>
    <t>Budgeted College Fund</t>
  </si>
  <si>
    <t>Extra from Emergency Fund to College</t>
  </si>
  <si>
    <t>DISTRIBUTION:</t>
  </si>
  <si>
    <t>FC's Dad Account***</t>
  </si>
  <si>
    <t>Extra Interest</t>
  </si>
  <si>
    <t>FC's allowance saved for kids</t>
  </si>
  <si>
    <t>Borrowed to fund CK&amp;FC ETF investment in summer of 2009/2010, but it ended up with big loss. Paid off 12/7/12.</t>
  </si>
  <si>
    <t>Borrowed to pay our mortgage in Dec. 2010.  Paid off loan 5/5/12</t>
  </si>
  <si>
    <t>For future care (medical)</t>
  </si>
  <si>
    <t>7) Use furnance fan all day to circulate the hot air fro basement to 1st &amp; 2nd floor.</t>
  </si>
  <si>
    <t>7)</t>
  </si>
  <si>
    <t>Net Total College Fund</t>
  </si>
  <si>
    <t>Net Total Emergency Fd</t>
  </si>
  <si>
    <t xml:space="preserve">4 tons ordered </t>
  </si>
  <si>
    <t>Tom Chu</t>
  </si>
  <si>
    <t>To CDs account/Investent</t>
  </si>
  <si>
    <t>Cash Reward</t>
  </si>
  <si>
    <t>For allowance</t>
  </si>
  <si>
    <t>WITHHELD*</t>
  </si>
  <si>
    <t>Related purchase cost, appraisal report</t>
  </si>
  <si>
    <t xml:space="preserve">Mortgage </t>
  </si>
  <si>
    <t>(1241-1251 Adams Street, Unit504, Dorchester, MA 02124)</t>
  </si>
  <si>
    <t>Lend to Adam Bonett (Car Loan)</t>
  </si>
  <si>
    <t>Financial Result:</t>
  </si>
  <si>
    <t>$62,000,@3% apr, 48 months</t>
  </si>
  <si>
    <t>3/5/13</t>
  </si>
  <si>
    <t>Energex Premium (Hard/Softwood Blend)</t>
  </si>
  <si>
    <t>(Logik-E goes by metric tons, 55 bags/metric tons)</t>
  </si>
  <si>
    <t>$4.818/bag</t>
  </si>
  <si>
    <t>$5.015/bag</t>
  </si>
  <si>
    <t>Left for next winter</t>
  </si>
  <si>
    <t>3/16/13</t>
  </si>
  <si>
    <t>American Hardwood (Energex)</t>
  </si>
  <si>
    <t>(Tax Return 2106-EZ)</t>
  </si>
  <si>
    <t>TEACHING CONTRACTS:</t>
  </si>
  <si>
    <t>School</t>
  </si>
  <si>
    <t>Mileage/per round trip</t>
  </si>
  <si>
    <t>Per session</t>
  </si>
  <si>
    <t># of sessions</t>
  </si>
  <si>
    <t xml:space="preserve">Liberty University </t>
  </si>
  <si>
    <t>Online Internet Class</t>
  </si>
  <si>
    <t>8 weeks</t>
  </si>
  <si>
    <t>Rental Income</t>
  </si>
  <si>
    <t>2. Parking fees, tolls, and transportation, including train, bus, etc., that did not involve overnight travel or commuting to and from work.</t>
  </si>
  <si>
    <t>Mass Pike</t>
  </si>
  <si>
    <t>capital one</t>
  </si>
  <si>
    <t>Subway</t>
  </si>
  <si>
    <t>Parking</t>
  </si>
  <si>
    <t>3. Travel expense while away from home overnight, incl. lodging, airplane, car rental, etc.  Do not include meals and entertainment.</t>
  </si>
  <si>
    <t>4. Business expenses not included on lines 1 through 3.  Do not include meals and entertainment.</t>
  </si>
  <si>
    <t>TOTAL #4</t>
  </si>
  <si>
    <t>Capital One</t>
  </si>
  <si>
    <t>Comcast.com</t>
  </si>
  <si>
    <t xml:space="preserve">Internet </t>
  </si>
  <si>
    <t>Skype Communication</t>
  </si>
  <si>
    <t>Amazon.com</t>
  </si>
  <si>
    <t>Book</t>
  </si>
  <si>
    <t xml:space="preserve">capital one </t>
  </si>
  <si>
    <t>Office Supplies for Teaching Handouts, Exam papers &amp; Prints</t>
  </si>
  <si>
    <t>Staples</t>
  </si>
  <si>
    <t>printer ink</t>
  </si>
  <si>
    <t>Paper</t>
  </si>
  <si>
    <t>Walmart (electronic)</t>
  </si>
  <si>
    <t>Apple Store</t>
  </si>
  <si>
    <t>5. Meals and entertainment expensesX 50%</t>
  </si>
  <si>
    <t>50% of #5 total</t>
  </si>
  <si>
    <t>Dunkin</t>
  </si>
  <si>
    <t>Eurest Dinning</t>
  </si>
  <si>
    <t>Boston meeting</t>
  </si>
  <si>
    <t>Walmart</t>
  </si>
  <si>
    <t>Pho 88</t>
  </si>
  <si>
    <t>Pho Pasteur</t>
  </si>
  <si>
    <t>UNH Teaching</t>
  </si>
  <si>
    <t>Mileage/Round Trip</t>
  </si>
  <si>
    <t>CPCA Exam</t>
  </si>
  <si>
    <t>Mileage</t>
  </si>
  <si>
    <t>Real Estate Tax</t>
  </si>
  <si>
    <t>Property Tax - Wasserman Hts</t>
  </si>
  <si>
    <t>Liberty University</t>
  </si>
  <si>
    <t>Total Teaching</t>
  </si>
  <si>
    <t>TOTAL INCOME</t>
  </si>
  <si>
    <t>5/31/13</t>
  </si>
  <si>
    <t>Pho Hoa Restaurant</t>
  </si>
  <si>
    <t>Dumpling Café</t>
  </si>
  <si>
    <t>Nathan's own saving (work income)</t>
  </si>
  <si>
    <t>Eileen's own saving (work income)</t>
  </si>
  <si>
    <t>Net Income</t>
  </si>
  <si>
    <t>Rec'd Date</t>
  </si>
  <si>
    <t>CHILDREN'S</t>
  </si>
  <si>
    <t>Toby &amp; Susan Stevens</t>
  </si>
  <si>
    <t>6/21/13</t>
  </si>
  <si>
    <t>To Investment Acct (TradeKing)</t>
  </si>
  <si>
    <t>Deficit in In-laws Carryover</t>
  </si>
  <si>
    <t>Starbucks</t>
  </si>
  <si>
    <t>$ Green lawn this year</t>
  </si>
  <si>
    <t>$</t>
  </si>
  <si>
    <t>Training Chinese home church pastors in China</t>
  </si>
  <si>
    <t>Money from Grandparents KUO to Nathan</t>
  </si>
  <si>
    <t>Money from Grandparents KUO to Eileen</t>
  </si>
  <si>
    <t>Sponsor Date</t>
  </si>
  <si>
    <t>4. CK's 2014 salary increase $6000 (after tax about 4300) and bonus all go to Adams Street extra principal.</t>
  </si>
  <si>
    <t xml:space="preserve">2. Save $1000 monthly toward Dad Chou's account to pay off the loan of $62,000 that borrowed in Feb 2013 for part of down payment for Adams Street property. </t>
  </si>
  <si>
    <t>Boston</t>
  </si>
  <si>
    <t>The prior years and this year's financial overview</t>
  </si>
  <si>
    <t xml:space="preserve">Income </t>
  </si>
  <si>
    <t>Offering</t>
  </si>
  <si>
    <t>%</t>
  </si>
  <si>
    <t xml:space="preserve"> (Lender: FC's Dad.  Principal=$62000)</t>
  </si>
  <si>
    <t>Downpayment Loan for Adams Street from FC's Dad</t>
  </si>
  <si>
    <t>Pellet</t>
  </si>
  <si>
    <t xml:space="preserve">3/15/13 purchased 1241 Adams Street, F504, Dorchester, MA 02124 </t>
  </si>
  <si>
    <t>Business - Rental Property</t>
  </si>
  <si>
    <t>Maintenance - food &amp; travel cost</t>
  </si>
  <si>
    <t>Remodeling Cost (incl.labor &amp; materials)</t>
  </si>
  <si>
    <t>Maintenance &amp; Repairs - materials cost</t>
  </si>
  <si>
    <t>Job&amp;Teaching Research Exp:</t>
  </si>
  <si>
    <t>Books &amp; Data Purchase</t>
  </si>
  <si>
    <t>Computer, electronics, app service exp</t>
  </si>
  <si>
    <t>Job&amp;Teaching Food Exp:</t>
  </si>
  <si>
    <t>Job&amp;Teaching Contract Communication Exp:</t>
  </si>
  <si>
    <t>Job&amp;Teaching Travel Exp:</t>
  </si>
  <si>
    <t>Rental Home Insurance ($680 1n 2013)</t>
  </si>
  <si>
    <t>Office Supply, ink cartridge, copy paper etc</t>
  </si>
  <si>
    <t>Wireless Internet Connection (Comcast)</t>
  </si>
  <si>
    <t>Cell phone (AT&amp;T)</t>
  </si>
  <si>
    <t>LIVING EXPENSES</t>
  </si>
  <si>
    <t>BUSINESS EXPENSES</t>
  </si>
  <si>
    <t>400 gallons a year maximum</t>
  </si>
  <si>
    <t>Liberty Mutual ($820)</t>
  </si>
  <si>
    <t>Commerce Insurance($694)</t>
  </si>
  <si>
    <t>House repairs(materials: light bulbs)</t>
  </si>
  <si>
    <t>Fish Tank &amp; House Plants maintenance (planters and food)</t>
  </si>
  <si>
    <t>Septic Tank pumped up (Service 2014 summer, $315 every 2years)</t>
  </si>
  <si>
    <t xml:space="preserve">Pellet stove cleanup annually </t>
  </si>
  <si>
    <t>Furniture &amp; home deco (Deck remodeling?)</t>
  </si>
  <si>
    <t>Repairs &amp; Maintenance (Oil change, new tires)</t>
  </si>
  <si>
    <t>Gasoline (Sienna) - 1/2 used for Baker maintenance need</t>
  </si>
  <si>
    <t>CK's $500,000</t>
  </si>
  <si>
    <t>Salmon Seafood</t>
  </si>
  <si>
    <t>Tassimo Coffee</t>
  </si>
  <si>
    <t>CK's Clothes &amp; Shoes</t>
  </si>
  <si>
    <t>FC's</t>
  </si>
  <si>
    <t>NK's</t>
  </si>
  <si>
    <t>EK's</t>
  </si>
  <si>
    <t>Haircut &amp; Skin products (Mainly FC's)</t>
  </si>
  <si>
    <t>Groceries &amp; Food (Incl. Entertainment)</t>
  </si>
  <si>
    <t>Dine-out with Taiwan family members</t>
  </si>
  <si>
    <t>Movie Night, DVD Rental, Bowling</t>
  </si>
  <si>
    <t>Food/Eat Out</t>
  </si>
  <si>
    <t>Transportation (Airfare, Car Rental &amp; Gas, Bus etc)</t>
  </si>
  <si>
    <t>Admission fees to parks, museums</t>
  </si>
  <si>
    <t>EXPENSES WILL BE DEDUCTED FROM EMERGENCY FUND DIRECTLY IF NEEDED</t>
  </si>
  <si>
    <t>(2) Overseas Vacation (Taiwan)- Deducted from Travel Fund Withheld</t>
  </si>
  <si>
    <t>(1) Domestic Vacation *** Credit card cash back reward included in vacation transportation</t>
  </si>
  <si>
    <t>Gifts, Suverneirs</t>
  </si>
  <si>
    <t>Management Fee ($554 in 2014 from $540.45, 2.5% increse)</t>
  </si>
  <si>
    <t>Taiwan Travel Fund</t>
  </si>
  <si>
    <t xml:space="preserve">WITHHELD </t>
  </si>
  <si>
    <t>Kuo Pool Fund</t>
  </si>
  <si>
    <t>Chou Saving Acct</t>
  </si>
  <si>
    <t>Sports / Camp fees</t>
  </si>
  <si>
    <t>BUSINESS, JOB &amp; TEACHING EXPENSES</t>
  </si>
  <si>
    <t>HOME MAINTENANCE &amp; PROJECT</t>
  </si>
  <si>
    <t>UTILITIES</t>
  </si>
  <si>
    <t>INSURANCE</t>
  </si>
  <si>
    <t>CAR MAINTENANCE &amp; REGISTRY</t>
  </si>
  <si>
    <t>EDUCATION</t>
  </si>
  <si>
    <t>HEALTH</t>
  </si>
  <si>
    <t>FOOD, CLOTHING &amp; OTHERS</t>
  </si>
  <si>
    <t>DOMESTIC VACATION EXPENSES &amp; ART PURCHASE</t>
  </si>
  <si>
    <t>TOTAL EXPENSES</t>
  </si>
  <si>
    <t>BUDGETING SAVING</t>
  </si>
  <si>
    <t>Grocery cash planned monthly - $400</t>
  </si>
  <si>
    <t xml:space="preserve">(1) Beginning this year, Nathan will take care of grocery shopping and bookkeeping.  </t>
  </si>
  <si>
    <t>Painting, remodeling &amp; new tools for remodeling etc. (one room painting?)</t>
  </si>
  <si>
    <t>Piano/Art/Dance lesson</t>
  </si>
  <si>
    <t xml:space="preserve">Homeschooling exp. </t>
  </si>
  <si>
    <t>Passport, Visa, Legal fee</t>
  </si>
  <si>
    <t>Gifts, Suvenirs</t>
  </si>
  <si>
    <t>Necessities (non-food) ie. Tissues, detergent, shampoo, cookware, tooth paste &amp; rinse etc</t>
  </si>
  <si>
    <t>FOOD, CLOTHING, DINE-OUT &amp; OTHERS</t>
  </si>
  <si>
    <t>$728</t>
  </si>
  <si>
    <t>$66.49</t>
  </si>
  <si>
    <t>$185.85</t>
  </si>
  <si>
    <t>(A) Project of this month:</t>
  </si>
  <si>
    <t>(B) Meals &amp; hospitality:</t>
  </si>
  <si>
    <t>(C) Baker's property maintenance:</t>
  </si>
  <si>
    <t>(D) Family Celebration &amp; things happened</t>
  </si>
  <si>
    <t>AP</t>
  </si>
  <si>
    <t>CapitalOne</t>
  </si>
  <si>
    <t>TAIWAN Travel Fund</t>
  </si>
  <si>
    <t xml:space="preserve">Withheld </t>
  </si>
  <si>
    <t>Saving Account Balance+Interest</t>
  </si>
  <si>
    <t>*(1)  Adams Street (Baker) property out of pocket closing $20660.21.  Splited $5660.21 from emergency fund and $15,000 kids' college fund.</t>
  </si>
  <si>
    <t>NOTE for Dad Chou's Acct</t>
  </si>
  <si>
    <t>(1) Borrowed from Dad's money for investment in 2009/2010</t>
  </si>
  <si>
    <t>LOAN borrowed from Dad Chou's ~~~</t>
  </si>
  <si>
    <t>(2) $62,000 for Baker Sq Apt (1241 Adams St, F504, Dorchester, MA 02124) on 2/4/2013</t>
  </si>
  <si>
    <t>2/4/13, $62,000,@3% apr, 48 months</t>
  </si>
  <si>
    <t>2013 paid to Dad Chou Acct</t>
  </si>
  <si>
    <t>2014 paid to Dad Chou Acct</t>
  </si>
  <si>
    <t>(1) In Oct. 2003, Dad Chou brought $50,000 to FC for emergency fund we can use since no immediate family members in USA near us.  Later, FC applied it to house principal.</t>
  </si>
  <si>
    <t>(2) FC's parents gave $10,000 each to N&amp;E when they were born.  FC applied those $20,000 to our Wasseran Hts mortgage.</t>
  </si>
  <si>
    <t xml:space="preserve">(3) Dad Chou insisted the first $50,000 that FC applied to house principal was a house warming gift, not a loan.  But Chris refused.  We will have to save $50,000 in the future to pay it back, per Chris.  </t>
  </si>
  <si>
    <t>(4) Dad Chou brought another $50,000 in March/April 2004 and FC deposited it to her saving account with kids' college fund together.  It helps to finance our baker apartment purchase.</t>
  </si>
  <si>
    <t>Pay off debts borrowed from Chou **(2)</t>
  </si>
  <si>
    <t>Money from Grandparents CHOU to Nathan***(3)</t>
  </si>
  <si>
    <t>Money from Grandparents CHOU to Eileen***(3)</t>
  </si>
  <si>
    <t xml:space="preserve">***(3) Grandparents CHOU gave Nathan and Eileen each $10,000 when they were born and the amount was not recorded here.  The total $20,000 birth gift was already applied to Wasserman Heights house principal.  </t>
  </si>
  <si>
    <t>(1) SAVING ACCOUNT - KUO POOL FUND</t>
  </si>
  <si>
    <t>(2) SAVING ACCOUNT - FC SAVING (CHILDREN'S &amp; DAD CHOU)</t>
  </si>
  <si>
    <t>Year End Distribution to Kids' College Fd</t>
  </si>
  <si>
    <t>Extra R/E Principal</t>
  </si>
  <si>
    <t>(1) 1/6/14 Katie Schwanke began to teach N&amp;E piano at our home, 1/13/14 Cooper Hardy came to take lessons here</t>
  </si>
  <si>
    <t>(2) Chinese New Year 1/31/14</t>
  </si>
  <si>
    <t>(3) Frequent car rides from/to kids' extracurricula activities: co-op, basketball, martial art</t>
  </si>
  <si>
    <t>Annual Usage Projection - year 2014</t>
  </si>
  <si>
    <t>P/D-- Programmable thermostat installed in 10/30/13,A/D - hot air directed to main return 12/27/13, with hope to circulate the whole house</t>
  </si>
  <si>
    <t>*, P/D</t>
  </si>
  <si>
    <t>*, A/D</t>
  </si>
  <si>
    <t>AVG</t>
  </si>
  <si>
    <t>Quality Comments</t>
  </si>
  <si>
    <t>F</t>
  </si>
  <si>
    <t>#</t>
  </si>
  <si>
    <t>Christmas and New Year Eve Party included in Jan bill but paid in Feb.  Part of Christmas light expenses is in Dec. bill but paid in Jan.</t>
  </si>
  <si>
    <t xml:space="preserve">Electricity (revised in Jan 2014): </t>
  </si>
  <si>
    <t>Temp</t>
  </si>
  <si>
    <t>/235 after pellet</t>
  </si>
  <si>
    <t>2008-Current</t>
  </si>
  <si>
    <t>Avg Temp (F)</t>
  </si>
  <si>
    <t>* Propane requires minimum usage 600 gallons a year (Jan to Dec) or a lease charge of $150 occurs, about 45 gallons of propane.  New delivery schedule in 2012:  April and Dec.</t>
  </si>
  <si>
    <t>W/C</t>
  </si>
  <si>
    <t>W- Warm winter, C- Cold winter, FR- Frigid Cold winter</t>
  </si>
  <si>
    <t>FR/W</t>
  </si>
  <si>
    <t>C/FR</t>
  </si>
  <si>
    <t>FR/</t>
  </si>
  <si>
    <t>Propane Usage</t>
  </si>
  <si>
    <t>gl</t>
  </si>
  <si>
    <t xml:space="preserve">$150 = </t>
  </si>
  <si>
    <t># bags of pellet</t>
  </si>
  <si>
    <t>Cost of pellet stove and pipes will be breakeven in five years if (1) propane price stays in $3/gl &amp; 3 tons of pellets used.  But less than four years if propane &gt; $3.599/gl.</t>
  </si>
  <si>
    <t>****** Need about 4 tons of pellets per year ******</t>
  </si>
  <si>
    <t>Clinkers, need improve air circulation, clean exhauste pipe more</t>
  </si>
  <si>
    <t>Chinese New Year</t>
  </si>
  <si>
    <t>Salmon&amp;Shrimp Seafood</t>
  </si>
  <si>
    <t>Planned to pay it off on</t>
  </si>
  <si>
    <t>(2) Liberty Univ. teaching 3 sessions done 3/7/14</t>
  </si>
  <si>
    <t>Propane Usage (NO PELLETS)</t>
  </si>
  <si>
    <t>with Pellets</t>
  </si>
  <si>
    <t xml:space="preserve"> gl</t>
  </si>
  <si>
    <t>SAVING FOR THIS MONTH+Cash Reward from credit cards</t>
  </si>
  <si>
    <t>RECONCILIATION/ INTEREST</t>
  </si>
  <si>
    <t>FINALIZED DATE</t>
  </si>
  <si>
    <t>YTD Actual</t>
  </si>
  <si>
    <t>Monthly Bdgt</t>
  </si>
  <si>
    <t>(2) Sleep in basement bedroom together in the winter.  It's warmer with pellet stove on unless guests come and occupy the basement bedroom.</t>
  </si>
  <si>
    <t>Annual Financial Snapshot  (Withheld includes: Property Tax, Both sides of Parents, &amp; Saving for college fund)</t>
  </si>
  <si>
    <t>Grandparents CHOU gave N&amp;E each second $10,000 in July 2013 and the amount was recorded here as Children's college fund, deposited in FC's own saving account.  They also give N&amp;E birthday gift and CNY gift every year.</t>
  </si>
  <si>
    <t>(4) Save CK's 2013 Liberty Mutual Bonus for TW Travel in this summer</t>
  </si>
  <si>
    <t>03/11/2014</t>
  </si>
  <si>
    <t>3/18/14</t>
  </si>
  <si>
    <t>Yearly Total</t>
  </si>
  <si>
    <t>Higher BTUs(heat) and ashes than Hardwood</t>
  </si>
  <si>
    <t>Clean exhauste pipe monthly for next year to see if improve clinkers.</t>
  </si>
  <si>
    <t>Daily clinkers, high ash, deep clean weekly, lot of cleaning.</t>
  </si>
  <si>
    <t>3/16/14 lunch with Joe &amp; Veronika Thomas</t>
  </si>
  <si>
    <t>3/23/14 Potluck @CrossWay church</t>
  </si>
  <si>
    <t>(3) Travel to NYC to help Tim &amp; Ann Su family remodeling their bathroom 3/28-3/30</t>
  </si>
  <si>
    <t>EXPENSES**</t>
  </si>
  <si>
    <t>** Includes Rental Property Mgt Fee</t>
  </si>
  <si>
    <t>* Includes allowance to both sides of parents and loan payment</t>
  </si>
  <si>
    <t>3. Plan to pay off the loan borrowed from Dad Chou ($69894.34 interest included) in Year 2017.</t>
  </si>
  <si>
    <t>Office Supply, ink cartridge, copy paper, postage etc</t>
  </si>
  <si>
    <t>New England (Hardwood)</t>
  </si>
  <si>
    <t>3/14/13</t>
  </si>
  <si>
    <t>Bus</t>
  </si>
  <si>
    <t>5/13/13</t>
  </si>
  <si>
    <t>Subway Arlington</t>
  </si>
  <si>
    <t>Concord CoachBoston</t>
  </si>
  <si>
    <t>9/24/13</t>
  </si>
  <si>
    <t>EZ Pass</t>
  </si>
  <si>
    <t>TD Bank</t>
  </si>
  <si>
    <t>9/28/13</t>
  </si>
  <si>
    <t>12/20/13</t>
  </si>
  <si>
    <t>12/21/13</t>
  </si>
  <si>
    <t>International Conference</t>
  </si>
  <si>
    <t>Networking/gift cards</t>
  </si>
  <si>
    <t>Panera Bread</t>
  </si>
  <si>
    <t>Books, Journals Subscription &amp; Data Purchase for Analyses (Liberty Mutual, Teaching)</t>
  </si>
  <si>
    <t>10/14/13</t>
  </si>
  <si>
    <t>10/22/13</t>
  </si>
  <si>
    <t>postage</t>
  </si>
  <si>
    <t>9/23/13</t>
  </si>
  <si>
    <t>Purchased Date</t>
  </si>
  <si>
    <t>Purchase Price</t>
  </si>
  <si>
    <t>1/18/13</t>
  </si>
  <si>
    <t>1/22/13</t>
  </si>
  <si>
    <t>1/26/13</t>
  </si>
  <si>
    <t>Pho Da Lat</t>
  </si>
  <si>
    <t>Collegue meeting</t>
  </si>
  <si>
    <t>1/28/13</t>
  </si>
  <si>
    <t>Samurai Express</t>
  </si>
  <si>
    <t>Thai Basil Restaurant</t>
  </si>
  <si>
    <t>Douzo Japanese Restaurant</t>
  </si>
  <si>
    <t>Chen Yang Li Restaurant</t>
  </si>
  <si>
    <t>Meeting - UNH</t>
  </si>
  <si>
    <t>3/26/13</t>
  </si>
  <si>
    <t>IHOP#3328</t>
  </si>
  <si>
    <t>Sarku Japan</t>
  </si>
  <si>
    <t>4/21/13</t>
  </si>
  <si>
    <t>4/24/13</t>
  </si>
  <si>
    <t>Hei La Moon Restaurant</t>
  </si>
  <si>
    <t>Dinner after flight back from Phila, PA</t>
  </si>
  <si>
    <t>You You Japanese Bistro</t>
  </si>
  <si>
    <t>Souper Salad Berkel</t>
  </si>
  <si>
    <t>Ben &amp; Jerry's</t>
  </si>
  <si>
    <t>Special Project in VT</t>
  </si>
  <si>
    <t>Three Tomatoes</t>
  </si>
  <si>
    <t>Asiana Noodle Shop</t>
  </si>
  <si>
    <t>East China</t>
  </si>
  <si>
    <t>Pauline's Café &amp; Restaurant</t>
  </si>
  <si>
    <t>8/23/13</t>
  </si>
  <si>
    <t>Bao Bao Bakery</t>
  </si>
  <si>
    <t>Little Caesars</t>
  </si>
  <si>
    <t>Liberty Boston</t>
  </si>
  <si>
    <t>Mexicali Authentic Mexican</t>
  </si>
  <si>
    <t>VT</t>
  </si>
  <si>
    <t>Church and Main St.</t>
  </si>
  <si>
    <t>9/30/13</t>
  </si>
  <si>
    <t>Burger King</t>
  </si>
  <si>
    <t>Taipei &amp; Tokyo Restaurant</t>
  </si>
  <si>
    <t>Sbarro</t>
  </si>
  <si>
    <t>St Is Fery Aubonpain</t>
  </si>
  <si>
    <t>12/22/13</t>
  </si>
  <si>
    <t>Vernon Dinner</t>
  </si>
  <si>
    <t>3/28/14 mainteined laundry center (function well, smaller load recommended)</t>
  </si>
  <si>
    <t>Stationaries</t>
  </si>
  <si>
    <t>ACTUAL</t>
  </si>
  <si>
    <t>BDGT</t>
  </si>
  <si>
    <t>+/ -</t>
  </si>
  <si>
    <t>Federal Tax Refund</t>
  </si>
  <si>
    <t>State Tax Refund</t>
  </si>
  <si>
    <t>*Tax Refund Offering reflected in the month that the refund was received.</t>
  </si>
  <si>
    <t>(Baker Apartment is considered as Children's College Fund)</t>
  </si>
  <si>
    <t>Offset by Emergency Fund</t>
  </si>
  <si>
    <t xml:space="preserve">To cover oversea travel </t>
  </si>
  <si>
    <t>To conver living expenses</t>
  </si>
  <si>
    <t>Propane Usage (Gallons)</t>
  </si>
  <si>
    <t>2014 Projected Propane</t>
  </si>
  <si>
    <t>Hot Water/Secondary Heating</t>
  </si>
  <si>
    <t>Budget 280 gallons for hot water and 120 gallons for heating.)</t>
  </si>
  <si>
    <t>2011/2012</t>
  </si>
  <si>
    <t>2012/2013</t>
  </si>
  <si>
    <t>2013/2014</t>
  </si>
  <si>
    <t>Usage (gl)</t>
  </si>
  <si>
    <t>Usage (bags)</t>
  </si>
  <si>
    <t xml:space="preserve">TOTAL </t>
  </si>
  <si>
    <t>(Saving)</t>
  </si>
  <si>
    <t>TOTAL Saving</t>
  </si>
  <si>
    <t>Winter</t>
  </si>
  <si>
    <t>Frigid winter</t>
  </si>
  <si>
    <t>cold winter</t>
  </si>
  <si>
    <t>mild winter</t>
  </si>
  <si>
    <t>Pellets and Propane Cost</t>
  </si>
  <si>
    <t>***  Pellet stove installed 6/2011.  Propane for hot water and secondary heating unless propane drops below $2.099!!!</t>
  </si>
  <si>
    <t>Room Temp</t>
  </si>
  <si>
    <t>68F</t>
  </si>
  <si>
    <t>65F</t>
  </si>
  <si>
    <t>62F</t>
  </si>
  <si>
    <t>$4.98/bag</t>
  </si>
  <si>
    <t>65/68F</t>
  </si>
  <si>
    <t>2014/2015</t>
  </si>
  <si>
    <t>2014/2015 Winter Challenge: Begin using pellet stove when outdoor temp drops to 50F and below in Oct/Nov.</t>
  </si>
  <si>
    <t>Reformed Church of Newtown</t>
  </si>
  <si>
    <t>(new TV)</t>
  </si>
  <si>
    <t>To Real Estate Extra Pincipal (Investment)</t>
  </si>
  <si>
    <t>Baker extra pincipal</t>
  </si>
  <si>
    <t>Loan payment</t>
  </si>
  <si>
    <t>@ guests stay for 2 weeks or more.    ^ guest visit less than 2 weeks.</t>
  </si>
  <si>
    <t>To Trade King (CK manages)</t>
  </si>
  <si>
    <t>Net Saving in Emg Fd</t>
  </si>
  <si>
    <t xml:space="preserve"> 5 tons</t>
  </si>
  <si>
    <t>Yard tools maintenance (mower, snow thrower)</t>
  </si>
  <si>
    <t>Kids College Fund to Baker's Extra Principal</t>
  </si>
  <si>
    <t>5/9/14 鴻元哥 燕慧姐 visit,  dinner @El Tapatio  $91.29</t>
  </si>
  <si>
    <t>5/18/14 lunch with Michael &amp; Shellee Bealand</t>
  </si>
  <si>
    <t>$/gl propane</t>
  </si>
  <si>
    <t>Gallon Used</t>
  </si>
  <si>
    <t>3/5/ moved in</t>
  </si>
  <si>
    <t>CRU</t>
  </si>
  <si>
    <t>**** Include in regular monthly expenses*****</t>
  </si>
  <si>
    <t>Jennifer Monty- campus outreach (Campus Crusade)</t>
  </si>
  <si>
    <t>Lancaster, PA trip</t>
  </si>
  <si>
    <t>After moving to Queens, NY</t>
  </si>
  <si>
    <t>Cru</t>
  </si>
  <si>
    <t>Jennifer Monty</t>
  </si>
  <si>
    <t>(1) NYC house hunting 6/13-6/15</t>
  </si>
  <si>
    <t>69-13 67 Place, Glendale, NY 11385</t>
  </si>
  <si>
    <t>20% Down Payment</t>
  </si>
  <si>
    <t>Mortgage Amount</t>
  </si>
  <si>
    <t>Cost of Purchase</t>
  </si>
  <si>
    <t>Tower Home Inspectors, LLC</t>
  </si>
  <si>
    <t>GLENDALE, NY</t>
  </si>
  <si>
    <t>(69-13 67th Place, Glendale, NY 11385)</t>
  </si>
  <si>
    <t>Solidifi US Appraisals</t>
  </si>
  <si>
    <t>(1)9/5 closing Glendale, NY house</t>
  </si>
  <si>
    <t>(2) Parents Chou visit 9/14-10/11</t>
  </si>
  <si>
    <t>Glendale, NY House</t>
  </si>
  <si>
    <t>P&amp;I &amp; R/E Tax</t>
  </si>
  <si>
    <t>Glendale NY House</t>
  </si>
  <si>
    <t>Lend to Kuo for Baker Sq Condo purchase**(2)</t>
  </si>
  <si>
    <t>(Designated for Glendale, NY remodeling project.</t>
  </si>
  <si>
    <t>(2) Save for Glendale remodeling project</t>
  </si>
  <si>
    <t xml:space="preserve">1. Rental property (1241 Adams Street, F504, Boston, MA 02124) is for Children's college fund.  Plan to pay off this mortgage in Year 2018. </t>
  </si>
  <si>
    <t>ACTS 18:9-10</t>
  </si>
  <si>
    <t>mgt fee Baker's</t>
  </si>
  <si>
    <t>Baker's</t>
  </si>
  <si>
    <t>Glendale Mrgt</t>
  </si>
  <si>
    <t>(3) Trips to repair Glendale house</t>
  </si>
  <si>
    <t>9/5-9/7</t>
  </si>
  <si>
    <t>9/12-9/14</t>
  </si>
  <si>
    <t>Demolition partition in dining/living room area</t>
  </si>
  <si>
    <t>(4) Bring Parents Chou to Montreal 9/19-9/21</t>
  </si>
  <si>
    <t>(5) Bring Parents Chou to NYC 9/26-9/28</t>
  </si>
  <si>
    <t>Continue</t>
  </si>
  <si>
    <t>Stop? Or Reduce?</t>
  </si>
  <si>
    <t>$100/qtr first, then in 2010 $200/qtr, will continue in 2015</t>
  </si>
  <si>
    <t>@7)</t>
  </si>
  <si>
    <t>^7)</t>
  </si>
  <si>
    <t>62/65F</t>
  </si>
  <si>
    <t>* Indoor room temp is mostly about 65F to 62F, much better than using propane only 58-60F.</t>
  </si>
  <si>
    <t>BREAK-EVEN</t>
  </si>
  <si>
    <t>Trip to Glendale</t>
  </si>
  <si>
    <t>Demolition 1st floor &amp; basement, Roofing, and Bathroom plumbing &amp; Subflooring</t>
  </si>
  <si>
    <t>T&amp;A Su family visited 11/20-11/23</t>
  </si>
  <si>
    <t>Trips to Repair Glendale house</t>
  </si>
  <si>
    <t>Electrical wiring, steam pipes insulation, insulation between walls</t>
  </si>
  <si>
    <t>Electrical wiring, insulation, closet framing</t>
  </si>
  <si>
    <t>To Real Estate Purchase*(4) Glendale, NY</t>
  </si>
  <si>
    <t>To Real Estate Purchase*(1) Baker's</t>
  </si>
  <si>
    <t xml:space="preserve">To Real Estate Purchase*(1)Baker's </t>
  </si>
  <si>
    <t>Lend to Kuo for Glendale NY house purchase (4)</t>
  </si>
  <si>
    <t>**(2) 2/4/2013 Borrowed from Dad Chou for Adams Street down payment $62,000</t>
  </si>
  <si>
    <t>Liberty Mutual Home Insurance</t>
  </si>
  <si>
    <t>Appraisal Report</t>
  </si>
  <si>
    <t>Maureen Papalas</t>
  </si>
  <si>
    <t>Liberty Land Abstract</t>
  </si>
  <si>
    <t>*(4) Glendale, NY house 9/5/14.  5% Downpayment and part of closing exp borrowed from Chou (total $61,800).</t>
  </si>
  <si>
    <t>($37,700 to pay off loan borrowed from Chou for Baker purchase)</t>
  </si>
  <si>
    <t>(4)7/5/2014 $41,800 and 9/5/12 $20,000 Borrowed from Dad Chou's total $61,800 for Glendale purchase</t>
  </si>
  <si>
    <t>$61,800, @3% APR, 48 months</t>
  </si>
  <si>
    <t>Interest</t>
  </si>
  <si>
    <t>ACTUAL PAID OFF DATE</t>
  </si>
  <si>
    <t>ACTUAL PAID INTEREST</t>
  </si>
  <si>
    <t>2015 Paid to Dad Chou Acct</t>
  </si>
  <si>
    <t>TOTAL (incl $83,600 downpayment)</t>
  </si>
  <si>
    <t xml:space="preserve">less: 20% downpayment </t>
  </si>
  <si>
    <t>TOTAL COST OF PURCHASE</t>
  </si>
  <si>
    <t>A) Demolition &amp; Trash Removal</t>
  </si>
  <si>
    <t>B) Roofing</t>
  </si>
  <si>
    <t>Flat rooftop &amp; Asphalt tiles replaced by Huang, Yuang 10/28-11/1</t>
  </si>
  <si>
    <t>Electrical wiring</t>
  </si>
  <si>
    <t>Demolished 2nd floor &amp; trash removal</t>
  </si>
  <si>
    <t>Soundproofing materials for ceiling, cement boards, compounds, grout for tiling</t>
  </si>
  <si>
    <t>Jan. 2015</t>
  </si>
  <si>
    <t>Plumbing, Electrical wires materials: BX cables,switches , plugs &amp; boxes etc.</t>
  </si>
  <si>
    <t>Construction materials: nails, screws, 2x4, 3x1 wood beams for closet structure building,</t>
  </si>
  <si>
    <t>9/6, 9/13 CK demolished the dinning/living partition walls to make it open concept</t>
  </si>
  <si>
    <t xml:space="preserve">10/27-10/28/14 hired team to demolished 1&amp;2 fl and found extra 2 windows in living room, </t>
  </si>
  <si>
    <t xml:space="preserve">demolished </t>
  </si>
  <si>
    <t xml:space="preserve">CK demlished basement, 11/23-11/30 CK cleaned the sand buried under the bathroom floor </t>
  </si>
  <si>
    <t>C) Electrical Wiring done partially by Jack (11/15) 1.5 days SLOW, CK did 1st &amp; 2nd floor mostly in Dec,</t>
  </si>
  <si>
    <t>Insulation materials for wall &amp; radiator pipes - CK</t>
  </si>
  <si>
    <t>strengthen bathroom floor w/ hardwood panel</t>
  </si>
  <si>
    <t>Bathroom: Toilet, Vanity, Faucet, Shower Base, shower head, floor tiles &amp; wall tiles, Vent out</t>
  </si>
  <si>
    <t>Kitchen floor tiles,5/8" Drywalls (50+80+20 pcs),</t>
  </si>
  <si>
    <t>D) Wages to Johnny &amp; Justin  $200/10 hours/day each, 6 days $1200 each</t>
  </si>
  <si>
    <t>D) Materials Purchased by Us</t>
  </si>
  <si>
    <t>1/12/15~1/17/15 Bathroom: drywall, tiling, vent out, fix closet &amp; drywall closet (2nd flr DONE)</t>
  </si>
  <si>
    <t>1/5/15~1/10/15  Drywall - most of 1st flr. 2nd Floor: 3 rooms and stairway except closet</t>
  </si>
  <si>
    <t>F) Misc. Material Purchased /Delivery Fee by Justin/Johnny</t>
  </si>
  <si>
    <t>Glendale, NY Purchase</t>
  </si>
  <si>
    <t>*$61,800 borrowed from Parents Chou account</t>
  </si>
  <si>
    <t>w/o house related exp</t>
  </si>
  <si>
    <t>monthly w/o mortgage &amp; remodeling</t>
  </si>
  <si>
    <t>Prior Year Saving</t>
  </si>
  <si>
    <t>Investment Acct</t>
  </si>
  <si>
    <t>E) Special Orders:</t>
  </si>
  <si>
    <t>18 Vynl Windows: Double Hungs, Tempered Glass. Low E3, Argon, Energy Star, Full Screen</t>
  </si>
  <si>
    <t>Liberty Land Abstract, mortgage recording fee</t>
  </si>
  <si>
    <t>Principal &amp; Int &amp; Property Tax &amp; Home Insurance</t>
  </si>
  <si>
    <t>Gas</t>
  </si>
  <si>
    <t>Water/Sewer</t>
  </si>
  <si>
    <t>Purchase Cost (partially)</t>
  </si>
  <si>
    <t>Internet</t>
  </si>
  <si>
    <t>Utilities: NH</t>
  </si>
  <si>
    <t>Management Fee ($564 in 2015 from $540.45, 2% increse)</t>
  </si>
  <si>
    <t>BOA</t>
  </si>
  <si>
    <t>HomeDepot</t>
  </si>
  <si>
    <t>Year 2015 Giving</t>
  </si>
  <si>
    <t>Year 2015 Tithe</t>
  </si>
  <si>
    <t>Paris, France</t>
  </si>
  <si>
    <t>Heating</t>
  </si>
  <si>
    <t>Non-heating</t>
  </si>
  <si>
    <t>1/19~1/24 Kitchen partition wall, closet understairs, pantry closet above basement stairs, mudroom, electrical wiring for kitchen &amp; mudroom area</t>
  </si>
  <si>
    <t>Shen &amp; Chang, LLC</t>
  </si>
  <si>
    <t>Avg month ($)</t>
  </si>
  <si>
    <t>Total Usage(kwh)</t>
  </si>
  <si>
    <t>Con Edison</t>
  </si>
  <si>
    <t>Ave Usage</t>
  </si>
  <si>
    <t>Max Usage</t>
  </si>
  <si>
    <t>Min. Usage</t>
  </si>
  <si>
    <t>Acct#25-2833-6375-0003-3</t>
  </si>
  <si>
    <t>ytchou131</t>
  </si>
  <si>
    <t>Kuo224218</t>
  </si>
  <si>
    <t>Notes /Utility</t>
  </si>
  <si>
    <t>National Grid</t>
  </si>
  <si>
    <t>www.coned.com</t>
  </si>
  <si>
    <t>www.nationalgridus.com</t>
  </si>
  <si>
    <t>Ytchou311</t>
  </si>
  <si>
    <t>Ave  Usage/Month (kwh)</t>
  </si>
  <si>
    <t>Utility Expenses in Glendale House</t>
  </si>
  <si>
    <t>09740-32294</t>
  </si>
  <si>
    <t>Glendale Non-Heating</t>
  </si>
  <si>
    <t>09740-32302</t>
  </si>
  <si>
    <t>Glendale Water/Sewer</t>
  </si>
  <si>
    <t>NYC.GOV/Dep</t>
  </si>
  <si>
    <t>Ytchou131</t>
  </si>
  <si>
    <t>Kuo224</t>
  </si>
  <si>
    <t>E20162844</t>
  </si>
  <si>
    <t>Total Usage(cubic ft)</t>
  </si>
  <si>
    <t>Total Usage(therms)</t>
  </si>
  <si>
    <t>Ave Usage/Month (therms)</t>
  </si>
  <si>
    <t>Note/Gas</t>
  </si>
  <si>
    <t>* Not moving in yet</t>
  </si>
  <si>
    <t>Note/Heating Gas</t>
  </si>
  <si>
    <t>G-guest visits and stays over night less than 2 weeks</t>
  </si>
  <si>
    <t>F-family visits from Taiwan, normally longer than 2 weeks</t>
  </si>
  <si>
    <t>Water Charge</t>
  </si>
  <si>
    <t>Sewer Charge</t>
  </si>
  <si>
    <t>**</t>
  </si>
  <si>
    <t xml:space="preserve">*Haven't set up thermostat until late Dec.  It was set as 68F before by the previous owner.  </t>
  </si>
  <si>
    <t>Ave Usage/Heating Month (therms)</t>
  </si>
  <si>
    <t>(Cooking, Water heater, Gas Dryer)</t>
  </si>
  <si>
    <t>(1) Gas $ for many trips to Glendale: 12/19/14-1/4/15, 1/9-1/11, 1/15-1/18,1/23-1/25, 1/30-2/1</t>
  </si>
  <si>
    <t>(3) Glendale project: material purchase</t>
  </si>
  <si>
    <t>9/4-9/7 Camping (Mongaup Pond State Park)</t>
  </si>
  <si>
    <t>Christmas, New Year family dinner</t>
  </si>
  <si>
    <t>windshield wipers for Sienna</t>
  </si>
  <si>
    <t>Feb. 2015</t>
  </si>
  <si>
    <t>$10360 wage to Johnny &amp; Justin in Jan, Misc. $544 to J&amp;J</t>
  </si>
  <si>
    <t>(2) $10904 to Johnny &amp; Justin in Jan. 1/2/15 hired Johnny &amp; Justin for Glendale project.  Weekly wage $1200 per person.</t>
  </si>
  <si>
    <t xml:space="preserve">Heating </t>
  </si>
  <si>
    <t>cement boards, masks, suits,</t>
  </si>
  <si>
    <t>Commerce Insurance($730)</t>
  </si>
  <si>
    <t>Liberty Mutual ($858)</t>
  </si>
  <si>
    <t>CK's $500,000/Premium $432</t>
  </si>
  <si>
    <t>Registry (Sienna $84/55.2, Corolla $51/43.2)</t>
  </si>
  <si>
    <t>Furniture &amp; home deco (Glendale House)</t>
  </si>
  <si>
    <t>Home Depot Credit Service</t>
  </si>
  <si>
    <t>P.O.Box 182676</t>
  </si>
  <si>
    <t>Columbus, OH 43218-2676</t>
  </si>
  <si>
    <t>Revolving</t>
  </si>
  <si>
    <t>Promotional</t>
  </si>
  <si>
    <t>Paid</t>
  </si>
  <si>
    <t>Remaining Balance</t>
  </si>
  <si>
    <t>StatementDate</t>
  </si>
  <si>
    <t>TOTAL in SV-Kuo Pool Fd</t>
  </si>
  <si>
    <t>9/5/14 purchased 6913 67th Place, Glendale, NY 11385. 2 months of mortgage$4945.42 paid in 2014</t>
  </si>
  <si>
    <t>Annual Expense</t>
  </si>
  <si>
    <t>Monthly Exp. Excluded mortgage etc.</t>
  </si>
  <si>
    <t>Oct. 2011 paid off the 10 Wasserman Heights house (in 6.5 years)</t>
  </si>
  <si>
    <t>Annual Expense w/o mortgage, loan, remodeling exp</t>
  </si>
  <si>
    <t>(1/27 Blizzard Juo, no working)</t>
  </si>
  <si>
    <t>Rental Home Insurance ($696 in 2015)</t>
  </si>
  <si>
    <t xml:space="preserve">Hardwood Floor (Bruce: Salsa Cherry Maple 3/4 in thick, 5" wide, random length), </t>
  </si>
  <si>
    <t>1&amp;2 Flr: baseboards, window&amp;door trims, compound, 6  interior doors, 5 bi-folds, grout etc</t>
  </si>
  <si>
    <t>Basement: ceramic tiles, construction materials, drywalls, insulation, shower base &amp; shower door, interior doors &amp; bi-fold, recess lights etc.</t>
  </si>
  <si>
    <t>Basement: bathroom vanity, shower head, faucet, toilet, shower surround tiles</t>
  </si>
  <si>
    <t>G) Heating: Replacing furnance 1/30/15, $6800 by Joe the Plumbing.  (First $4300, then $500/month for 5 months to pay it off.)</t>
  </si>
  <si>
    <t>Appliances: Furnance, kitchen appliances, water heater</t>
  </si>
  <si>
    <t>Maintenance of home appliances and yard</t>
  </si>
  <si>
    <t xml:space="preserve">Energy Saving Plans: </t>
  </si>
  <si>
    <t xml:space="preserve">(1) Reserve hot water usage.  Short showers not bath too often.  </t>
  </si>
  <si>
    <t>% Go to TW for visit, normally 2-3 weeks.</t>
  </si>
  <si>
    <t>Expiration Date</t>
  </si>
  <si>
    <t>Promotion</t>
  </si>
  <si>
    <t>$3093.51 for 2nd flr shower base &amp; door, drywall material, sound proofing panels</t>
  </si>
  <si>
    <t>1/2/15 -1/3/15 1st ceiling leveling, soundproof panels &amp; drywalling</t>
  </si>
  <si>
    <t>1/26~1/31 Kitchen &amp; mudroom floor tiling, Patch up Basement walls, drywalling stairway to basement</t>
  </si>
  <si>
    <t xml:space="preserve">2/16-3/14  4 weeks of wage: Finish 1&amp;2 floor, partial of basement.  Painting, Baseboard, Hardwood Floors, </t>
  </si>
  <si>
    <t>2/2~2/7  basement partition, insulate walls, rewire water supply pipe between the walls (so no need to lower the ceiling) and insulate the pipe, electrical wiring, recess light</t>
  </si>
  <si>
    <t>Total $</t>
  </si>
  <si>
    <t>Avg$$ month</t>
  </si>
  <si>
    <t>($188.79 TDBank)</t>
  </si>
  <si>
    <t>Pizza lunch w/ Fenters in Glendale.  $60 CK's gift to coworkers. Hearing-aid batteries to Daddy Chou</t>
  </si>
  <si>
    <t>furnance 1st payment</t>
  </si>
  <si>
    <t>Year 2015</t>
  </si>
  <si>
    <t>Merrimack-Boston-NYC-Merrimack</t>
  </si>
  <si>
    <t>2/5/15-2/8/15</t>
  </si>
  <si>
    <t>AiG</t>
  </si>
  <si>
    <t>Lodge</t>
  </si>
  <si>
    <t>Food Exp</t>
  </si>
  <si>
    <t>2/6/15 interview w/AIG</t>
  </si>
  <si>
    <t>1/8/15 - 1/11/15</t>
  </si>
  <si>
    <t>1/15/15 - 1/18/15</t>
  </si>
  <si>
    <t>1/22/15 - 1/25/15</t>
  </si>
  <si>
    <t>1/29/15-2/1/15</t>
  </si>
  <si>
    <t>1/12/15-3/6/15, Mon-Fri nights</t>
  </si>
  <si>
    <t>NYC Special Project, driving</t>
  </si>
  <si>
    <t>2/9/15 Paid</t>
  </si>
  <si>
    <t>Remaing Bal</t>
  </si>
  <si>
    <t>3/9/15 Paid</t>
  </si>
  <si>
    <t>Net Papa Chou's Account (SV-CHOU)</t>
  </si>
  <si>
    <t>3/2/15</t>
  </si>
  <si>
    <t>YEAR 2015 INCOME (ESTIMATED)</t>
  </si>
  <si>
    <t>Teaching Income (Liberty U)</t>
  </si>
  <si>
    <t xml:space="preserve">2/22/15 CK accepted AIG offer ($175,000 base salary + $45,000 annual bonus) and will begin to work in NYC after we come back from family vacation in Taiwan. </t>
  </si>
  <si>
    <t>stay in Boston to catch the early morning airplane</t>
  </si>
  <si>
    <t>EverSource</t>
  </si>
  <si>
    <t>4) Travel to Taiwan 2-3 weeks.</t>
  </si>
  <si>
    <t>AIG</t>
  </si>
  <si>
    <t>Mar. 2015</t>
  </si>
  <si>
    <t>3/16-3/21 Basement drywalling, bathroom plumbing, laundry closet plumbing, ceiling, rewire gas pipe to the edge of the house, not in the center</t>
  </si>
  <si>
    <t>AIG interview expenses</t>
  </si>
  <si>
    <t>Apr. 2015</t>
  </si>
  <si>
    <t>furnance #2&amp;3 paymts of $6800.</t>
  </si>
  <si>
    <t>**Set as 55 to 50F when we're not there; but Johnny &amp; Justin set 75F when they work there since Jan 2, 2015, saving reflected in Dec bill (12/15/14-1/15/15) compared to Dec.</t>
  </si>
  <si>
    <t>Time Warner NYC</t>
  </si>
  <si>
    <t>cable modem for Glendale</t>
  </si>
  <si>
    <t>($53.49 TDBank)</t>
  </si>
  <si>
    <t>3/23-3/28  Project: 1&amp;2nd flr done, kitchen painted, basement plumbing, sheet rock taped</t>
  </si>
  <si>
    <t>3/16/15-5/8/15, Mon-Fri nights</t>
  </si>
  <si>
    <t>2/9-4/3/2015, Mon-Fri nights</t>
  </si>
  <si>
    <t>3/13/15 Balance</t>
  </si>
  <si>
    <t>est</t>
  </si>
  <si>
    <t>act</t>
  </si>
  <si>
    <t>dental &amp; medicine</t>
  </si>
  <si>
    <t>NH microwave filters</t>
  </si>
  <si>
    <t>(incl. food, curtain &amp; rack, toaster, light bulbs etc)</t>
  </si>
  <si>
    <t>TDBank</t>
  </si>
  <si>
    <r>
      <t xml:space="preserve">2/9~2/14  Windows replacement, compound, trims, baseboard, Compound 1st&amp;2nd flr, Painting </t>
    </r>
    <r>
      <rPr>
        <sz val="11"/>
        <color rgb="FFFF0000"/>
        <rFont val="Arial"/>
        <family val="2"/>
      </rPr>
      <t>(but they spent whole week only replaced windows)</t>
    </r>
  </si>
  <si>
    <t>Johnny &amp; Justin slowed it down while we were in Taiwan: they did nothing in basement, replaced windows, door trims and baseboards, hardwood floor and painted the most of 1&amp;2 floor.</t>
  </si>
  <si>
    <t>On 3/20 we came to Glendale and found they spent whole week only did less half of stairway railing.  3/22 Chris told them we won't pay them by day but project.</t>
  </si>
  <si>
    <t>They asked for $18,000 for the rest of job by 4/11/15.  On 3/28 they threatened to sue us for letting them working in abesto environment which they knew from the first day.</t>
  </si>
  <si>
    <t>They took pictures of the abesto in our basement.  Chris agreed to continue hiring them till 4/11.  We had no choice but pay them $18,000.</t>
  </si>
  <si>
    <t>(#1990  $2000, #1991  $2300, #2000  $500, #2004 $500)</t>
  </si>
  <si>
    <t xml:space="preserve"> NO INT FOR 6 MOS - PYMT REQ</t>
  </si>
  <si>
    <t xml:space="preserve"> -NO INT FOR 6 MOS - PMT REQ</t>
  </si>
  <si>
    <t xml:space="preserve"> NO INT FOR 24 MOS - PMT REQ</t>
  </si>
  <si>
    <t xml:space="preserve"> -NO INT FOR 24 MOS - PMT REQ</t>
  </si>
  <si>
    <t>Trans Date</t>
  </si>
  <si>
    <t>Credit</t>
  </si>
  <si>
    <t>Card 1 consumer card: Chris C Kuo</t>
  </si>
  <si>
    <t>retreat</t>
  </si>
  <si>
    <t>GL</t>
  </si>
  <si>
    <t>AIG (begins 4/6/2015)</t>
  </si>
  <si>
    <t>YEAR 2015  Moving ans living in NYC to serve immigrants and neighbors</t>
  </si>
  <si>
    <t>(2) Increase giving to church in the 2nd half year after we settle in Glendale, NY.</t>
  </si>
  <si>
    <t>(3) Save our expenses though living in NYC.  It might be a challenge, but pray God helps me to find places to shop.</t>
  </si>
  <si>
    <t>(4) Find more cost effective recipes to feed family and guests – we want to continue to open house.</t>
  </si>
  <si>
    <t>Liberty Mutual (1/1/15-4/1/15)</t>
  </si>
  <si>
    <t>AIG (4/6/15-12/31/15)</t>
  </si>
  <si>
    <t>Bonus - Liberty Mutual (For Glendale's remodeling proj, paying to Johnny &amp; Justin</t>
  </si>
  <si>
    <t>total</t>
  </si>
  <si>
    <t>Chris first day @AIG 4/6/15</t>
  </si>
  <si>
    <t>Nathan is 11.</t>
  </si>
  <si>
    <t>Celebrating CNY and our birthdays in Taiwan.  (2/15-3/9)</t>
  </si>
  <si>
    <t>AIG offered on 2/21.</t>
  </si>
  <si>
    <t>2/6/15 onsite interview w/AIG</t>
  </si>
  <si>
    <t>3/30-4/4  basement tile floor, bathroom &amp; laundry room plumbing, front and back doors installed</t>
  </si>
  <si>
    <t>4/6-4/11  Bathroom surround and floor tiles, wall primed, closet doors, baseboards and door trims. Security door.</t>
  </si>
  <si>
    <t>car inspection, timing belt replaced @92400 miles - Sienna</t>
  </si>
  <si>
    <t>power steerling rack replaced for Sienna, start plug for Camry</t>
  </si>
  <si>
    <t>BOA/TD</t>
  </si>
  <si>
    <t>Georgia Diner</t>
  </si>
  <si>
    <t xml:space="preserve">4/13-4/17  Finish interior </t>
  </si>
  <si>
    <t>trash can,curtains, outfitting bathrooms</t>
  </si>
  <si>
    <t>curtains</t>
  </si>
  <si>
    <t>Secartary Desk (GL)</t>
  </si>
  <si>
    <t>Vacation in Feb in Taiwan for 3 weeks, so less bags used than prior years.</t>
  </si>
  <si>
    <t>Cleaning NH house for house sell listing</t>
  </si>
  <si>
    <t>FC's Home Depot Credit Card (for Glendale Kitchen Remodeling Expense)</t>
  </si>
  <si>
    <t>6 mos</t>
  </si>
  <si>
    <t>18 mos</t>
  </si>
  <si>
    <t>GE washer &amp; dryer</t>
  </si>
  <si>
    <t>Kitchen cabinetry 1</t>
  </si>
  <si>
    <t>#4/7 payment of $6800 furnance, kitchen appliances &amp; laundry set</t>
  </si>
  <si>
    <t>4/20-4/25 Exterior work: window trims, siding, front gutters, security door and storm door.  Project $1500.</t>
  </si>
  <si>
    <t>Dryer &amp; Washer (Laundry set)</t>
  </si>
  <si>
    <t>Security door &amp; storm door etc</t>
  </si>
  <si>
    <t>^ Furnance replacement $6,800 2/6/15.  More energy efficient than the old one.</t>
  </si>
  <si>
    <t>Yearly Estimated Cost =</t>
  </si>
  <si>
    <t>NH heating (propane+pellet stove) is about $2200/year.  NY gas (heating+none heating) estimated about $1600/year.  NYC heating is cheapter than NH for it uses natural gas rather than propane.</t>
  </si>
  <si>
    <t>Total Usage (Gallon)</t>
  </si>
  <si>
    <t>Ave Usage/Month (gl)</t>
  </si>
  <si>
    <t>(1 Cubic Feet = 7.48 Gallons of Water)</t>
  </si>
  <si>
    <t>cubic ft</t>
  </si>
  <si>
    <t>Rate per GL</t>
  </si>
  <si>
    <t>Rate/kwh</t>
  </si>
  <si>
    <t>kwh</t>
  </si>
  <si>
    <t>But for the first year in NYC, expect more water usage like 36,000 gallons of water usage to clean the house.</t>
  </si>
  <si>
    <t>(Basement tiles job and cleaning the whole house)</t>
  </si>
  <si>
    <t>(water leakage - toilet, 2/5-2/12, repaired, basement wall cement)</t>
  </si>
  <si>
    <t>BUDGETING</t>
  </si>
  <si>
    <t>ELECTRICITY</t>
  </si>
  <si>
    <t>Natural Gas</t>
  </si>
  <si>
    <t>Forecasted</t>
  </si>
  <si>
    <t>NH House</t>
  </si>
  <si>
    <t>Glendale House</t>
  </si>
  <si>
    <t>(Glendale house is normally at 65F in winter, but NH house costed more to keep 65F all the time.</t>
  </si>
  <si>
    <t>4/22 $100.  $750 Hanwen's iPhone payment of cash.</t>
  </si>
  <si>
    <t>**Based on NH usage, we use 8000 kwh a year (incl cooking).  NY house is about 1/2 smaller than NH.  So, estimate 4000 kwh a year in NYC, about $2000.</t>
  </si>
  <si>
    <t>Have to find way to cut down electricity usage in Glendale!  Rate is 2 to 2.5 times of NH!</t>
  </si>
  <si>
    <t>(1) Pay off credit card debt for Glendale's remodeling material purchase in 2 years (interest deferred benefit).</t>
  </si>
  <si>
    <t>CK's contact lense</t>
  </si>
  <si>
    <t>(5) Newtown Retreat $2300  5/22-5/24</t>
  </si>
  <si>
    <t>24 mos</t>
  </si>
  <si>
    <t>Kitchen appliances: gas range, microwave hood, dishwasher, refrigerator</t>
  </si>
  <si>
    <t xml:space="preserve">4/24  Backyard gutters </t>
  </si>
  <si>
    <t xml:space="preserve">Hired Paul &amp; Peter Chu (80+60) &amp; Tim Gibb ($40) for NH house yard cleaning </t>
  </si>
  <si>
    <t>NH house toilet seats (no slammed), shower heads</t>
  </si>
  <si>
    <t>payment</t>
  </si>
  <si>
    <t>battery &amp; windshield wipers</t>
  </si>
  <si>
    <t>(1) NH house in on the market 5/8/15.  Pray for sale soon!</t>
  </si>
  <si>
    <t>Family&amp;Friends Fun</t>
  </si>
  <si>
    <t>N&amp;E's footwear</t>
  </si>
  <si>
    <t>Laurie's corning wares</t>
  </si>
  <si>
    <t>(1) CK began to live in Glendale, NY since 4/3/15</t>
  </si>
  <si>
    <t>(2) FC stayed in NH 4/12/15-5/8/15 for cleaning house for sale.</t>
  </si>
  <si>
    <t>(3) Family dined out lots for the house situation in NH &amp; NY.</t>
  </si>
  <si>
    <t>BOA/TDBank</t>
  </si>
  <si>
    <t>$2450 electrical box changed by licensed electrician</t>
  </si>
  <si>
    <t>Ectrical box changed by Nook Electical</t>
  </si>
  <si>
    <t xml:space="preserve">Johnny did electrical wiring for kitchen and basement in Jan and Feb 2015. </t>
  </si>
  <si>
    <t>heating</t>
  </si>
  <si>
    <t>non-heating</t>
  </si>
  <si>
    <t>WH was set @130-140, too high, constant on.  Set @120F and see next month's billing.  HW is the biggest non-heating gas consuming appliance in house.</t>
  </si>
  <si>
    <t>M/C</t>
  </si>
  <si>
    <t>International Students, Inc.</t>
  </si>
  <si>
    <t>Eric &amp; Isabel Hodges (#5346) for NYU international students ministry</t>
  </si>
  <si>
    <t xml:space="preserve">Tim Gibbs for taking care of lawn and garden </t>
  </si>
  <si>
    <t>MA State Income Tax Refund 2014</t>
  </si>
  <si>
    <t>Mother's Day Celebration @ Daniel &amp; Mary Su's.  5/10/15</t>
  </si>
  <si>
    <t>Nathan's Tae Kwon Do Lessons (one year tuition &amp; registration fee &amp; uniform)</t>
  </si>
  <si>
    <t>Dryer cleaning rod, sunray reflectors for cars</t>
  </si>
  <si>
    <t>Cost of Fixing up Glendale house:</t>
  </si>
  <si>
    <t>ny</t>
  </si>
  <si>
    <t>ny- Chris began to live in NY in 4/3/15.  Kids and I in ny 5/8/15.  set temp @75 for NH house til house sold.</t>
  </si>
  <si>
    <t>NY vs. NH</t>
  </si>
  <si>
    <t>Codes</t>
  </si>
  <si>
    <t>FY</t>
  </si>
  <si>
    <t>Waste</t>
  </si>
  <si>
    <t>Combined</t>
  </si>
  <si>
    <t>Water Rate Per 100 Cubic Feet (FY: Prior Year July 1st to Current Year June 30)</t>
  </si>
  <si>
    <t>Rewards</t>
  </si>
  <si>
    <t>Eric Hodges</t>
  </si>
  <si>
    <t>Stuck up for Glendale house</t>
  </si>
  <si>
    <t>Eric &amp; Isabel Hodges (#5346) for NYU international students ministry, support begins June 2015</t>
  </si>
  <si>
    <t>(after tax payment from CK's patent award $1500 from Liberty Mutual)</t>
  </si>
  <si>
    <t>Using hot water for dish washing in the basement bathroom sink.</t>
  </si>
  <si>
    <t>Gas heating</t>
  </si>
  <si>
    <t>Gas cooking</t>
  </si>
  <si>
    <t>soccer ball</t>
  </si>
  <si>
    <t>NYC to NH round trips 6/2-6/3</t>
  </si>
  <si>
    <t>Using electric oven &amp; slow cook to cook in the basement, ceiling fans all days in hot June and A/C for one afternoon.</t>
  </si>
  <si>
    <t>5/18/15-7/3/15</t>
  </si>
  <si>
    <t>6/22/15-8/7/15</t>
  </si>
  <si>
    <t xml:space="preserve">glasses </t>
  </si>
  <si>
    <t>3/23-4/17 Paid by project.  Total $18,000</t>
  </si>
  <si>
    <t>6/22-6/26   Kitchen installation: wall and base cabinets &amp; pantry cabinet, LED under cabinet light, microwave hood exhaust, gas stove hookup</t>
  </si>
  <si>
    <t>6/22 - 6/26 Reimburse Johnny &amp; Justin for materials they bought for kitchen installation project</t>
  </si>
  <si>
    <t>Kraus Kitchen Sink</t>
  </si>
  <si>
    <t>Kraus Kitchen Faucet</t>
  </si>
  <si>
    <t>electric wiring for A/C, kitchn cabinets installation, kitchen sink &amp; faucet</t>
  </si>
  <si>
    <t>Momo &amp; Ya-chin Cheng Lin &amp; 2 kids visit 6/26-7/10</t>
  </si>
  <si>
    <t>Dine-out with Taiwan family members &amp; visitors</t>
  </si>
  <si>
    <t xml:space="preserve">6/26, 6/27 Momo Lin &amp; family </t>
  </si>
  <si>
    <t>stackup food &amp; visitors stay</t>
  </si>
  <si>
    <t>V</t>
  </si>
  <si>
    <t>V - visitors stay for 2 weeks and more; M- visitors stay for weekends or less than 2 weeks</t>
  </si>
  <si>
    <t>To Paster Su (Father's Day Gift card)</t>
  </si>
  <si>
    <t>Time Warner</t>
  </si>
  <si>
    <t>Stop in May 2015</t>
  </si>
  <si>
    <t>(8/14-4/15)</t>
  </si>
  <si>
    <t>Retreat</t>
  </si>
  <si>
    <t>Meter Read</t>
  </si>
  <si>
    <t>Aug. 2015</t>
  </si>
  <si>
    <t>Management Fee ($564 in 2015 from $554, 1.8% increse)</t>
  </si>
  <si>
    <t>Columbian restaurant, Broadway Chinese Seafood Restaurant (Cantonese style)</t>
  </si>
  <si>
    <t>planters &amp; flowers &amp; herb for Glendale container garden</t>
  </si>
  <si>
    <t>White board &amp; stand.  Marker, stick-it pads, pencil lead refills.</t>
  </si>
  <si>
    <t>Yachin &amp; momo family stay 6/226-7/10</t>
  </si>
  <si>
    <t>Momo &amp; Ya-chin  Lin Family (4) visit 6/26-7/10</t>
  </si>
  <si>
    <t>$25 fob, $50 reimburse Michelle for 2 months of laundry cost.</t>
  </si>
  <si>
    <t>vs. LM old job</t>
  </si>
  <si>
    <t>Momo &amp; Yachin Lin family visited 6/28-7/10 (2 weeks)</t>
  </si>
  <si>
    <t>Nathan's FLL (Forest Hills Robotics League)</t>
  </si>
  <si>
    <t>Kitchen Appliances: microwave hood, oven, dish washer, counter-depth french door refrigerator</t>
  </si>
  <si>
    <t>Kitchen sink &amp; faucet (Kraus)</t>
  </si>
  <si>
    <t>Kitchen projects:</t>
  </si>
  <si>
    <t>Back splash (glass tiles)</t>
  </si>
  <si>
    <t>Actualized 2015</t>
  </si>
  <si>
    <t>This summer has been mild.  Mostly lower 80 - upper 70s.  A/C 4 all days when it was 90s F.</t>
  </si>
  <si>
    <t>Dec-Feb $200/mo, Nov, March, April $150/mos, the rest $30/mos.</t>
  </si>
  <si>
    <t>2032/2033</t>
  </si>
  <si>
    <t>8/2/2015 &amp; 8/16/15</t>
  </si>
  <si>
    <t>laundry center &amp; 5-year warranty service</t>
  </si>
  <si>
    <t>Whirlpool laundry center (Baker apartment F504)</t>
  </si>
  <si>
    <t>New tenants move in August 1st. $2500/month</t>
  </si>
  <si>
    <t>7/23/15 William Pai &amp; Yimi dinner with us.</t>
  </si>
  <si>
    <t>7/26-7/27  Judy &amp; Martin Chan family visit.</t>
  </si>
  <si>
    <t>CK's flip-flops, E's sneakers</t>
  </si>
  <si>
    <t>Timothy Gibbs for lawn and garden care</t>
  </si>
  <si>
    <t>Timothy Gibbs lawn and garden care (7/20-9/19)</t>
  </si>
  <si>
    <t>(1st month rent and deposit.  John R. Ghublikian Jr.)</t>
  </si>
  <si>
    <t>Quart countertop (White Zesus)</t>
  </si>
  <si>
    <t>Backsplash - Out to Sea</t>
  </si>
  <si>
    <t>7/25  Johnny &amp; Justin came to install the filler panel next to the right side of oven and built a shelf near window</t>
  </si>
  <si>
    <t>Shopped @NH Walmart to stack up for Glendale future use</t>
  </si>
  <si>
    <t>8/1/15  at Shell's (327 Ruby Rd. Wilington, CT ) a young lady with toddler kids traveled from Georgia to Boston to her aunt's for job search.  She asked us for gas and food $.  We filled $22.51 gas &amp; gave her $25 cash for food</t>
  </si>
  <si>
    <t>Help stranger</t>
  </si>
  <si>
    <t>($25 cash in helping stranger)</t>
  </si>
  <si>
    <t>(1) Back to NH  7/31-8/1</t>
  </si>
  <si>
    <t>New laundry center bought and delivered 7/28/15 but water valve will be installed on 8/6</t>
  </si>
  <si>
    <t>Water valve for washer will be installed 8/6/15.  Julie will help to sell the old laundry unit.</t>
  </si>
  <si>
    <t>back to NH</t>
  </si>
  <si>
    <t>Corning glassware</t>
  </si>
  <si>
    <t xml:space="preserve">Parking Violation $45 </t>
  </si>
  <si>
    <t>N's tae kwon do promotional test from white to yellow belt</t>
  </si>
  <si>
    <t>Realtor fee for finding new tenants</t>
  </si>
  <si>
    <t>Kitchen Cabinets &amp;countertop  total $10,920.26</t>
  </si>
  <si>
    <t>stamps</t>
  </si>
  <si>
    <t>^ gas leakage for half day (4/6-4/7/15), 4/7 morning called gas company for repair.  Tighten the bolt on meter and gas pipe connection.</t>
  </si>
  <si>
    <t>Momo &amp; Yachin Lin family visited 6/28-7/10 (2 weeks).  Began to cook on gas range, not the butan stove.</t>
  </si>
  <si>
    <t>N's 6gh grade DVD (10%off), wordly wise</t>
  </si>
  <si>
    <t xml:space="preserve">$25/mo, yearly = </t>
  </si>
  <si>
    <t>baby shower gifts to cell group members in Newtown</t>
  </si>
  <si>
    <t xml:space="preserve">6' folding table as temporary dining table in Glendale </t>
  </si>
  <si>
    <t>A/c on hot and humid days, set @77 or 80 F</t>
  </si>
  <si>
    <t>Wear jackets in cool days indoor</t>
  </si>
  <si>
    <t>***** Cheaper to take two more showers a day in summer than turn the A/C on.  Electricity is more costly than water in NYC.</t>
  </si>
  <si>
    <t xml:space="preserve">kitchen led lights, kitchen backsplash tiles, cable </t>
  </si>
  <si>
    <t>Water Protection</t>
  </si>
  <si>
    <t>Sewer Protection</t>
  </si>
  <si>
    <t>Days</t>
  </si>
  <si>
    <t>(2) Back to NH again Kids and I 8/27-8/29</t>
  </si>
  <si>
    <t>(3) Orally accepted an offer for our NH house 8/27 @432,000</t>
  </si>
  <si>
    <t>(4) AiG plans to wire $462,200 our purchase cost for NH house to our account in early October.</t>
  </si>
  <si>
    <t>PRAISE THE LORD!!!!!</t>
  </si>
  <si>
    <t>(1) Furniture packing and loading 9/11-9/12</t>
  </si>
  <si>
    <t>(2) Furniture to NYC 9/14</t>
  </si>
  <si>
    <t>Camping trip 9/4-9/7</t>
  </si>
  <si>
    <t>additional countertop ordered (white Zesus)</t>
  </si>
  <si>
    <t>NH trips for moving (Cartus will reimburse us two round trips)</t>
  </si>
  <si>
    <t>Sale of snowblower to Ken Louie</t>
  </si>
  <si>
    <t>Year 2014</t>
  </si>
  <si>
    <t>(1) Getting Glendale Inn ready for opening!</t>
  </si>
  <si>
    <t>(2) First stay over night guests 9/25-9/27:  Vincent and Shuyuan (newly wed)</t>
  </si>
  <si>
    <t>We'll be in NH 9/9-9/13</t>
  </si>
  <si>
    <t xml:space="preserve">8/27-8/29 Kids and I were in NH </t>
  </si>
  <si>
    <t>E-Z Pass</t>
  </si>
  <si>
    <t>9/25-9/27 Vincent &amp; ShuYuan</t>
  </si>
  <si>
    <t xml:space="preserve">NY electricity is 2.5X NH.  NH electricity includes cooking.  Delivery charge/kwh in NY is 2X of NH + NY Sale Tax for Util 4.5% (11.67 cent vs. 6.62 cent).  Basic charge is more than 1.25X expensive than NH. </t>
  </si>
  <si>
    <t xml:space="preserve"> Supply charge is almost the same, expensive by 0.1+ cent.</t>
  </si>
  <si>
    <t>Did not turn on A/C except ceiling fans.  This summer is mild.</t>
  </si>
  <si>
    <t>8)</t>
  </si>
  <si>
    <t>8) Moved to NYC in April, 2015.  Traveled to Taiwan for a month 2/14/15-3/9/15.  NH house will close 10/30/15</t>
  </si>
  <si>
    <t>CUBIT FEET</t>
  </si>
  <si>
    <t>Gallon? Cu ft?</t>
  </si>
  <si>
    <t>Rate/Cu ft</t>
  </si>
  <si>
    <t>Rate per Cubit Feet</t>
  </si>
  <si>
    <t>Rate/cubit ft</t>
  </si>
  <si>
    <t>** Based on NH usage, our family uses about 5200 -7,000 cubit feet of water for cooking, shower, washing etc indoor.  About $240 a year.</t>
  </si>
  <si>
    <t>10-year Avg</t>
  </si>
  <si>
    <t>Based on NH usage, our family uses 2000 cubit feet of water per every three months.</t>
  </si>
  <si>
    <t xml:space="preserve">NY water is at least 6x expensiver than NH water ($) and it includes waste/sewer charge &amp; insurance.  In NH, we need to have our septic tank pumped every 2 years $271.   </t>
  </si>
  <si>
    <t>Vincent &amp; Shuyuan stayed for 2 nights</t>
  </si>
  <si>
    <t>wedding gift to Vincent &amp; Shuyuan</t>
  </si>
  <si>
    <t>Garage door opener &amp; 2 full system rebuild, water heater installed</t>
  </si>
  <si>
    <t>water heater vacuum tank installed, Rondon Air Test Alarm installed</t>
  </si>
  <si>
    <t>Glendale shelves (pantry &amp; laundry room)</t>
  </si>
  <si>
    <t>check books ordered</t>
  </si>
  <si>
    <t>N's tae kwon do promotional test to orange and green belts</t>
  </si>
  <si>
    <t>10/10 Justin came with his friend (Johnny unavailible) for plumbing hookup of sink, dishwasher, drain pipe, water supply</t>
  </si>
  <si>
    <t>Set. 2015</t>
  </si>
  <si>
    <t>Oct. 2015</t>
  </si>
  <si>
    <t>10/13/15 Balance</t>
  </si>
  <si>
    <t>10/26/15 Balance</t>
  </si>
  <si>
    <t>10/12/15$700</t>
  </si>
  <si>
    <t>10/10, 10/12 water hookup &amp; back splash in the kitchen by Justin, mudroom &amp; laundry room shelves by CK</t>
  </si>
  <si>
    <t>Eileen's twin bed frame</t>
  </si>
  <si>
    <t>Thanksgiving offering</t>
  </si>
  <si>
    <t>Cartus reimbursed moving related expenses (net of tax) 8/27-8/29</t>
  </si>
  <si>
    <t xml:space="preserve">10/24-11/2/14  </t>
  </si>
  <si>
    <t>at Ikea food court for trip to purchase Eileen's bed</t>
  </si>
  <si>
    <t>soccer ball for Sundays after church sport club</t>
  </si>
  <si>
    <t>(Interest for one year)</t>
  </si>
  <si>
    <t>Lend to Glendale Remodeling Project in 2015 (5)</t>
  </si>
  <si>
    <t>(5) Starting Jan. 215 borrowed to finish Glendale remodeling, total $15,700</t>
  </si>
  <si>
    <t>(2) 10/26/15 paid off loan borrowed from Dad Chou for Baker's &amp; Glendale's purchase $72,800</t>
  </si>
  <si>
    <t>(3) The remaining fund $36746.5 in Kuo's Pool Fund (future emergency fund)</t>
  </si>
  <si>
    <t>10/20/15 Net proceed of sale of Wasserman Hts house, NH $432502.12</t>
  </si>
  <si>
    <t xml:space="preserve">**(2) Borrowed from Dad Chou 2/4/2013 for Adams Street down payment $62,000   7/4/14 Borrowed from Dad Chou for 6913 67th Place, Glendale, NY </t>
  </si>
  <si>
    <t>(Pay off 10/26/15)</t>
  </si>
  <si>
    <t>$15,700, @3% APR, 18 months</t>
  </si>
  <si>
    <t>8/24/15-10/16/15, Mon-Fri nights</t>
  </si>
  <si>
    <t>10/12 &amp; 10/17 Justin with his friend - backsplash, led light for upper cabinets</t>
  </si>
  <si>
    <t>Property Tax - Wasserman Hts (10/1/15-10/19/15)</t>
  </si>
  <si>
    <t>Sale of Wasserman Hts house, credit 380 gl X $2.649</t>
  </si>
  <si>
    <t>Sale of 10 Wasserman Hts, Merrimack, NH 03054 (10/20/15)</t>
  </si>
  <si>
    <t>10/28015 Pay off 6913 67th Place, Glendale, NY 11385 (plus wire fee)</t>
  </si>
  <si>
    <t>(1) 10/26/15 wired $322,955.62 to pay off Glendale house interest calculated by 10/28/15</t>
  </si>
  <si>
    <t>YEAR 2015</t>
  </si>
  <si>
    <t>(Bonus $13677.73)</t>
  </si>
  <si>
    <t>Bonus of $13677.73. Teaching income (2) $3763.68.</t>
  </si>
  <si>
    <t>God has blessed us so abundantly in 2013.  The year 2014 challenge to us is to give more and live even simplier life.</t>
  </si>
  <si>
    <t>Update:  God clearly burdened us for Chinese immigrants ministry after 5/24-5/27/14 retreat w/Newtown Church.  Purchased Glendale, NY house 9/5/14 @$418K, not our plan but w/thankfulness for God provided this house in a quiet neighborhood.</t>
  </si>
  <si>
    <t>10/20/15 sale of 10 Wasserman Hts, Merrimack, NH 02054 for $432,000.</t>
  </si>
  <si>
    <t>Moving in to Glendale house in April for CK's new job begin and 9/13/15 all furniture moved in.  House remodeling most finished in April; all exterior remodeling done by Oct.</t>
  </si>
  <si>
    <t>Last year 2014 income after tax is</t>
  </si>
  <si>
    <t>This year 2015 Income after tax is</t>
  </si>
  <si>
    <t>1. Baker's condo rental income of $2500 in August, 2015 after vacant for one month.  (Purchased 3/15/13 for $316,000. 25% down, mortgage $237,000.  Market price around $400k in 2015)</t>
  </si>
  <si>
    <t>----&gt; If putting monthly extra principal $5000</t>
  </si>
  <si>
    <t>3. 10/26/15 Using $ from sale of NH house to pay off the loan borrowed from Dad Chou for Glendale house purchase and remodeling.</t>
  </si>
  <si>
    <t>2. 10/26/15 Using $ from sale of NH house to pay off Glendale mortgage. ( Purchased Glendale, NY house 9/5/14 for $418,000.  20% down, mortgage $334,400 @3.65% 7/1ARM)</t>
  </si>
  <si>
    <t>NH Property tax</t>
  </si>
  <si>
    <t>Principal</t>
  </si>
  <si>
    <t>2/4/13</t>
  </si>
  <si>
    <t>7/5/14</t>
  </si>
  <si>
    <t xml:space="preserve"> ACTUAL PAID interest</t>
  </si>
  <si>
    <t>PAID OFF DATE</t>
  </si>
  <si>
    <t>FINAL BILL</t>
  </si>
  <si>
    <t>(1) 10 Wasserman Hts, Merrimack, NH 03054</t>
  </si>
  <si>
    <t>Closing cost</t>
  </si>
  <si>
    <t>Sold</t>
  </si>
  <si>
    <t>(2) 1241 Adams Street, #F504, Dorchester, MA 02124</t>
  </si>
  <si>
    <t>Purchased</t>
  </si>
  <si>
    <t>Closing Cost</t>
  </si>
  <si>
    <t>(3) 69-13 67th Place, Glendale, NY 11385</t>
  </si>
  <si>
    <t>Year 2015 Remodeling Expense=</t>
  </si>
  <si>
    <t>bolts for pool table, propane gas tank for BBQ</t>
  </si>
  <si>
    <t>Airfare to TW 2016 CNY</t>
  </si>
  <si>
    <t>11/14/14 - 11/16/14</t>
  </si>
  <si>
    <t>11/23/14 - 11/30/14</t>
  </si>
  <si>
    <t>12/12/14 - 12/14/14</t>
  </si>
  <si>
    <t>12/25/14 -1/4/15</t>
  </si>
  <si>
    <t>Katie &amp; Andrew Hajj wedding gift 11/6/15</t>
  </si>
  <si>
    <t>Table cloth &amp; coffee</t>
  </si>
  <si>
    <t>11/7 Sunng Chang's cell group gathering</t>
  </si>
  <si>
    <t>11/8/15 dinner @ Glendale Inn w/ 3 Su's</t>
  </si>
  <si>
    <t>11/21-11/22/15 Anne Lee will come visit</t>
  </si>
  <si>
    <t>11/24-11/25 Marty &amp; Juddy Chan's family visits</t>
  </si>
  <si>
    <t>(Extra Principal $5000)</t>
  </si>
  <si>
    <t>Sale of 10 Wasserman Hts, Merrimack, NH 03054 (10/20/15)-Loss Reimbursement from Cartus</t>
  </si>
  <si>
    <t>Cartus reimbursed broken fish tank top glasses damaged by movers &amp; one last trip</t>
  </si>
  <si>
    <t>CK's dress shirts</t>
  </si>
  <si>
    <t xml:space="preserve"> Stayed late for cleaning/Sunday school preparation, hosted 3 groups of people for dinner on weekends.  Daylight saving, less natural light.</t>
  </si>
  <si>
    <t>10/26, 11/20</t>
  </si>
  <si>
    <t>w/ Judy &amp; Marty Chan family, w/ Anne Lee</t>
  </si>
  <si>
    <t>11/26/15 Sunny's group Thanksgiving gathering @Kuos</t>
  </si>
  <si>
    <t>11/27/15 Daniel &amp; Ching-ching Hu family, Jessica Yeh, her father and David, her boyfriend</t>
  </si>
  <si>
    <t>Lamp kitchen, dimmer for dining room lamp, dimmerable led light bulbs</t>
  </si>
  <si>
    <t>EZPass-Mass refund</t>
  </si>
  <si>
    <t>OK 12/1/15</t>
  </si>
  <si>
    <t>R/E Tax due for 1/1/16 and 4/1/16</t>
  </si>
  <si>
    <t>flat tire 11/24/15</t>
  </si>
  <si>
    <t>Nov.2015</t>
  </si>
  <si>
    <t>Dec.2015</t>
  </si>
  <si>
    <t>Kitchen project parts &amp; materials, lighting &amp; led light bulbs, dimmer &amp; dimmerable led light bulbs for dining room</t>
  </si>
  <si>
    <t>($5773 net of AIG relocation misc $10,000.)</t>
  </si>
  <si>
    <t>Using more oven in mid Nov to mid Dec.</t>
  </si>
  <si>
    <t>^ 1/2/15 Hired workers (Johnny &amp; Justin) to repair the house Mon-Sat. 8am to 6pm.</t>
  </si>
  <si>
    <t xml:space="preserve">* Not using CFL light bulbs in 2014.  The previous owner used the non-energy saving light bulbs.  CFL/LED light bulbs used in April, 2015.  Moved in April 2015.  </t>
  </si>
  <si>
    <t>(excluded sewage pump up $271 every two years.</t>
  </si>
  <si>
    <t>Actual 2015</t>
  </si>
  <si>
    <t>lego mini figures, Christmas gifts to N&amp;E</t>
  </si>
  <si>
    <t>(12/15/15 wired to Peggy in Singapore for MIL's living cost there</t>
  </si>
  <si>
    <t>gas heater final payment</t>
  </si>
  <si>
    <t>12/1/15</t>
  </si>
  <si>
    <t>12/26/15</t>
  </si>
  <si>
    <t xml:space="preserve">ok </t>
  </si>
  <si>
    <t/>
  </si>
  <si>
    <t>Additional $500 cash gift to Pastor &amp; Mrs. Su ($300) and Pastor &amp; Mrs. Chiu ($200)</t>
  </si>
  <si>
    <t>fine for fail property recycle for collection, need to separate paper and other recyclables</t>
  </si>
  <si>
    <t>using more oven for Thanksgiving turkey etc. cooking/simmering soup, stew for hours in cold months</t>
  </si>
  <si>
    <t>In cold months the days become shorter and darken earlier, normally consume more electricity and gas for cooking &amp; heating.</t>
  </si>
  <si>
    <t>M</t>
  </si>
  <si>
    <t>Anne Lee stayed 1 night &amp; Marty/Judy Chan family stayed 1 night (Thanksgiving week)</t>
  </si>
  <si>
    <t>@included cooking</t>
  </si>
  <si>
    <t>$30250 from Cartus to cover house sale loss.</t>
  </si>
  <si>
    <t>12/24-12/27 Joe &amp; Veronika Thomas visited</t>
  </si>
  <si>
    <t>12/28-12/30 Marty &amp; Judy Chan family visited</t>
  </si>
  <si>
    <t>Chris sneakers</t>
  </si>
  <si>
    <t>Christmas gifts to Pastor &amp; Mrs. Su, Pastor &amp; Mrs. Chiu, Joe &amp; Veronika, CK, father in law</t>
  </si>
  <si>
    <t>Cash to help people in need</t>
  </si>
  <si>
    <t>Glendale Remodeling Exp 2015</t>
  </si>
  <si>
    <t>NH Wasserman house sold. Received net of proceed from Cartus $432502.12. Paid off Glendale.</t>
  </si>
  <si>
    <t>Sale of Wasserman Hts house</t>
  </si>
  <si>
    <t>Loss covered by Cartus</t>
  </si>
  <si>
    <t>Glendale Paidoff</t>
  </si>
  <si>
    <t>Wasserman House sold @432K  10/20/15.  Baker's mgt fee $8171.04</t>
  </si>
  <si>
    <t>Actual 2013</t>
  </si>
  <si>
    <t>Remodeling cost $16,300.76 from Oct to Dec.  Work expected to be done in March 2015.  Budget $50,000</t>
  </si>
  <si>
    <t>PAID OFF 10/26/15</t>
  </si>
  <si>
    <t>Actual Rec'd</t>
  </si>
  <si>
    <t>Total Glendale Interior Remodeling Expenses</t>
  </si>
  <si>
    <t>Year 2014 Remodeling Expense</t>
  </si>
  <si>
    <t>NH Wasserman House</t>
  </si>
  <si>
    <t>Glendale interior total renovation $117,872.52; ^ excluded Glendale mrtgage &amp; paidoff $347682.72</t>
  </si>
  <si>
    <t>W2-wages</t>
  </si>
  <si>
    <t>Federal Tax Withheld</t>
  </si>
  <si>
    <t>Social Security Tax</t>
  </si>
  <si>
    <t>Medicare Tax</t>
  </si>
  <si>
    <t>MA state tax</t>
  </si>
  <si>
    <t>W2 Net</t>
  </si>
  <si>
    <t>PreTax Exp. (Commute cost, Flexible Acct)</t>
  </si>
  <si>
    <t>NH</t>
  </si>
  <si>
    <t>Boston, MA</t>
  </si>
  <si>
    <t>NYC, NY</t>
  </si>
  <si>
    <t>Property Tax Paid in 2015</t>
  </si>
  <si>
    <t>NY state tax</t>
  </si>
  <si>
    <t>NYC local income tax</t>
  </si>
  <si>
    <t>Diff (Actual vs. W2 Net)</t>
  </si>
  <si>
    <t>Mortgage Interest Paid in 2015</t>
  </si>
  <si>
    <t>1099-INT</t>
  </si>
  <si>
    <t>Central Loan Administration &amp; Reporting</t>
  </si>
  <si>
    <t>10/19/15-12/11/15, Mon-Fri nights</t>
  </si>
  <si>
    <t>Cell phone (Statistic work @ Liberty Mutual/AiG special projects &amp; conference call, teaching &amp; traveling to attend professional conference)</t>
  </si>
  <si>
    <t>Internet Access (On-line teaching, Liberty Mutual/AiG work at home)</t>
  </si>
  <si>
    <t>TWC*Time Warner NYC</t>
  </si>
  <si>
    <t>mileages - Special Projects</t>
  </si>
  <si>
    <t>NYCDot Parking Meters</t>
  </si>
  <si>
    <t>LI City</t>
  </si>
  <si>
    <t>IMPARK</t>
  </si>
  <si>
    <t>EZPass Prepaid</t>
  </si>
  <si>
    <t>Gild Hall - A Thompson</t>
  </si>
  <si>
    <t>Courtyard by Marriott</t>
  </si>
  <si>
    <t>MTA</t>
  </si>
  <si>
    <t>Oww*Travel - Reserve</t>
  </si>
  <si>
    <t>Airfare</t>
  </si>
  <si>
    <t xml:space="preserve">Office Equipment </t>
  </si>
  <si>
    <t>Printer on sale</t>
  </si>
  <si>
    <t xml:space="preserve">Ikea </t>
  </si>
  <si>
    <t>Desk &amp; book shelves</t>
  </si>
  <si>
    <t>Target.com</t>
  </si>
  <si>
    <t>book shelf</t>
  </si>
  <si>
    <t>Michaels Store</t>
  </si>
  <si>
    <t>Computer device</t>
  </si>
  <si>
    <t>Ambassadors for Christ</t>
  </si>
  <si>
    <t>White board</t>
  </si>
  <si>
    <t>Nooks Electrical</t>
  </si>
  <si>
    <t>Electrical box &amp; wiring for fast speed</t>
  </si>
  <si>
    <t xml:space="preserve">1. Complete mileages. Multiply line 8a by 57.5 cents (.575). </t>
  </si>
  <si>
    <t>Paid Jan - March</t>
  </si>
  <si>
    <t>NYC resident period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</si>
</sst>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1">
    <numFmt numFmtId="6" formatCode="&quot;$&quot;#,##0_);[Red]\(&quot;$&quot;#,##0\)"/>
    <numFmt numFmtId="8" formatCode="&quot;$&quot;#,##0.00_);[Red]\(&quot;$&quot;#,##0.00\)"/>
    <numFmt numFmtId="43" formatCode="_(* #,##0.00_);_(* \(#,##0.00\);_(* &quot;-&quot;??_);_(@_)"/>
    <numFmt numFmtId="164" formatCode="&quot; $&quot;#,##0.00\ ;&quot; $(&quot;#,##0.00\);&quot; $-&quot;#\ ;@\ "/>
    <numFmt numFmtId="165" formatCode="#,##0.00\ ;&quot; (&quot;#,##0.00\);&quot; -&quot;#\ ;@\ "/>
    <numFmt numFmtId="166" formatCode="[$$-409]#,##0.00;[Red]\-[$$-409]#,##0.00"/>
    <numFmt numFmtId="167" formatCode="#,##0.0"/>
    <numFmt numFmtId="168" formatCode="0.000%"/>
    <numFmt numFmtId="169" formatCode="\$#,##0\ ;[Red]&quot;($&quot;#,##0\)"/>
    <numFmt numFmtId="170" formatCode="\$#,##0.00\ ;[Red]&quot;($&quot;#,##0.00\)"/>
    <numFmt numFmtId="171" formatCode="mm/dd/yy"/>
    <numFmt numFmtId="172" formatCode="[$$-409]#,##0.00_ ;[Red]\-[$$-409]#,##0.00\ "/>
    <numFmt numFmtId="173" formatCode="[$$-409]#,##0.000;[Red]\-[$$-409]#,##0.000"/>
    <numFmt numFmtId="174" formatCode="_(* #,##0.00_);_(* \(#,##0.00\);_(* \-??_);_(@_)"/>
    <numFmt numFmtId="175" formatCode="_-[$$-409]* #,##0.00_ ;_-[$$-409]* \-#,##0.00\ ;_-[$$-409]* \-??_ ;_-@_ "/>
    <numFmt numFmtId="176" formatCode="[$$-409]#,##0.00;[Red][$$-409]#,##0.00"/>
    <numFmt numFmtId="177" formatCode="_-[$$-409]* #,##0.000_ ;_-[$$-409]* \-#,##0.000\ ;_-[$$-409]* &quot;-&quot;??_ ;_-@_ "/>
    <numFmt numFmtId="178" formatCode="_-[$$-409]* #,##0.00_ ;_-[$$-409]* \-#,##0.00\ ;_-[$$-409]* &quot;-&quot;??_ ;_-@_ "/>
    <numFmt numFmtId="179" formatCode="0.0"/>
    <numFmt numFmtId="180" formatCode="&quot; $&quot;#,##0.0000\ ;&quot; $(&quot;#,##0.0000\);&quot; $-&quot;#.00\ ;@\ "/>
    <numFmt numFmtId="181" formatCode="&quot; $&quot;#,##0.00000\ ;&quot; $(&quot;#,##0.00000\);&quot; $-&quot;#.000\ ;@\ "/>
  </numFmts>
  <fonts count="56"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b/>
      <sz val="12"/>
      <name val="Century Schoolbook L"/>
      <family val="1"/>
    </font>
    <font>
      <b/>
      <i/>
      <sz val="12"/>
      <color indexed="53"/>
      <name val="Century Schoolbook L"/>
      <family val="1"/>
    </font>
    <font>
      <b/>
      <i/>
      <sz val="10"/>
      <color indexed="53"/>
      <name val="Arial"/>
      <family val="2"/>
    </font>
    <font>
      <b/>
      <i/>
      <sz val="10"/>
      <name val="Arial"/>
      <family val="2"/>
    </font>
    <font>
      <b/>
      <u/>
      <sz val="10"/>
      <name val="Arial"/>
      <family val="2"/>
    </font>
    <font>
      <b/>
      <i/>
      <u/>
      <sz val="10"/>
      <name val="Arial"/>
      <family val="2"/>
    </font>
    <font>
      <b/>
      <sz val="12"/>
      <color indexed="10"/>
      <name val="Arial"/>
      <family val="2"/>
    </font>
    <font>
      <sz val="10.5"/>
      <color indexed="30"/>
      <name val="Arial"/>
      <family val="2"/>
    </font>
    <font>
      <sz val="10"/>
      <color indexed="30"/>
      <name val="Arial"/>
      <family val="2"/>
    </font>
    <font>
      <sz val="10"/>
      <color indexed="10"/>
      <name val="Arial"/>
      <family val="2"/>
    </font>
    <font>
      <sz val="7"/>
      <name val="Arial"/>
      <family val="2"/>
    </font>
    <font>
      <sz val="8"/>
      <name val="Arial"/>
      <family val="2"/>
    </font>
    <font>
      <b/>
      <sz val="10"/>
      <color indexed="16"/>
      <name val="Arial"/>
      <family val="2"/>
    </font>
    <font>
      <b/>
      <u/>
      <sz val="12"/>
      <name val="Arial"/>
      <family val="2"/>
    </font>
    <font>
      <u/>
      <sz val="10"/>
      <name val="Arial"/>
      <family val="2"/>
    </font>
    <font>
      <sz val="10"/>
      <name val="Bitstream Charter"/>
      <family val="1"/>
    </font>
    <font>
      <b/>
      <sz val="12"/>
      <name val="Bitstream Charter"/>
      <family val="1"/>
    </font>
    <font>
      <sz val="10"/>
      <name val="Arial"/>
      <family val="2"/>
    </font>
    <font>
      <sz val="10.5"/>
      <name val="Century"/>
      <family val="1"/>
    </font>
    <font>
      <sz val="10.5"/>
      <color rgb="FFFF0000"/>
      <name val="Century"/>
      <family val="1"/>
    </font>
    <font>
      <b/>
      <sz val="10.5"/>
      <color indexed="10"/>
      <name val="Century"/>
      <family val="1"/>
    </font>
    <font>
      <b/>
      <sz val="10.5"/>
      <name val="Century"/>
      <family val="1"/>
    </font>
    <font>
      <sz val="10.5"/>
      <color indexed="10"/>
      <name val="Century"/>
      <family val="1"/>
    </font>
    <font>
      <sz val="10"/>
      <name val="Century"/>
      <family val="1"/>
    </font>
    <font>
      <b/>
      <sz val="12"/>
      <name val="Century"/>
      <family val="1"/>
    </font>
    <font>
      <b/>
      <sz val="10"/>
      <name val="Century"/>
      <family val="1"/>
    </font>
    <font>
      <sz val="12"/>
      <name val="Century"/>
      <family val="1"/>
    </font>
    <font>
      <b/>
      <sz val="10.5"/>
      <color rgb="FFFF0000"/>
      <name val="Century"/>
      <family val="1"/>
    </font>
    <font>
      <sz val="12"/>
      <name val="Bitstream Charter"/>
      <family val="1"/>
    </font>
    <font>
      <sz val="12"/>
      <color indexed="8"/>
      <name val="Bitstream Charter"/>
      <family val="1"/>
    </font>
    <font>
      <u/>
      <sz val="12"/>
      <name val="Bitstream Charter"/>
      <family val="1"/>
    </font>
    <font>
      <b/>
      <i/>
      <sz val="12"/>
      <color rgb="FF000000"/>
      <name val="Arial"/>
      <family val="2"/>
    </font>
    <font>
      <b/>
      <i/>
      <sz val="12"/>
      <name val="Bitstream Charter"/>
    </font>
    <font>
      <b/>
      <sz val="12"/>
      <name val="Bitstream Charter"/>
    </font>
    <font>
      <b/>
      <sz val="11"/>
      <name val="Century"/>
      <family val="1"/>
    </font>
    <font>
      <sz val="11"/>
      <name val="Century"/>
      <family val="1"/>
    </font>
    <font>
      <sz val="11"/>
      <color indexed="10"/>
      <name val="Century"/>
      <family val="1"/>
    </font>
    <font>
      <b/>
      <sz val="10"/>
      <color rgb="FFFF000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rgb="FFFF0000"/>
      <name val="Bitstream Charter"/>
      <family val="1"/>
    </font>
    <font>
      <b/>
      <sz val="10"/>
      <color rgb="FFFF0000"/>
      <name val="Bitstream Charter"/>
    </font>
    <font>
      <b/>
      <i/>
      <sz val="12"/>
      <color rgb="FFFF0000"/>
      <name val="Bitstream Charter"/>
    </font>
    <font>
      <sz val="10"/>
      <color rgb="FFFF0000"/>
      <name val="Arial"/>
      <family val="2"/>
    </font>
    <font>
      <sz val="9"/>
      <name val="Arial"/>
      <family val="2"/>
    </font>
    <font>
      <b/>
      <sz val="12"/>
      <color rgb="FFFF0000"/>
      <name val="Bitstream Charter"/>
    </font>
    <font>
      <b/>
      <sz val="10"/>
      <name val="Bitstream Charter"/>
    </font>
    <font>
      <sz val="11"/>
      <name val="Arial"/>
      <family val="2"/>
    </font>
    <font>
      <b/>
      <sz val="11"/>
      <name val="Arial"/>
      <family val="2"/>
    </font>
    <font>
      <u/>
      <sz val="10"/>
      <color theme="10"/>
      <name val="Arial"/>
      <family val="2"/>
    </font>
    <font>
      <sz val="11"/>
      <color rgb="FFFF0000"/>
      <name val="Arial"/>
      <family val="2"/>
    </font>
    <font>
      <sz val="7"/>
      <color rgb="FFFF0000"/>
      <name val="Arial"/>
      <family val="2"/>
    </font>
    <font>
      <sz val="12"/>
      <color rgb="FFFF0000"/>
      <name val="Century"/>
      <family val="1"/>
    </font>
  </fonts>
  <fills count="12">
    <fill>
      <patternFill patternType="none"/>
    </fill>
    <fill>
      <patternFill patternType="gray125"/>
    </fill>
    <fill>
      <patternFill patternType="solid">
        <fgColor indexed="27"/>
        <bgColor indexed="41"/>
      </patternFill>
    </fill>
    <fill>
      <patternFill patternType="solid">
        <fgColor indexed="13"/>
        <bgColor indexed="34"/>
      </patternFill>
    </fill>
    <fill>
      <patternFill patternType="solid">
        <fgColor theme="0"/>
        <bgColor indexed="41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41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22"/>
      </patternFill>
    </fill>
    <fill>
      <patternFill patternType="solid">
        <fgColor theme="4" tint="0.79998168889431442"/>
        <bgColor indexed="64"/>
      </patternFill>
    </fill>
  </fills>
  <borders count="76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8"/>
      </top>
      <bottom style="double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/>
      <top/>
      <bottom style="hair">
        <color indexed="8"/>
      </bottom>
      <diagonal/>
    </border>
    <border>
      <left style="thin">
        <color indexed="63"/>
      </left>
      <right/>
      <top style="thin">
        <color indexed="63"/>
      </top>
      <bottom style="thin">
        <color indexed="63"/>
      </bottom>
      <diagonal/>
    </border>
    <border>
      <left/>
      <right/>
      <top style="thin">
        <color indexed="63"/>
      </top>
      <bottom style="thin">
        <color indexed="63"/>
      </bottom>
      <diagonal/>
    </border>
    <border>
      <left/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/>
      <top style="thin">
        <color indexed="63"/>
      </top>
      <bottom/>
      <diagonal/>
    </border>
    <border>
      <left/>
      <right/>
      <top style="thin">
        <color indexed="63"/>
      </top>
      <bottom/>
      <diagonal/>
    </border>
    <border>
      <left/>
      <right style="thin">
        <color indexed="63"/>
      </right>
      <top style="thin">
        <color indexed="63"/>
      </top>
      <bottom/>
      <diagonal/>
    </border>
    <border>
      <left style="thin">
        <color indexed="63"/>
      </left>
      <right/>
      <top/>
      <bottom style="thin">
        <color indexed="63"/>
      </bottom>
      <diagonal/>
    </border>
    <border>
      <left/>
      <right/>
      <top/>
      <bottom style="thin">
        <color indexed="63"/>
      </bottom>
      <diagonal/>
    </border>
    <border>
      <left/>
      <right style="thin">
        <color indexed="63"/>
      </right>
      <top/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/>
      <diagonal/>
    </border>
    <border>
      <left style="thin">
        <color indexed="63"/>
      </left>
      <right style="thin">
        <color indexed="63"/>
      </right>
      <top/>
      <bottom/>
      <diagonal/>
    </border>
    <border>
      <left style="thin">
        <color indexed="63"/>
      </left>
      <right/>
      <top/>
      <bottom/>
      <diagonal/>
    </border>
    <border>
      <left/>
      <right style="thin">
        <color indexed="63"/>
      </right>
      <top/>
      <bottom/>
      <diagonal/>
    </border>
    <border>
      <left/>
      <right/>
      <top style="thin">
        <color indexed="63"/>
      </top>
      <bottom style="double">
        <color indexed="63"/>
      </bottom>
      <diagonal/>
    </border>
    <border>
      <left style="thin">
        <color indexed="63"/>
      </left>
      <right/>
      <top/>
      <bottom style="hair">
        <color indexed="8"/>
      </bottom>
      <diagonal/>
    </border>
    <border>
      <left/>
      <right style="thin">
        <color indexed="63"/>
      </right>
      <top/>
      <bottom style="hair">
        <color indexed="8"/>
      </bottom>
      <diagonal/>
    </border>
    <border>
      <left style="thin">
        <color indexed="63"/>
      </left>
      <right style="thin">
        <color indexed="63"/>
      </right>
      <top style="thin">
        <color indexed="8"/>
      </top>
      <bottom style="thin">
        <color indexed="63"/>
      </bottom>
      <diagonal/>
    </border>
    <border>
      <left style="thin">
        <color indexed="63"/>
      </left>
      <right/>
      <top style="thin">
        <color indexed="8"/>
      </top>
      <bottom style="thin">
        <color indexed="63"/>
      </bottom>
      <diagonal/>
    </border>
    <border>
      <left/>
      <right/>
      <top style="thin">
        <color indexed="8"/>
      </top>
      <bottom style="thin">
        <color indexed="63"/>
      </bottom>
      <diagonal/>
    </border>
    <border>
      <left/>
      <right style="thin">
        <color indexed="63"/>
      </right>
      <top style="thin">
        <color indexed="8"/>
      </top>
      <bottom style="thin">
        <color indexed="63"/>
      </bottom>
      <diagonal/>
    </border>
    <border>
      <left/>
      <right/>
      <top/>
      <bottom style="thin">
        <color indexed="8"/>
      </bottom>
      <diagonal/>
    </border>
    <border>
      <left style="hair">
        <color indexed="8"/>
      </left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 style="hair">
        <color indexed="8"/>
      </right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8"/>
      </left>
      <right/>
      <top style="thin">
        <color indexed="64"/>
      </top>
      <bottom style="thin">
        <color indexed="64"/>
      </bottom>
      <diagonal/>
    </border>
    <border>
      <left style="hair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3"/>
      </right>
      <top style="thin">
        <color indexed="63"/>
      </top>
      <bottom style="thin">
        <color indexed="64"/>
      </bottom>
      <diagonal/>
    </border>
    <border>
      <left/>
      <right/>
      <top style="thin">
        <color indexed="8"/>
      </top>
      <bottom style="double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 style="thin">
        <color indexed="64"/>
      </bottom>
      <diagonal/>
    </border>
    <border>
      <left style="thin">
        <color indexed="63"/>
      </left>
      <right style="thin">
        <color indexed="64"/>
      </right>
      <top style="thin">
        <color indexed="8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3"/>
      </bottom>
      <diagonal/>
    </border>
    <border>
      <left/>
      <right/>
      <top style="thin">
        <color indexed="64"/>
      </top>
      <bottom style="thin">
        <color indexed="63"/>
      </bottom>
      <diagonal/>
    </border>
    <border>
      <left/>
      <right style="thin">
        <color indexed="64"/>
      </right>
      <top style="thin">
        <color indexed="64"/>
      </top>
      <bottom style="thin">
        <color indexed="63"/>
      </bottom>
      <diagonal/>
    </border>
    <border>
      <left style="thin">
        <color indexed="64"/>
      </left>
      <right/>
      <top style="thin">
        <color indexed="63"/>
      </top>
      <bottom/>
      <diagonal/>
    </border>
    <border>
      <left/>
      <right style="thin">
        <color indexed="64"/>
      </right>
      <top style="thin">
        <color indexed="63"/>
      </top>
      <bottom/>
      <diagonal/>
    </border>
    <border>
      <left style="thin">
        <color indexed="64"/>
      </left>
      <right/>
      <top/>
      <bottom style="thin">
        <color indexed="63"/>
      </bottom>
      <diagonal/>
    </border>
    <border>
      <left/>
      <right style="thin">
        <color indexed="64"/>
      </right>
      <top/>
      <bottom style="thin">
        <color indexed="63"/>
      </bottom>
      <diagonal/>
    </border>
    <border>
      <left/>
      <right style="thin">
        <color indexed="64"/>
      </right>
      <top/>
      <bottom style="hair">
        <color indexed="8"/>
      </bottom>
      <diagonal/>
    </border>
    <border>
      <left style="thin">
        <color indexed="63"/>
      </left>
      <right/>
      <top style="thin">
        <color indexed="8"/>
      </top>
      <bottom style="thin">
        <color indexed="64"/>
      </bottom>
      <diagonal/>
    </border>
    <border>
      <left/>
      <right style="thin">
        <color indexed="63"/>
      </right>
      <top style="thin">
        <color indexed="8"/>
      </top>
      <bottom style="thin">
        <color indexed="64"/>
      </bottom>
      <diagonal/>
    </border>
    <border>
      <left/>
      <right style="thin">
        <color indexed="64"/>
      </right>
      <top style="thin">
        <color indexed="8"/>
      </top>
      <bottom style="thin">
        <color indexed="64"/>
      </bottom>
      <diagonal/>
    </border>
    <border>
      <left style="thin">
        <color indexed="63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6">
    <xf numFmtId="0" fontId="0" fillId="0" borderId="0"/>
    <xf numFmtId="174" fontId="20" fillId="0" borderId="0" applyFill="0" applyBorder="0" applyAlignment="0" applyProtection="0"/>
    <xf numFmtId="164" fontId="20" fillId="0" borderId="0"/>
    <xf numFmtId="165" fontId="20" fillId="0" borderId="0"/>
    <xf numFmtId="9" fontId="20" fillId="0" borderId="0"/>
    <xf numFmtId="0" fontId="52" fillId="0" borderId="0" applyNumberFormat="0" applyFill="0" applyBorder="0" applyAlignment="0" applyProtection="0"/>
  </cellStyleXfs>
  <cellXfs count="477">
    <xf numFmtId="0" fontId="0" fillId="0" borderId="0" xfId="0"/>
    <xf numFmtId="0" fontId="0" fillId="0" borderId="0" xfId="0" applyFont="1"/>
    <xf numFmtId="0" fontId="1" fillId="0" borderId="0" xfId="0" applyFont="1"/>
    <xf numFmtId="0" fontId="1" fillId="0" borderId="0" xfId="0" applyFont="1" applyAlignment="1">
      <alignment horizontal="left"/>
    </xf>
    <xf numFmtId="0" fontId="2" fillId="0" borderId="0" xfId="0" applyFont="1"/>
    <xf numFmtId="0" fontId="0" fillId="0" borderId="0" xfId="0" applyFont="1" applyAlignment="1">
      <alignment horizontal="center"/>
    </xf>
    <xf numFmtId="16" fontId="0" fillId="0" borderId="0" xfId="0" applyNumberFormat="1" applyFont="1"/>
    <xf numFmtId="164" fontId="0" fillId="0" borderId="0" xfId="0" applyNumberFormat="1" applyFont="1"/>
    <xf numFmtId="164" fontId="1" fillId="0" borderId="2" xfId="0" applyNumberFormat="1" applyFont="1" applyBorder="1"/>
    <xf numFmtId="9" fontId="1" fillId="0" borderId="0" xfId="4" applyFont="1" applyBorder="1" applyAlignment="1" applyProtection="1"/>
    <xf numFmtId="165" fontId="0" fillId="0" borderId="0" xfId="3" applyFont="1" applyBorder="1" applyAlignment="1" applyProtection="1"/>
    <xf numFmtId="9" fontId="0" fillId="0" borderId="0" xfId="4" applyFont="1" applyBorder="1" applyAlignment="1" applyProtection="1"/>
    <xf numFmtId="164" fontId="1" fillId="0" borderId="0" xfId="0" applyNumberFormat="1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164" fontId="0" fillId="0" borderId="0" xfId="2" applyFont="1" applyBorder="1" applyAlignment="1" applyProtection="1"/>
    <xf numFmtId="164" fontId="0" fillId="0" borderId="0" xfId="0" applyNumberFormat="1"/>
    <xf numFmtId="10" fontId="20" fillId="0" borderId="0" xfId="4" applyNumberFormat="1"/>
    <xf numFmtId="167" fontId="0" fillId="0" borderId="0" xfId="0" applyNumberFormat="1"/>
    <xf numFmtId="168" fontId="0" fillId="0" borderId="0" xfId="4" applyNumberFormat="1" applyFont="1" applyBorder="1" applyAlignment="1" applyProtection="1"/>
    <xf numFmtId="0" fontId="7" fillId="0" borderId="0" xfId="0" applyFont="1"/>
    <xf numFmtId="0" fontId="7" fillId="0" borderId="0" xfId="0" applyFont="1" applyAlignment="1">
      <alignment horizontal="center"/>
    </xf>
    <xf numFmtId="14" fontId="0" fillId="0" borderId="0" xfId="0" applyNumberFormat="1" applyFont="1"/>
    <xf numFmtId="169" fontId="0" fillId="0" borderId="3" xfId="0" applyNumberFormat="1" applyBorder="1"/>
    <xf numFmtId="169" fontId="0" fillId="0" borderId="0" xfId="0" applyNumberFormat="1"/>
    <xf numFmtId="170" fontId="0" fillId="0" borderId="0" xfId="0" applyNumberFormat="1"/>
    <xf numFmtId="0" fontId="8" fillId="0" borderId="0" xfId="0" applyFont="1"/>
    <xf numFmtId="0" fontId="1" fillId="0" borderId="0" xfId="0" applyFont="1" applyBorder="1"/>
    <xf numFmtId="0" fontId="0" fillId="0" borderId="2" xfId="0" applyBorder="1"/>
    <xf numFmtId="0" fontId="9" fillId="0" borderId="0" xfId="0" applyFont="1"/>
    <xf numFmtId="0" fontId="11" fillId="0" borderId="0" xfId="0" applyFont="1"/>
    <xf numFmtId="0" fontId="12" fillId="0" borderId="0" xfId="0" applyFont="1"/>
    <xf numFmtId="0" fontId="14" fillId="0" borderId="0" xfId="0" applyFont="1"/>
    <xf numFmtId="0" fontId="13" fillId="0" borderId="0" xfId="0" applyFont="1"/>
    <xf numFmtId="0" fontId="0" fillId="0" borderId="0" xfId="0" applyBorder="1"/>
    <xf numFmtId="0" fontId="0" fillId="0" borderId="18" xfId="0" applyFont="1" applyBorder="1"/>
    <xf numFmtId="0" fontId="15" fillId="0" borderId="0" xfId="0" applyFont="1"/>
    <xf numFmtId="0" fontId="18" fillId="0" borderId="0" xfId="0" applyFont="1"/>
    <xf numFmtId="0" fontId="19" fillId="0" borderId="0" xfId="0" applyFont="1"/>
    <xf numFmtId="166" fontId="18" fillId="0" borderId="0" xfId="0" applyNumberFormat="1" applyFont="1"/>
    <xf numFmtId="0" fontId="18" fillId="0" borderId="6" xfId="0" applyFont="1" applyBorder="1"/>
    <xf numFmtId="166" fontId="18" fillId="0" borderId="6" xfId="0" applyNumberFormat="1" applyFont="1" applyBorder="1"/>
    <xf numFmtId="0" fontId="18" fillId="0" borderId="0" xfId="0" applyFont="1" applyBorder="1"/>
    <xf numFmtId="0" fontId="18" fillId="0" borderId="0" xfId="0" applyFont="1" applyFill="1"/>
    <xf numFmtId="166" fontId="18" fillId="0" borderId="0" xfId="0" applyNumberFormat="1" applyFont="1" applyBorder="1"/>
    <xf numFmtId="0" fontId="18" fillId="0" borderId="0" xfId="0" applyFont="1" applyFill="1" applyBorder="1"/>
    <xf numFmtId="175" fontId="18" fillId="0" borderId="0" xfId="0" applyNumberFormat="1" applyFont="1"/>
    <xf numFmtId="0" fontId="0" fillId="0" borderId="0" xfId="0" quotePrefix="1"/>
    <xf numFmtId="0" fontId="0" fillId="0" borderId="29" xfId="0" applyBorder="1"/>
    <xf numFmtId="174" fontId="0" fillId="0" borderId="0" xfId="1" applyFont="1" applyFill="1" applyBorder="1" applyAlignment="1" applyProtection="1"/>
    <xf numFmtId="0" fontId="21" fillId="0" borderId="0" xfId="0" applyFont="1"/>
    <xf numFmtId="0" fontId="21" fillId="0" borderId="0" xfId="0" applyFont="1" applyAlignment="1">
      <alignment horizontal="right"/>
    </xf>
    <xf numFmtId="0" fontId="22" fillId="0" borderId="0" xfId="0" applyFont="1"/>
    <xf numFmtId="0" fontId="21" fillId="0" borderId="0" xfId="0" applyFont="1" applyAlignment="1">
      <alignment horizontal="center"/>
    </xf>
    <xf numFmtId="0" fontId="21" fillId="0" borderId="0" xfId="0" applyFont="1" applyBorder="1"/>
    <xf numFmtId="0" fontId="23" fillId="0" borderId="0" xfId="0" applyFont="1"/>
    <xf numFmtId="0" fontId="24" fillId="0" borderId="0" xfId="0" applyFont="1"/>
    <xf numFmtId="165" fontId="21" fillId="0" borderId="0" xfId="0" applyNumberFormat="1" applyFont="1"/>
    <xf numFmtId="166" fontId="25" fillId="0" borderId="0" xfId="0" applyNumberFormat="1" applyFont="1"/>
    <xf numFmtId="0" fontId="21" fillId="2" borderId="0" xfId="0" applyFont="1" applyFill="1"/>
    <xf numFmtId="164" fontId="24" fillId="0" borderId="0" xfId="2" applyFont="1" applyBorder="1" applyAlignment="1" applyProtection="1">
      <alignment horizontal="center"/>
    </xf>
    <xf numFmtId="0" fontId="21" fillId="2" borderId="0" xfId="0" applyFont="1" applyFill="1" applyAlignment="1">
      <alignment horizontal="center"/>
    </xf>
    <xf numFmtId="0" fontId="21" fillId="2" borderId="0" xfId="0" applyFont="1" applyFill="1" applyAlignment="1">
      <alignment horizontal="right"/>
    </xf>
    <xf numFmtId="0" fontId="26" fillId="0" borderId="0" xfId="0" applyFont="1"/>
    <xf numFmtId="0" fontId="21" fillId="0" borderId="32" xfId="0" applyFont="1" applyBorder="1"/>
    <xf numFmtId="0" fontId="21" fillId="0" borderId="33" xfId="0" applyFont="1" applyBorder="1"/>
    <xf numFmtId="0" fontId="21" fillId="4" borderId="32" xfId="0" applyFont="1" applyFill="1" applyBorder="1"/>
    <xf numFmtId="166" fontId="21" fillId="0" borderId="0" xfId="0" applyNumberFormat="1" applyFont="1" applyAlignment="1">
      <alignment horizontal="center" vertical="center"/>
    </xf>
    <xf numFmtId="0" fontId="21" fillId="0" borderId="29" xfId="0" applyFont="1" applyBorder="1"/>
    <xf numFmtId="0" fontId="27" fillId="0" borderId="0" xfId="0" applyFont="1"/>
    <xf numFmtId="0" fontId="28" fillId="0" borderId="0" xfId="0" applyFont="1" applyAlignment="1">
      <alignment horizontal="left"/>
    </xf>
    <xf numFmtId="0" fontId="28" fillId="0" borderId="0" xfId="0" applyFont="1"/>
    <xf numFmtId="0" fontId="29" fillId="0" borderId="0" xfId="0" applyFont="1"/>
    <xf numFmtId="165" fontId="26" fillId="0" borderId="0" xfId="3" applyFont="1" applyBorder="1" applyAlignment="1" applyProtection="1"/>
    <xf numFmtId="164" fontId="28" fillId="0" borderId="0" xfId="2" applyFont="1" applyBorder="1" applyAlignment="1" applyProtection="1"/>
    <xf numFmtId="165" fontId="26" fillId="0" borderId="0" xfId="0" applyNumberFormat="1" applyFont="1"/>
    <xf numFmtId="4" fontId="24" fillId="0" borderId="0" xfId="0" applyNumberFormat="1" applyFont="1" applyBorder="1"/>
    <xf numFmtId="0" fontId="21" fillId="4" borderId="0" xfId="0" applyFont="1" applyFill="1" applyBorder="1"/>
    <xf numFmtId="0" fontId="26" fillId="5" borderId="0" xfId="0" applyFont="1" applyFill="1"/>
    <xf numFmtId="165" fontId="26" fillId="5" borderId="0" xfId="0" applyNumberFormat="1" applyFont="1" applyFill="1"/>
    <xf numFmtId="0" fontId="21" fillId="4" borderId="0" xfId="0" applyFont="1" applyFill="1"/>
    <xf numFmtId="0" fontId="21" fillId="4" borderId="0" xfId="0" applyFont="1" applyFill="1" applyAlignment="1">
      <alignment horizontal="center"/>
    </xf>
    <xf numFmtId="0" fontId="21" fillId="4" borderId="0" xfId="0" applyFont="1" applyFill="1" applyAlignment="1">
      <alignment horizontal="right"/>
    </xf>
    <xf numFmtId="0" fontId="21" fillId="5" borderId="0" xfId="0" applyFont="1" applyFill="1" applyBorder="1"/>
    <xf numFmtId="166" fontId="25" fillId="5" borderId="0" xfId="0" applyNumberFormat="1" applyFont="1" applyFill="1"/>
    <xf numFmtId="0" fontId="21" fillId="5" borderId="0" xfId="0" applyFont="1" applyFill="1"/>
    <xf numFmtId="0" fontId="21" fillId="0" borderId="30" xfId="0" applyFont="1" applyBorder="1"/>
    <xf numFmtId="176" fontId="21" fillId="0" borderId="30" xfId="0" applyNumberFormat="1" applyFont="1" applyBorder="1"/>
    <xf numFmtId="0" fontId="21" fillId="6" borderId="0" xfId="0" applyFont="1" applyFill="1"/>
    <xf numFmtId="0" fontId="21" fillId="6" borderId="0" xfId="0" applyFont="1" applyFill="1" applyAlignment="1">
      <alignment horizontal="center"/>
    </xf>
    <xf numFmtId="0" fontId="21" fillId="6" borderId="0" xfId="0" applyFont="1" applyFill="1" applyAlignment="1">
      <alignment horizontal="right"/>
    </xf>
    <xf numFmtId="0" fontId="26" fillId="0" borderId="0" xfId="0" applyFont="1" applyFill="1"/>
    <xf numFmtId="166" fontId="25" fillId="0" borderId="38" xfId="0" applyNumberFormat="1" applyFont="1" applyBorder="1"/>
    <xf numFmtId="0" fontId="21" fillId="6" borderId="37" xfId="0" applyFont="1" applyFill="1" applyBorder="1" applyAlignment="1">
      <alignment horizontal="right"/>
    </xf>
    <xf numFmtId="8" fontId="18" fillId="0" borderId="0" xfId="0" applyNumberFormat="1" applyFont="1" applyBorder="1"/>
    <xf numFmtId="175" fontId="18" fillId="0" borderId="31" xfId="0" applyNumberFormat="1" applyFont="1" applyBorder="1"/>
    <xf numFmtId="176" fontId="21" fillId="0" borderId="0" xfId="0" applyNumberFormat="1" applyFont="1" applyBorder="1"/>
    <xf numFmtId="0" fontId="30" fillId="0" borderId="0" xfId="0" applyFont="1"/>
    <xf numFmtId="0" fontId="0" fillId="0" borderId="29" xfId="0" applyFont="1" applyBorder="1"/>
    <xf numFmtId="0" fontId="18" fillId="8" borderId="0" xfId="0" applyFont="1" applyFill="1" applyBorder="1"/>
    <xf numFmtId="166" fontId="18" fillId="8" borderId="0" xfId="0" applyNumberFormat="1" applyFont="1" applyFill="1" applyBorder="1"/>
    <xf numFmtId="0" fontId="1" fillId="0" borderId="37" xfId="0" applyFont="1" applyBorder="1"/>
    <xf numFmtId="0" fontId="0" fillId="0" borderId="37" xfId="0" applyFont="1" applyBorder="1"/>
    <xf numFmtId="0" fontId="0" fillId="0" borderId="37" xfId="0" applyBorder="1" applyAlignment="1">
      <alignment horizontal="center"/>
    </xf>
    <xf numFmtId="0" fontId="0" fillId="0" borderId="0" xfId="0" applyAlignment="1"/>
    <xf numFmtId="0" fontId="31" fillId="0" borderId="0" xfId="0" applyFont="1"/>
    <xf numFmtId="0" fontId="32" fillId="3" borderId="0" xfId="0" applyFont="1" applyFill="1" applyAlignment="1">
      <alignment horizontal="center"/>
    </xf>
    <xf numFmtId="0" fontId="31" fillId="0" borderId="0" xfId="0" applyFont="1" applyAlignment="1">
      <alignment horizontal="right"/>
    </xf>
    <xf numFmtId="0" fontId="31" fillId="3" borderId="0" xfId="0" applyFont="1" applyFill="1" applyAlignment="1">
      <alignment horizontal="center"/>
    </xf>
    <xf numFmtId="0" fontId="31" fillId="0" borderId="0" xfId="0" applyFont="1" applyFill="1"/>
    <xf numFmtId="0" fontId="31" fillId="8" borderId="0" xfId="0" applyFont="1" applyFill="1"/>
    <xf numFmtId="0" fontId="31" fillId="7" borderId="0" xfId="0" applyFont="1" applyFill="1" applyAlignment="1">
      <alignment horizontal="center"/>
    </xf>
    <xf numFmtId="0" fontId="31" fillId="0" borderId="0" xfId="0" applyFont="1" applyFill="1" applyAlignment="1">
      <alignment horizontal="center"/>
    </xf>
    <xf numFmtId="0" fontId="31" fillId="0" borderId="0" xfId="0" applyFont="1" applyFill="1" applyBorder="1"/>
    <xf numFmtId="0" fontId="33" fillId="0" borderId="0" xfId="0" applyFont="1" applyFill="1" applyAlignment="1">
      <alignment horizontal="center"/>
    </xf>
    <xf numFmtId="0" fontId="31" fillId="0" borderId="0" xfId="0" applyFont="1" applyAlignment="1">
      <alignment horizontal="center"/>
    </xf>
    <xf numFmtId="171" fontId="31" fillId="0" borderId="0" xfId="0" applyNumberFormat="1" applyFont="1"/>
    <xf numFmtId="0" fontId="35" fillId="0" borderId="0" xfId="0" applyFont="1" applyAlignment="1">
      <alignment horizontal="center"/>
    </xf>
    <xf numFmtId="14" fontId="21" fillId="0" borderId="0" xfId="0" applyNumberFormat="1" applyFont="1"/>
    <xf numFmtId="174" fontId="20" fillId="0" borderId="0" xfId="1"/>
    <xf numFmtId="174" fontId="20" fillId="0" borderId="0" xfId="1" applyBorder="1" applyAlignment="1" applyProtection="1"/>
    <xf numFmtId="0" fontId="18" fillId="9" borderId="6" xfId="0" applyFont="1" applyFill="1" applyBorder="1"/>
    <xf numFmtId="175" fontId="18" fillId="9" borderId="6" xfId="0" applyNumberFormat="1" applyFont="1" applyFill="1" applyBorder="1"/>
    <xf numFmtId="164" fontId="20" fillId="9" borderId="31" xfId="2" applyFill="1" applyBorder="1"/>
    <xf numFmtId="0" fontId="35" fillId="0" borderId="0" xfId="0" applyFont="1"/>
    <xf numFmtId="0" fontId="0" fillId="0" borderId="0" xfId="0" applyAlignment="1">
      <alignment horizontal="right"/>
    </xf>
    <xf numFmtId="164" fontId="1" fillId="0" borderId="0" xfId="2" applyFont="1"/>
    <xf numFmtId="174" fontId="20" fillId="9" borderId="31" xfId="1" applyFill="1" applyBorder="1"/>
    <xf numFmtId="0" fontId="0" fillId="0" borderId="0" xfId="0" applyAlignment="1">
      <alignment horizontal="center"/>
    </xf>
    <xf numFmtId="0" fontId="0" fillId="0" borderId="37" xfId="0" applyBorder="1"/>
    <xf numFmtId="14" fontId="0" fillId="0" borderId="0" xfId="0" applyNumberFormat="1"/>
    <xf numFmtId="0" fontId="0" fillId="0" borderId="0" xfId="0" applyFill="1" applyBorder="1"/>
    <xf numFmtId="0" fontId="34" fillId="0" borderId="31" xfId="0" applyFont="1" applyBorder="1" applyAlignment="1">
      <alignment horizontal="center"/>
    </xf>
    <xf numFmtId="0" fontId="36" fillId="0" borderId="37" xfId="0" applyFont="1" applyBorder="1" applyAlignment="1">
      <alignment horizontal="center"/>
    </xf>
    <xf numFmtId="0" fontId="17" fillId="0" borderId="0" xfId="0" applyFont="1" applyBorder="1"/>
    <xf numFmtId="0" fontId="17" fillId="0" borderId="0" xfId="0" applyFont="1"/>
    <xf numFmtId="0" fontId="7" fillId="0" borderId="0" xfId="0" applyFont="1" applyBorder="1"/>
    <xf numFmtId="164" fontId="20" fillId="0" borderId="0" xfId="2"/>
    <xf numFmtId="0" fontId="24" fillId="0" borderId="30" xfId="0" applyFont="1" applyBorder="1"/>
    <xf numFmtId="0" fontId="1" fillId="0" borderId="0" xfId="0" applyFont="1" applyAlignment="1">
      <alignment horizontal="center"/>
    </xf>
    <xf numFmtId="0" fontId="37" fillId="0" borderId="0" xfId="0" applyFont="1"/>
    <xf numFmtId="0" fontId="37" fillId="0" borderId="0" xfId="0" applyFont="1" applyAlignment="1">
      <alignment horizontal="left"/>
    </xf>
    <xf numFmtId="0" fontId="38" fillId="0" borderId="0" xfId="0" applyFont="1"/>
    <xf numFmtId="0" fontId="38" fillId="5" borderId="0" xfId="0" applyFont="1" applyFill="1"/>
    <xf numFmtId="165" fontId="38" fillId="0" borderId="0" xfId="3" applyFont="1" applyBorder="1" applyAlignment="1" applyProtection="1"/>
    <xf numFmtId="165" fontId="38" fillId="0" borderId="0" xfId="0" applyNumberFormat="1" applyFont="1"/>
    <xf numFmtId="165" fontId="38" fillId="5" borderId="0" xfId="0" applyNumberFormat="1" applyFont="1" applyFill="1"/>
    <xf numFmtId="0" fontId="38" fillId="6" borderId="0" xfId="0" applyFont="1" applyFill="1"/>
    <xf numFmtId="0" fontId="38" fillId="4" borderId="0" xfId="0" applyFont="1" applyFill="1"/>
    <xf numFmtId="0" fontId="38" fillId="6" borderId="0" xfId="0" applyFont="1" applyFill="1" applyAlignment="1">
      <alignment horizontal="center"/>
    </xf>
    <xf numFmtId="0" fontId="38" fillId="4" borderId="0" xfId="0" applyFont="1" applyFill="1" applyAlignment="1">
      <alignment horizontal="center"/>
    </xf>
    <xf numFmtId="0" fontId="38" fillId="6" borderId="0" xfId="0" applyFont="1" applyFill="1" applyAlignment="1">
      <alignment horizontal="right"/>
    </xf>
    <xf numFmtId="0" fontId="38" fillId="4" borderId="0" xfId="0" applyFont="1" applyFill="1" applyAlignment="1">
      <alignment horizontal="right"/>
    </xf>
    <xf numFmtId="0" fontId="38" fillId="6" borderId="37" xfId="0" applyFont="1" applyFill="1" applyBorder="1" applyAlignment="1">
      <alignment horizontal="right"/>
    </xf>
    <xf numFmtId="0" fontId="38" fillId="4" borderId="0" xfId="0" applyFont="1" applyFill="1" applyBorder="1"/>
    <xf numFmtId="0" fontId="38" fillId="0" borderId="33" xfId="0" applyFont="1" applyBorder="1"/>
    <xf numFmtId="0" fontId="38" fillId="5" borderId="0" xfId="0" applyFont="1" applyFill="1" applyBorder="1"/>
    <xf numFmtId="0" fontId="38" fillId="0" borderId="0" xfId="0" applyFont="1" applyBorder="1"/>
    <xf numFmtId="166" fontId="39" fillId="0" borderId="38" xfId="0" applyNumberFormat="1" applyFont="1" applyBorder="1"/>
    <xf numFmtId="166" fontId="39" fillId="5" borderId="0" xfId="0" applyNumberFormat="1" applyFont="1" applyFill="1"/>
    <xf numFmtId="165" fontId="0" fillId="0" borderId="33" xfId="3" applyFont="1" applyBorder="1" applyAlignment="1" applyProtection="1"/>
    <xf numFmtId="0" fontId="0" fillId="0" borderId="0" xfId="0" applyFont="1" applyBorder="1"/>
    <xf numFmtId="165" fontId="0" fillId="0" borderId="48" xfId="3" applyFont="1" applyBorder="1" applyAlignment="1" applyProtection="1"/>
    <xf numFmtId="0" fontId="9" fillId="0" borderId="0" xfId="0" applyFont="1" applyFill="1"/>
    <xf numFmtId="0" fontId="0" fillId="0" borderId="0" xfId="0" applyFill="1"/>
    <xf numFmtId="0" fontId="10" fillId="0" borderId="0" xfId="0" applyFont="1" applyFill="1"/>
    <xf numFmtId="0" fontId="0" fillId="0" borderId="0" xfId="0" applyFont="1" applyFill="1"/>
    <xf numFmtId="0" fontId="0" fillId="0" borderId="0" xfId="0" applyFont="1" applyFill="1" applyAlignment="1">
      <alignment horizontal="center" vertical="center"/>
    </xf>
    <xf numFmtId="0" fontId="12" fillId="0" borderId="0" xfId="0" applyFont="1" applyFill="1"/>
    <xf numFmtId="0" fontId="2" fillId="0" borderId="0" xfId="0" applyFont="1" applyFill="1"/>
    <xf numFmtId="0" fontId="0" fillId="0" borderId="6" xfId="0" applyFill="1" applyBorder="1"/>
    <xf numFmtId="0" fontId="0" fillId="0" borderId="9" xfId="0" applyFill="1" applyBorder="1"/>
    <xf numFmtId="0" fontId="0" fillId="0" borderId="8" xfId="0" applyFill="1" applyBorder="1"/>
    <xf numFmtId="0" fontId="0" fillId="0" borderId="9" xfId="0" applyFont="1" applyFill="1" applyBorder="1" applyAlignment="1">
      <alignment horizontal="center"/>
    </xf>
    <xf numFmtId="0" fontId="0" fillId="0" borderId="10" xfId="0" applyFill="1" applyBorder="1"/>
    <xf numFmtId="0" fontId="0" fillId="0" borderId="8" xfId="0" applyFont="1" applyFill="1" applyBorder="1" applyAlignment="1">
      <alignment horizontal="center"/>
    </xf>
    <xf numFmtId="0" fontId="13" fillId="0" borderId="10" xfId="0" applyFont="1" applyFill="1" applyBorder="1"/>
    <xf numFmtId="0" fontId="0" fillId="0" borderId="39" xfId="0" applyFont="1" applyFill="1" applyBorder="1" applyAlignment="1">
      <alignment horizontal="center"/>
    </xf>
    <xf numFmtId="0" fontId="13" fillId="0" borderId="40" xfId="0" applyFont="1" applyFill="1" applyBorder="1"/>
    <xf numFmtId="0" fontId="2" fillId="0" borderId="0" xfId="0" applyFont="1" applyFill="1" applyBorder="1"/>
    <xf numFmtId="0" fontId="0" fillId="0" borderId="11" xfId="0" applyFill="1" applyBorder="1"/>
    <xf numFmtId="0" fontId="0" fillId="0" borderId="12" xfId="0" applyFill="1" applyBorder="1"/>
    <xf numFmtId="0" fontId="0" fillId="0" borderId="13" xfId="0" applyFill="1" applyBorder="1"/>
    <xf numFmtId="0" fontId="13" fillId="0" borderId="13" xfId="0" applyFont="1" applyFill="1" applyBorder="1"/>
    <xf numFmtId="0" fontId="0" fillId="0" borderId="11" xfId="0" applyFont="1" applyFill="1" applyBorder="1" applyAlignment="1">
      <alignment horizontal="center"/>
    </xf>
    <xf numFmtId="166" fontId="13" fillId="0" borderId="13" xfId="0" applyNumberFormat="1" applyFont="1" applyFill="1" applyBorder="1"/>
    <xf numFmtId="0" fontId="12" fillId="0" borderId="11" xfId="0" applyFont="1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12" fillId="0" borderId="16" xfId="0" applyFont="1" applyFill="1" applyBorder="1" applyAlignment="1">
      <alignment horizontal="center"/>
    </xf>
    <xf numFmtId="0" fontId="0" fillId="0" borderId="0" xfId="0" applyFont="1" applyFill="1" applyBorder="1"/>
    <xf numFmtId="0" fontId="0" fillId="0" borderId="41" xfId="0" applyFill="1" applyBorder="1" applyAlignment="1">
      <alignment horizontal="center"/>
    </xf>
    <xf numFmtId="166" fontId="13" fillId="0" borderId="42" xfId="0" applyNumberFormat="1" applyFont="1" applyFill="1" applyBorder="1"/>
    <xf numFmtId="0" fontId="0" fillId="0" borderId="14" xfId="0" applyFont="1" applyFill="1" applyBorder="1"/>
    <xf numFmtId="0" fontId="13" fillId="0" borderId="0" xfId="0" applyFont="1" applyFill="1" applyBorder="1"/>
    <xf numFmtId="0" fontId="0" fillId="0" borderId="39" xfId="0" applyFill="1" applyBorder="1"/>
    <xf numFmtId="0" fontId="13" fillId="0" borderId="17" xfId="0" applyFont="1" applyFill="1" applyBorder="1"/>
    <xf numFmtId="0" fontId="0" fillId="0" borderId="15" xfId="0" applyFont="1" applyFill="1" applyBorder="1"/>
    <xf numFmtId="0" fontId="0" fillId="0" borderId="16" xfId="0" applyFill="1" applyBorder="1"/>
    <xf numFmtId="0" fontId="0" fillId="0" borderId="1" xfId="0" applyFont="1" applyFill="1" applyBorder="1"/>
    <xf numFmtId="0" fontId="13" fillId="0" borderId="44" xfId="0" applyFont="1" applyFill="1" applyBorder="1"/>
    <xf numFmtId="0" fontId="0" fillId="0" borderId="45" xfId="0" applyFill="1" applyBorder="1"/>
    <xf numFmtId="0" fontId="0" fillId="0" borderId="1" xfId="0" applyFill="1" applyBorder="1"/>
    <xf numFmtId="2" fontId="0" fillId="0" borderId="43" xfId="0" applyNumberFormat="1" applyFill="1" applyBorder="1"/>
    <xf numFmtId="0" fontId="0" fillId="0" borderId="19" xfId="0" applyFill="1" applyBorder="1"/>
    <xf numFmtId="0" fontId="13" fillId="0" borderId="20" xfId="0" applyFont="1" applyFill="1" applyBorder="1"/>
    <xf numFmtId="0" fontId="0" fillId="0" borderId="4" xfId="0" applyFill="1" applyBorder="1"/>
    <xf numFmtId="2" fontId="0" fillId="0" borderId="46" xfId="0" applyNumberFormat="1" applyFill="1" applyBorder="1"/>
    <xf numFmtId="0" fontId="13" fillId="0" borderId="42" xfId="0" applyFont="1" applyFill="1" applyBorder="1"/>
    <xf numFmtId="0" fontId="0" fillId="0" borderId="21" xfId="0" applyFill="1" applyBorder="1"/>
    <xf numFmtId="0" fontId="0" fillId="0" borderId="22" xfId="0" applyFill="1" applyBorder="1"/>
    <xf numFmtId="0" fontId="0" fillId="0" borderId="23" xfId="0" applyFill="1" applyBorder="1"/>
    <xf numFmtId="0" fontId="0" fillId="0" borderId="24" xfId="0" applyFill="1" applyBorder="1"/>
    <xf numFmtId="0" fontId="0" fillId="0" borderId="2" xfId="0" applyFill="1" applyBorder="1"/>
    <xf numFmtId="2" fontId="0" fillId="0" borderId="11" xfId="0" applyNumberFormat="1" applyFill="1" applyBorder="1"/>
    <xf numFmtId="0" fontId="16" fillId="0" borderId="0" xfId="0" applyFont="1" applyFill="1"/>
    <xf numFmtId="0" fontId="0" fillId="0" borderId="0" xfId="0" applyFont="1" applyFill="1" applyAlignment="1">
      <alignment horizontal="center"/>
    </xf>
    <xf numFmtId="0" fontId="17" fillId="0" borderId="0" xfId="0" applyFont="1" applyFill="1" applyAlignment="1">
      <alignment horizontal="center"/>
    </xf>
    <xf numFmtId="0" fontId="0" fillId="0" borderId="3" xfId="0" applyFill="1" applyBorder="1" applyAlignment="1">
      <alignment horizontal="right"/>
    </xf>
    <xf numFmtId="0" fontId="12" fillId="0" borderId="3" xfId="0" applyFont="1" applyFill="1" applyBorder="1" applyAlignment="1">
      <alignment horizontal="right"/>
    </xf>
    <xf numFmtId="166" fontId="12" fillId="0" borderId="0" xfId="0" applyNumberFormat="1" applyFont="1" applyFill="1"/>
    <xf numFmtId="0" fontId="6" fillId="0" borderId="0" xfId="0" applyFont="1" applyFill="1"/>
    <xf numFmtId="0" fontId="1" fillId="0" borderId="0" xfId="0" applyFont="1" applyFill="1"/>
    <xf numFmtId="1" fontId="0" fillId="0" borderId="30" xfId="0" applyNumberFormat="1" applyFill="1" applyBorder="1"/>
    <xf numFmtId="0" fontId="0" fillId="0" borderId="0" xfId="0" applyFont="1" applyFill="1" applyBorder="1" applyAlignment="1">
      <alignment horizontal="center"/>
    </xf>
    <xf numFmtId="0" fontId="17" fillId="0" borderId="0" xfId="0" applyFont="1" applyFill="1" applyBorder="1" applyAlignment="1">
      <alignment horizontal="center"/>
    </xf>
    <xf numFmtId="0" fontId="17" fillId="0" borderId="0" xfId="0" applyFont="1" applyFill="1" applyBorder="1"/>
    <xf numFmtId="0" fontId="0" fillId="0" borderId="0" xfId="0" applyFont="1" applyFill="1" applyBorder="1" applyAlignment="1">
      <alignment vertical="center"/>
    </xf>
    <xf numFmtId="0" fontId="17" fillId="0" borderId="0" xfId="0" applyFont="1" applyFill="1" applyAlignment="1">
      <alignment horizontal="center" vertical="center"/>
    </xf>
    <xf numFmtId="166" fontId="0" fillId="0" borderId="0" xfId="0" applyNumberFormat="1" applyFill="1" applyBorder="1"/>
    <xf numFmtId="172" fontId="0" fillId="0" borderId="0" xfId="0" applyNumberFormat="1" applyFill="1"/>
    <xf numFmtId="2" fontId="0" fillId="0" borderId="0" xfId="0" applyNumberFormat="1" applyFill="1"/>
    <xf numFmtId="177" fontId="0" fillId="0" borderId="0" xfId="0" applyNumberFormat="1" applyFill="1" applyBorder="1"/>
    <xf numFmtId="2" fontId="0" fillId="0" borderId="0" xfId="0" applyNumberFormat="1" applyFill="1" applyBorder="1"/>
    <xf numFmtId="173" fontId="0" fillId="0" borderId="0" xfId="0" applyNumberFormat="1" applyFill="1" applyBorder="1"/>
    <xf numFmtId="166" fontId="0" fillId="0" borderId="0" xfId="0" applyNumberFormat="1" applyFill="1"/>
    <xf numFmtId="14" fontId="0" fillId="0" borderId="0" xfId="0" quotePrefix="1" applyNumberFormat="1" applyFill="1"/>
    <xf numFmtId="166" fontId="0" fillId="0" borderId="0" xfId="0" applyNumberFormat="1" applyFill="1" applyAlignment="1">
      <alignment horizontal="left"/>
    </xf>
    <xf numFmtId="0" fontId="0" fillId="0" borderId="25" xfId="0" applyFill="1" applyBorder="1"/>
    <xf numFmtId="164" fontId="0" fillId="0" borderId="0" xfId="2" applyFont="1" applyFill="1" applyBorder="1" applyAlignment="1" applyProtection="1"/>
    <xf numFmtId="164" fontId="12" fillId="0" borderId="2" xfId="0" applyNumberFormat="1" applyFont="1" applyFill="1" applyBorder="1"/>
    <xf numFmtId="17" fontId="0" fillId="0" borderId="0" xfId="0" applyNumberFormat="1"/>
    <xf numFmtId="0" fontId="40" fillId="0" borderId="0" xfId="0" applyFont="1"/>
    <xf numFmtId="0" fontId="41" fillId="0" borderId="0" xfId="0" applyFont="1"/>
    <xf numFmtId="0" fontId="42" fillId="0" borderId="0" xfId="0" applyFont="1"/>
    <xf numFmtId="174" fontId="42" fillId="0" borderId="0" xfId="1" applyFont="1"/>
    <xf numFmtId="10" fontId="42" fillId="0" borderId="0" xfId="4" applyNumberFormat="1" applyFont="1"/>
    <xf numFmtId="0" fontId="0" fillId="0" borderId="31" xfId="0" applyFill="1" applyBorder="1"/>
    <xf numFmtId="0" fontId="0" fillId="0" borderId="49" xfId="0" applyFill="1" applyBorder="1"/>
    <xf numFmtId="0" fontId="0" fillId="0" borderId="40" xfId="0" applyFill="1" applyBorder="1"/>
    <xf numFmtId="0" fontId="0" fillId="0" borderId="41" xfId="0" applyFill="1" applyBorder="1"/>
    <xf numFmtId="0" fontId="0" fillId="0" borderId="42" xfId="0" applyFill="1" applyBorder="1"/>
    <xf numFmtId="0" fontId="0" fillId="0" borderId="44" xfId="0" applyFill="1" applyBorder="1"/>
    <xf numFmtId="0" fontId="0" fillId="0" borderId="50" xfId="0" applyFill="1" applyBorder="1"/>
    <xf numFmtId="0" fontId="13" fillId="0" borderId="24" xfId="0" applyFont="1" applyFill="1" applyBorder="1"/>
    <xf numFmtId="0" fontId="13" fillId="0" borderId="22" xfId="0" applyFont="1" applyFill="1" applyBorder="1"/>
    <xf numFmtId="0" fontId="0" fillId="0" borderId="38" xfId="0" applyFill="1" applyBorder="1"/>
    <xf numFmtId="0" fontId="43" fillId="0" borderId="0" xfId="0" applyFont="1"/>
    <xf numFmtId="0" fontId="21" fillId="0" borderId="52" xfId="0" applyFont="1" applyBorder="1"/>
    <xf numFmtId="0" fontId="21" fillId="0" borderId="53" xfId="0" applyFont="1" applyBorder="1"/>
    <xf numFmtId="0" fontId="21" fillId="0" borderId="0" xfId="0" applyFont="1" applyFill="1"/>
    <xf numFmtId="164" fontId="24" fillId="0" borderId="0" xfId="2" applyFont="1" applyBorder="1" applyAlignment="1" applyProtection="1"/>
    <xf numFmtId="178" fontId="24" fillId="0" borderId="0" xfId="0" applyNumberFormat="1" applyFont="1" applyAlignment="1"/>
    <xf numFmtId="174" fontId="20" fillId="0" borderId="0" xfId="1" applyBorder="1"/>
    <xf numFmtId="0" fontId="22" fillId="0" borderId="0" xfId="0" applyFont="1" applyFill="1"/>
    <xf numFmtId="164" fontId="40" fillId="0" borderId="0" xfId="2" applyFont="1"/>
    <xf numFmtId="166" fontId="21" fillId="0" borderId="0" xfId="0" applyNumberFormat="1" applyFont="1"/>
    <xf numFmtId="172" fontId="24" fillId="0" borderId="0" xfId="0" applyNumberFormat="1" applyFont="1"/>
    <xf numFmtId="165" fontId="28" fillId="0" borderId="0" xfId="0" applyNumberFormat="1" applyFont="1"/>
    <xf numFmtId="0" fontId="44" fillId="0" borderId="0" xfId="0" applyFont="1"/>
    <xf numFmtId="0" fontId="36" fillId="0" borderId="0" xfId="0" applyFont="1"/>
    <xf numFmtId="175" fontId="18" fillId="0" borderId="0" xfId="0" applyNumberFormat="1" applyFont="1" applyFill="1" applyBorder="1"/>
    <xf numFmtId="0" fontId="35" fillId="0" borderId="0" xfId="0" applyFont="1" applyAlignment="1">
      <alignment horizontal="right"/>
    </xf>
    <xf numFmtId="0" fontId="45" fillId="0" borderId="0" xfId="0" applyFont="1"/>
    <xf numFmtId="164" fontId="20" fillId="0" borderId="0" xfId="2" applyFill="1" applyBorder="1"/>
    <xf numFmtId="166" fontId="18" fillId="0" borderId="0" xfId="0" applyNumberFormat="1" applyFont="1" applyFill="1" applyBorder="1"/>
    <xf numFmtId="0" fontId="0" fillId="0" borderId="0" xfId="0" applyFill="1" applyAlignment="1">
      <alignment horizontal="center" vertical="center"/>
    </xf>
    <xf numFmtId="0" fontId="46" fillId="0" borderId="34" xfId="0" applyFont="1" applyFill="1" applyBorder="1" applyAlignment="1">
      <alignment horizontal="center"/>
    </xf>
    <xf numFmtId="0" fontId="46" fillId="0" borderId="31" xfId="0" applyFont="1" applyFill="1" applyBorder="1" applyAlignment="1">
      <alignment horizontal="center"/>
    </xf>
    <xf numFmtId="0" fontId="0" fillId="0" borderId="29" xfId="0" applyFill="1" applyBorder="1"/>
    <xf numFmtId="0" fontId="0" fillId="0" borderId="6" xfId="0" applyFont="1" applyFill="1" applyBorder="1"/>
    <xf numFmtId="0" fontId="0" fillId="0" borderId="6" xfId="0" applyFont="1" applyFill="1" applyBorder="1" applyAlignment="1">
      <alignment horizontal="center"/>
    </xf>
    <xf numFmtId="0" fontId="0" fillId="0" borderId="7" xfId="0" applyFont="1" applyFill="1" applyBorder="1"/>
    <xf numFmtId="0" fontId="0" fillId="0" borderId="9" xfId="0" applyFont="1" applyFill="1" applyBorder="1"/>
    <xf numFmtId="0" fontId="0" fillId="7" borderId="0" xfId="0" applyFill="1"/>
    <xf numFmtId="0" fontId="0" fillId="7" borderId="16" xfId="0" applyFill="1" applyBorder="1"/>
    <xf numFmtId="0" fontId="13" fillId="0" borderId="29" xfId="0" applyFont="1" applyFill="1" applyBorder="1"/>
    <xf numFmtId="0" fontId="13" fillId="0" borderId="0" xfId="0" applyFont="1" applyBorder="1"/>
    <xf numFmtId="0" fontId="13" fillId="0" borderId="0" xfId="0" applyFont="1" applyAlignment="1">
      <alignment horizontal="center"/>
    </xf>
    <xf numFmtId="0" fontId="0" fillId="0" borderId="0" xfId="0" quotePrefix="1" applyFill="1"/>
    <xf numFmtId="0" fontId="12" fillId="0" borderId="0" xfId="0" applyFont="1" applyFill="1" applyBorder="1" applyAlignment="1">
      <alignment horizontal="center"/>
    </xf>
    <xf numFmtId="0" fontId="0" fillId="0" borderId="32" xfId="0" applyFill="1" applyBorder="1"/>
    <xf numFmtId="2" fontId="0" fillId="0" borderId="37" xfId="0" applyNumberFormat="1" applyFill="1" applyBorder="1"/>
    <xf numFmtId="179" fontId="47" fillId="0" borderId="0" xfId="0" applyNumberFormat="1" applyFont="1" applyFill="1" applyBorder="1" applyAlignment="1">
      <alignment horizontal="center"/>
    </xf>
    <xf numFmtId="179" fontId="47" fillId="0" borderId="29" xfId="0" applyNumberFormat="1" applyFont="1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1" fillId="0" borderId="31" xfId="0" applyFont="1" applyFill="1" applyBorder="1" applyAlignment="1">
      <alignment horizontal="center"/>
    </xf>
    <xf numFmtId="0" fontId="0" fillId="0" borderId="54" xfId="0" applyFill="1" applyBorder="1"/>
    <xf numFmtId="0" fontId="0" fillId="0" borderId="55" xfId="0" applyFill="1" applyBorder="1"/>
    <xf numFmtId="0" fontId="1" fillId="0" borderId="55" xfId="0" applyFont="1" applyFill="1" applyBorder="1" applyAlignment="1">
      <alignment horizontal="center"/>
    </xf>
    <xf numFmtId="0" fontId="0" fillId="0" borderId="56" xfId="0" applyFill="1" applyBorder="1"/>
    <xf numFmtId="0" fontId="0" fillId="0" borderId="57" xfId="0" applyFont="1" applyFill="1" applyBorder="1" applyAlignment="1">
      <alignment horizontal="center"/>
    </xf>
    <xf numFmtId="0" fontId="0" fillId="0" borderId="58" xfId="0" applyFill="1" applyBorder="1" applyAlignment="1">
      <alignment horizontal="center"/>
    </xf>
    <xf numFmtId="0" fontId="0" fillId="0" borderId="59" xfId="0" applyFill="1" applyBorder="1"/>
    <xf numFmtId="0" fontId="0" fillId="0" borderId="60" xfId="0" applyFill="1" applyBorder="1"/>
    <xf numFmtId="0" fontId="0" fillId="0" borderId="58" xfId="0" applyFill="1" applyBorder="1"/>
    <xf numFmtId="0" fontId="0" fillId="0" borderId="61" xfId="0" applyFill="1" applyBorder="1"/>
    <xf numFmtId="0" fontId="13" fillId="0" borderId="31" xfId="0" applyFont="1" applyFill="1" applyBorder="1"/>
    <xf numFmtId="0" fontId="0" fillId="0" borderId="62" xfId="0" applyFill="1" applyBorder="1"/>
    <xf numFmtId="0" fontId="13" fillId="0" borderId="63" xfId="0" applyFont="1" applyFill="1" applyBorder="1"/>
    <xf numFmtId="0" fontId="0" fillId="0" borderId="64" xfId="0" applyFill="1" applyBorder="1"/>
    <xf numFmtId="0" fontId="0" fillId="0" borderId="34" xfId="0" applyFill="1" applyBorder="1"/>
    <xf numFmtId="0" fontId="0" fillId="0" borderId="8" xfId="0" applyFont="1" applyFill="1" applyBorder="1"/>
    <xf numFmtId="0" fontId="0" fillId="0" borderId="16" xfId="0" applyFont="1" applyFill="1" applyBorder="1"/>
    <xf numFmtId="0" fontId="13" fillId="0" borderId="40" xfId="0" applyFont="1" applyBorder="1"/>
    <xf numFmtId="0" fontId="13" fillId="0" borderId="44" xfId="0" applyFont="1" applyBorder="1"/>
    <xf numFmtId="0" fontId="0" fillId="0" borderId="37" xfId="0" applyFill="1" applyBorder="1"/>
    <xf numFmtId="0" fontId="13" fillId="0" borderId="49" xfId="0" applyFont="1" applyFill="1" applyBorder="1"/>
    <xf numFmtId="0" fontId="0" fillId="0" borderId="45" xfId="0" applyFont="1" applyFill="1" applyBorder="1"/>
    <xf numFmtId="0" fontId="7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13" fillId="0" borderId="51" xfId="0" applyFont="1" applyFill="1" applyBorder="1"/>
    <xf numFmtId="0" fontId="0" fillId="0" borderId="65" xfId="0" applyFill="1" applyBorder="1"/>
    <xf numFmtId="0" fontId="46" fillId="0" borderId="0" xfId="0" applyFont="1" applyFill="1"/>
    <xf numFmtId="0" fontId="48" fillId="0" borderId="0" xfId="0" applyFont="1"/>
    <xf numFmtId="175" fontId="48" fillId="0" borderId="0" xfId="0" applyNumberFormat="1" applyFont="1" applyFill="1" applyBorder="1"/>
    <xf numFmtId="0" fontId="0" fillId="0" borderId="29" xfId="0" applyFill="1" applyBorder="1" applyAlignment="1">
      <alignment horizontal="right"/>
    </xf>
    <xf numFmtId="0" fontId="49" fillId="0" borderId="0" xfId="0" applyFont="1"/>
    <xf numFmtId="17" fontId="21" fillId="0" borderId="0" xfId="0" applyNumberFormat="1" applyFont="1"/>
    <xf numFmtId="14" fontId="18" fillId="0" borderId="0" xfId="0" applyNumberFormat="1" applyFont="1"/>
    <xf numFmtId="14" fontId="0" fillId="0" borderId="0" xfId="0" quotePrefix="1" applyNumberFormat="1" applyFill="1" applyBorder="1"/>
    <xf numFmtId="0" fontId="46" fillId="0" borderId="0" xfId="0" applyFont="1" applyFill="1" applyBorder="1"/>
    <xf numFmtId="14" fontId="0" fillId="0" borderId="37" xfId="0" quotePrefix="1" applyNumberFormat="1" applyFill="1" applyBorder="1"/>
    <xf numFmtId="0" fontId="46" fillId="0" borderId="37" xfId="0" applyFont="1" applyFill="1" applyBorder="1"/>
    <xf numFmtId="17" fontId="0" fillId="0" borderId="37" xfId="0" applyNumberFormat="1" applyFont="1" applyFill="1" applyBorder="1"/>
    <xf numFmtId="0" fontId="0" fillId="0" borderId="37" xfId="0" applyFill="1" applyBorder="1" applyAlignment="1">
      <alignment wrapText="1"/>
    </xf>
    <xf numFmtId="0" fontId="0" fillId="0" borderId="0" xfId="0" applyAlignment="1">
      <alignment horizontal="left" vertical="center"/>
    </xf>
    <xf numFmtId="178" fontId="1" fillId="0" borderId="0" xfId="1" applyNumberFormat="1" applyFont="1"/>
    <xf numFmtId="0" fontId="41" fillId="0" borderId="0" xfId="0" applyFont="1" applyAlignment="1">
      <alignment wrapText="1"/>
    </xf>
    <xf numFmtId="178" fontId="1" fillId="0" borderId="29" xfId="0" applyNumberFormat="1" applyFont="1" applyBorder="1"/>
    <xf numFmtId="178" fontId="1" fillId="0" borderId="0" xfId="0" applyNumberFormat="1" applyFont="1"/>
    <xf numFmtId="0" fontId="21" fillId="0" borderId="0" xfId="0" quotePrefix="1" applyFont="1"/>
    <xf numFmtId="16" fontId="0" fillId="0" borderId="0" xfId="0" applyNumberFormat="1"/>
    <xf numFmtId="0" fontId="0" fillId="0" borderId="66" xfId="0" applyFill="1" applyBorder="1"/>
    <xf numFmtId="0" fontId="0" fillId="0" borderId="67" xfId="0" applyFill="1" applyBorder="1"/>
    <xf numFmtId="0" fontId="0" fillId="0" borderId="52" xfId="0" applyFill="1" applyBorder="1"/>
    <xf numFmtId="0" fontId="0" fillId="0" borderId="68" xfId="0" applyFill="1" applyBorder="1"/>
    <xf numFmtId="0" fontId="0" fillId="0" borderId="53" xfId="0" applyFill="1" applyBorder="1"/>
    <xf numFmtId="16" fontId="0" fillId="0" borderId="30" xfId="0" applyNumberFormat="1" applyFill="1" applyBorder="1"/>
    <xf numFmtId="0" fontId="0" fillId="0" borderId="52" xfId="0" applyFill="1" applyBorder="1" applyAlignment="1">
      <alignment horizontal="right"/>
    </xf>
    <xf numFmtId="0" fontId="0" fillId="0" borderId="30" xfId="0" applyFill="1" applyBorder="1"/>
    <xf numFmtId="2" fontId="0" fillId="0" borderId="52" xfId="0" applyNumberFormat="1" applyFill="1" applyBorder="1"/>
    <xf numFmtId="2" fontId="0" fillId="0" borderId="53" xfId="0" applyNumberFormat="1" applyFill="1" applyBorder="1"/>
    <xf numFmtId="0" fontId="0" fillId="0" borderId="53" xfId="0" applyFill="1" applyBorder="1" applyAlignment="1">
      <alignment horizontal="center"/>
    </xf>
    <xf numFmtId="0" fontId="0" fillId="0" borderId="69" xfId="0" applyFill="1" applyBorder="1"/>
    <xf numFmtId="0" fontId="0" fillId="0" borderId="70" xfId="0" applyFill="1" applyBorder="1"/>
    <xf numFmtId="0" fontId="0" fillId="0" borderId="71" xfId="0" applyFill="1" applyBorder="1"/>
    <xf numFmtId="0" fontId="0" fillId="0" borderId="72" xfId="0" applyFill="1" applyBorder="1"/>
    <xf numFmtId="0" fontId="0" fillId="0" borderId="74" xfId="0" applyFill="1" applyBorder="1"/>
    <xf numFmtId="0" fontId="0" fillId="0" borderId="72" xfId="0" applyFill="1" applyBorder="1" applyAlignment="1">
      <alignment horizontal="center"/>
    </xf>
    <xf numFmtId="0" fontId="0" fillId="0" borderId="73" xfId="0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2" fontId="1" fillId="0" borderId="0" xfId="0" applyNumberFormat="1" applyFont="1" applyFill="1"/>
    <xf numFmtId="0" fontId="30" fillId="0" borderId="30" xfId="0" applyFont="1" applyBorder="1"/>
    <xf numFmtId="0" fontId="30" fillId="0" borderId="52" xfId="0" applyFont="1" applyBorder="1"/>
    <xf numFmtId="16" fontId="0" fillId="0" borderId="0" xfId="0" applyNumberFormat="1" applyFont="1" applyAlignment="1">
      <alignment horizontal="right"/>
    </xf>
    <xf numFmtId="4" fontId="1" fillId="0" borderId="29" xfId="0" applyNumberFormat="1" applyFont="1" applyBorder="1"/>
    <xf numFmtId="2" fontId="21" fillId="0" borderId="30" xfId="0" applyNumberFormat="1" applyFont="1" applyBorder="1"/>
    <xf numFmtId="177" fontId="20" fillId="0" borderId="0" xfId="1" applyNumberFormat="1" applyFill="1" applyBorder="1"/>
    <xf numFmtId="0" fontId="40" fillId="0" borderId="0" xfId="0" applyFont="1" applyFill="1"/>
    <xf numFmtId="0" fontId="42" fillId="0" borderId="0" xfId="0" applyFont="1" applyFill="1"/>
    <xf numFmtId="0" fontId="16" fillId="0" borderId="0" xfId="0" applyFont="1" applyFill="1" applyBorder="1"/>
    <xf numFmtId="2" fontId="0" fillId="0" borderId="68" xfId="0" applyNumberFormat="1" applyFill="1" applyBorder="1"/>
    <xf numFmtId="166" fontId="18" fillId="0" borderId="30" xfId="0" applyNumberFormat="1" applyFont="1" applyBorder="1"/>
    <xf numFmtId="0" fontId="50" fillId="0" borderId="0" xfId="0" applyFont="1"/>
    <xf numFmtId="0" fontId="50" fillId="0" borderId="0" xfId="0" applyFont="1" applyAlignment="1">
      <alignment wrapText="1"/>
    </xf>
    <xf numFmtId="14" fontId="50" fillId="0" borderId="0" xfId="0" applyNumberFormat="1" applyFont="1"/>
    <xf numFmtId="0" fontId="24" fillId="0" borderId="0" xfId="0" applyFont="1" applyBorder="1"/>
    <xf numFmtId="0" fontId="30" fillId="0" borderId="0" xfId="0" applyFont="1" applyBorder="1"/>
    <xf numFmtId="0" fontId="1" fillId="0" borderId="0" xfId="0" quotePrefix="1" applyFont="1"/>
    <xf numFmtId="175" fontId="48" fillId="0" borderId="0" xfId="0" applyNumberFormat="1" applyFont="1"/>
    <xf numFmtId="175" fontId="36" fillId="0" borderId="0" xfId="0" applyNumberFormat="1" applyFont="1" applyFill="1" applyBorder="1"/>
    <xf numFmtId="0" fontId="51" fillId="0" borderId="29" xfId="0" applyFont="1" applyBorder="1"/>
    <xf numFmtId="0" fontId="51" fillId="0" borderId="0" xfId="0" applyFont="1"/>
    <xf numFmtId="0" fontId="51" fillId="0" borderId="0" xfId="0" applyFont="1" applyBorder="1"/>
    <xf numFmtId="16" fontId="50" fillId="0" borderId="0" xfId="0" applyNumberFormat="1" applyFont="1"/>
    <xf numFmtId="9" fontId="20" fillId="0" borderId="0" xfId="4"/>
    <xf numFmtId="4" fontId="1" fillId="0" borderId="0" xfId="0" applyNumberFormat="1" applyFont="1" applyBorder="1"/>
    <xf numFmtId="0" fontId="18" fillId="10" borderId="27" xfId="0" applyFont="1" applyFill="1" applyBorder="1" applyAlignment="1">
      <alignment horizontal="center" vertical="center"/>
    </xf>
    <xf numFmtId="0" fontId="18" fillId="10" borderId="27" xfId="0" applyFont="1" applyFill="1" applyBorder="1" applyAlignment="1">
      <alignment horizontal="center"/>
    </xf>
    <xf numFmtId="0" fontId="18" fillId="10" borderId="34" xfId="0" applyFont="1" applyFill="1" applyBorder="1"/>
    <xf numFmtId="0" fontId="18" fillId="10" borderId="35" xfId="0" applyFont="1" applyFill="1" applyBorder="1"/>
    <xf numFmtId="0" fontId="18" fillId="10" borderId="36" xfId="0" applyFont="1" applyFill="1" applyBorder="1"/>
    <xf numFmtId="0" fontId="18" fillId="10" borderId="26" xfId="0" applyFont="1" applyFill="1" applyBorder="1"/>
    <xf numFmtId="0" fontId="18" fillId="10" borderId="28" xfId="0" applyFont="1" applyFill="1" applyBorder="1"/>
    <xf numFmtId="0" fontId="0" fillId="11" borderId="0" xfId="0" applyFill="1"/>
    <xf numFmtId="0" fontId="46" fillId="0" borderId="0" xfId="0" applyFont="1"/>
    <xf numFmtId="0" fontId="46" fillId="0" borderId="0" xfId="0" applyFont="1" applyAlignment="1">
      <alignment horizontal="right"/>
    </xf>
    <xf numFmtId="14" fontId="46" fillId="0" borderId="0" xfId="0" applyNumberFormat="1" applyFont="1"/>
    <xf numFmtId="0" fontId="0" fillId="0" borderId="29" xfId="0" applyFont="1" applyFill="1" applyBorder="1"/>
    <xf numFmtId="0" fontId="52" fillId="0" borderId="0" xfId="5"/>
    <xf numFmtId="0" fontId="0" fillId="0" borderId="29" xfId="0" applyBorder="1" applyAlignment="1">
      <alignment horizontal="center"/>
    </xf>
    <xf numFmtId="2" fontId="0" fillId="0" borderId="0" xfId="0" applyNumberFormat="1"/>
    <xf numFmtId="0" fontId="50" fillId="7" borderId="30" xfId="0" applyFont="1" applyFill="1" applyBorder="1"/>
    <xf numFmtId="174" fontId="1" fillId="7" borderId="31" xfId="1" applyFont="1" applyFill="1" applyBorder="1"/>
    <xf numFmtId="0" fontId="49" fillId="7" borderId="6" xfId="0" applyFont="1" applyFill="1" applyBorder="1"/>
    <xf numFmtId="0" fontId="34" fillId="0" borderId="0" xfId="0" applyFont="1" applyBorder="1" applyAlignment="1">
      <alignment horizontal="center"/>
    </xf>
    <xf numFmtId="174" fontId="20" fillId="9" borderId="0" xfId="1" applyFill="1" applyBorder="1"/>
    <xf numFmtId="0" fontId="34" fillId="0" borderId="33" xfId="0" applyFont="1" applyBorder="1" applyAlignment="1">
      <alignment horizontal="center"/>
    </xf>
    <xf numFmtId="174" fontId="1" fillId="7" borderId="33" xfId="1" applyFont="1" applyFill="1" applyBorder="1"/>
    <xf numFmtId="17" fontId="50" fillId="0" borderId="0" xfId="0" applyNumberFormat="1" applyFont="1"/>
    <xf numFmtId="0" fontId="50" fillId="7" borderId="0" xfId="0" applyFont="1" applyFill="1"/>
    <xf numFmtId="164" fontId="1" fillId="7" borderId="30" xfId="2" applyFont="1" applyFill="1" applyBorder="1"/>
    <xf numFmtId="0" fontId="13" fillId="0" borderId="9" xfId="0" applyFont="1" applyFill="1" applyBorder="1"/>
    <xf numFmtId="0" fontId="13" fillId="0" borderId="4" xfId="0" applyFont="1" applyFill="1" applyBorder="1"/>
    <xf numFmtId="16" fontId="21" fillId="0" borderId="0" xfId="0" applyNumberFormat="1" applyFont="1"/>
    <xf numFmtId="0" fontId="0" fillId="0" borderId="73" xfId="0" applyBorder="1"/>
    <xf numFmtId="0" fontId="35" fillId="0" borderId="0" xfId="0" applyFont="1" applyFill="1"/>
    <xf numFmtId="175" fontId="18" fillId="0" borderId="0" xfId="0" applyNumberFormat="1" applyFont="1" applyFill="1"/>
    <xf numFmtId="175" fontId="18" fillId="0" borderId="0" xfId="0" quotePrefix="1" applyNumberFormat="1" applyFont="1" applyFill="1" applyBorder="1"/>
    <xf numFmtId="2" fontId="21" fillId="0" borderId="0" xfId="0" applyNumberFormat="1" applyFont="1"/>
    <xf numFmtId="174" fontId="20" fillId="0" borderId="29" xfId="1" applyBorder="1"/>
    <xf numFmtId="0" fontId="50" fillId="0" borderId="0" xfId="0" applyFont="1" applyFill="1"/>
    <xf numFmtId="0" fontId="0" fillId="0" borderId="0" xfId="0" applyFont="1" applyAlignment="1">
      <alignment horizontal="right"/>
    </xf>
    <xf numFmtId="0" fontId="53" fillId="0" borderId="0" xfId="0" applyFont="1"/>
    <xf numFmtId="8" fontId="50" fillId="0" borderId="0" xfId="0" applyNumberFormat="1" applyFont="1"/>
    <xf numFmtId="0" fontId="21" fillId="11" borderId="0" xfId="0" applyFont="1" applyFill="1"/>
    <xf numFmtId="8" fontId="50" fillId="0" borderId="37" xfId="0" applyNumberFormat="1" applyFont="1" applyBorder="1"/>
    <xf numFmtId="14" fontId="50" fillId="0" borderId="37" xfId="0" applyNumberFormat="1" applyFont="1" applyBorder="1"/>
    <xf numFmtId="0" fontId="50" fillId="0" borderId="37" xfId="0" applyFont="1" applyBorder="1"/>
    <xf numFmtId="0" fontId="46" fillId="0" borderId="0" xfId="0" applyFont="1" applyFill="1" applyBorder="1" applyAlignment="1">
      <alignment horizontal="center"/>
    </xf>
    <xf numFmtId="180" fontId="20" fillId="0" borderId="0" xfId="2" applyNumberFormat="1"/>
    <xf numFmtId="181" fontId="20" fillId="0" borderId="0" xfId="2" applyNumberFormat="1"/>
    <xf numFmtId="164" fontId="20" fillId="0" borderId="29" xfId="2" applyBorder="1"/>
    <xf numFmtId="6" fontId="0" fillId="0" borderId="0" xfId="0" applyNumberFormat="1" applyFont="1"/>
    <xf numFmtId="6" fontId="0" fillId="0" borderId="29" xfId="0" applyNumberFormat="1" applyFont="1" applyBorder="1"/>
    <xf numFmtId="0" fontId="0" fillId="0" borderId="70" xfId="0" applyBorder="1"/>
    <xf numFmtId="0" fontId="0" fillId="0" borderId="71" xfId="0" applyBorder="1"/>
    <xf numFmtId="0" fontId="0" fillId="0" borderId="74" xfId="0" applyBorder="1"/>
    <xf numFmtId="0" fontId="46" fillId="0" borderId="69" xfId="0" applyFont="1" applyBorder="1"/>
    <xf numFmtId="0" fontId="46" fillId="0" borderId="72" xfId="0" applyFont="1" applyBorder="1"/>
    <xf numFmtId="164" fontId="46" fillId="0" borderId="73" xfId="2" applyFont="1" applyBorder="1"/>
    <xf numFmtId="0" fontId="46" fillId="0" borderId="52" xfId="0" applyFont="1" applyBorder="1"/>
    <xf numFmtId="6" fontId="0" fillId="7" borderId="0" xfId="0" applyNumberFormat="1" applyFont="1" applyFill="1"/>
    <xf numFmtId="0" fontId="46" fillId="0" borderId="0" xfId="0" applyFont="1" applyBorder="1"/>
    <xf numFmtId="0" fontId="50" fillId="0" borderId="29" xfId="0" applyFont="1" applyBorder="1"/>
    <xf numFmtId="0" fontId="54" fillId="0" borderId="0" xfId="0" applyFont="1"/>
    <xf numFmtId="2" fontId="0" fillId="0" borderId="75" xfId="0" applyNumberFormat="1" applyFill="1" applyBorder="1"/>
    <xf numFmtId="0" fontId="7" fillId="0" borderId="0" xfId="0" applyFont="1" applyAlignment="1">
      <alignment horizontal="center" vertical="center"/>
    </xf>
    <xf numFmtId="0" fontId="46" fillId="0" borderId="68" xfId="0" applyFont="1" applyBorder="1"/>
    <xf numFmtId="164" fontId="46" fillId="0" borderId="53" xfId="2" applyFont="1" applyBorder="1"/>
    <xf numFmtId="14" fontId="48" fillId="0" borderId="0" xfId="0" applyNumberFormat="1" applyFont="1"/>
    <xf numFmtId="8" fontId="48" fillId="0" borderId="0" xfId="0" applyNumberFormat="1" applyFont="1"/>
    <xf numFmtId="0" fontId="55" fillId="0" borderId="0" xfId="0" applyFont="1"/>
    <xf numFmtId="175" fontId="36" fillId="0" borderId="0" xfId="0" quotePrefix="1" applyNumberFormat="1" applyFont="1" applyFill="1" applyBorder="1"/>
    <xf numFmtId="6" fontId="0" fillId="0" borderId="0" xfId="0" applyNumberFormat="1"/>
    <xf numFmtId="164" fontId="0" fillId="0" borderId="29" xfId="0" applyNumberFormat="1" applyBorder="1"/>
    <xf numFmtId="43" fontId="18" fillId="0" borderId="0" xfId="0" applyNumberFormat="1" applyFont="1"/>
    <xf numFmtId="0" fontId="50" fillId="0" borderId="0" xfId="0" quotePrefix="1" applyFont="1"/>
    <xf numFmtId="164" fontId="0" fillId="0" borderId="30" xfId="2" applyFont="1" applyBorder="1" applyAlignment="1" applyProtection="1"/>
    <xf numFmtId="174" fontId="18" fillId="0" borderId="0" xfId="0" applyNumberFormat="1" applyFont="1"/>
    <xf numFmtId="0" fontId="42" fillId="7" borderId="0" xfId="0" applyFont="1" applyFill="1"/>
    <xf numFmtId="0" fontId="24" fillId="0" borderId="0" xfId="0" applyFont="1" applyAlignment="1">
      <alignment horizontal="right"/>
    </xf>
    <xf numFmtId="166" fontId="25" fillId="0" borderId="0" xfId="0" applyNumberFormat="1" applyFont="1" applyAlignment="1">
      <alignment vertical="center"/>
    </xf>
    <xf numFmtId="43" fontId="0" fillId="0" borderId="31" xfId="0" applyNumberFormat="1" applyFont="1" applyBorder="1"/>
    <xf numFmtId="164" fontId="1" fillId="0" borderId="47" xfId="0" applyNumberFormat="1" applyFont="1" applyBorder="1"/>
    <xf numFmtId="164" fontId="51" fillId="0" borderId="0" xfId="0" applyNumberFormat="1" applyFont="1" applyBorder="1"/>
    <xf numFmtId="164" fontId="51" fillId="0" borderId="0" xfId="2" applyFont="1"/>
    <xf numFmtId="0" fontId="0" fillId="0" borderId="37" xfId="0" applyFont="1" applyBorder="1" applyAlignment="1">
      <alignment horizontal="center"/>
    </xf>
    <xf numFmtId="0" fontId="0" fillId="0" borderId="37" xfId="0" applyFont="1" applyFill="1" applyBorder="1"/>
    <xf numFmtId="165" fontId="0" fillId="0" borderId="29" xfId="0" applyNumberFormat="1" applyFont="1" applyBorder="1"/>
    <xf numFmtId="174" fontId="0" fillId="0" borderId="0" xfId="0" applyNumberFormat="1"/>
    <xf numFmtId="0" fontId="0" fillId="0" borderId="48" xfId="0" applyFont="1" applyBorder="1"/>
    <xf numFmtId="43" fontId="0" fillId="0" borderId="0" xfId="0" applyNumberFormat="1" applyFont="1"/>
  </cellXfs>
  <cellStyles count="6">
    <cellStyle name="Comma" xfId="1" builtinId="3"/>
    <cellStyle name="Currency" xfId="2" builtinId="4"/>
    <cellStyle name="Excel Built-in Result2" xfId="3"/>
    <cellStyle name="Hyperlink" xfId="5" builtinId="8"/>
    <cellStyle name="Normal" xfId="0" builtinId="0"/>
    <cellStyle name="Percent" xfId="4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90016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EB613D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C3C3C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://www.nationalgridus.com/" TargetMode="External"/><Relationship Id="rId2" Type="http://schemas.openxmlformats.org/officeDocument/2006/relationships/hyperlink" Target="http://www.nationalgridus.com/" TargetMode="External"/><Relationship Id="rId1" Type="http://schemas.openxmlformats.org/officeDocument/2006/relationships/hyperlink" Target="http://www.coned.com/" TargetMode="External"/><Relationship Id="rId4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topLeftCell="B1" workbookViewId="0">
      <selection activeCell="L11" sqref="L11"/>
    </sheetView>
  </sheetViews>
  <sheetFormatPr defaultRowHeight="15"/>
  <cols>
    <col min="1" max="1" width="10.28515625" style="245" customWidth="1"/>
    <col min="2" max="2" width="3" style="245" customWidth="1"/>
    <col min="3" max="3" width="16.28515625" style="245" customWidth="1"/>
    <col min="4" max="4" width="3" style="245" customWidth="1"/>
    <col min="5" max="5" width="14.28515625" style="245" customWidth="1"/>
    <col min="6" max="6" width="11" style="245" customWidth="1"/>
    <col min="7" max="7" width="3" style="245" customWidth="1"/>
    <col min="8" max="8" width="16.5703125" style="245" customWidth="1"/>
    <col min="9" max="9" width="11.42578125" style="245" customWidth="1"/>
    <col min="10" max="10" width="3" style="245" customWidth="1"/>
    <col min="11" max="11" width="15.5703125" style="245" customWidth="1"/>
    <col min="12" max="12" width="10.5703125" style="245" customWidth="1"/>
    <col min="13" max="13" width="3" style="245" customWidth="1"/>
    <col min="14" max="14" width="17.42578125" style="245" customWidth="1"/>
    <col min="15" max="15" width="3" style="245" customWidth="1"/>
    <col min="16" max="16384" width="9.140625" style="245"/>
  </cols>
  <sheetData>
    <row r="1" spans="1:16" ht="15.75">
      <c r="A1" s="244" t="s">
        <v>411</v>
      </c>
    </row>
    <row r="3" spans="1:16" s="244" customFormat="1" ht="94.5">
      <c r="A3" s="244" t="s">
        <v>182</v>
      </c>
      <c r="C3" s="244" t="s">
        <v>412</v>
      </c>
      <c r="E3" s="244" t="s">
        <v>413</v>
      </c>
      <c r="F3" s="244" t="s">
        <v>414</v>
      </c>
      <c r="H3" s="244" t="s">
        <v>877</v>
      </c>
      <c r="K3" s="341" t="s">
        <v>880</v>
      </c>
      <c r="L3" s="244" t="s">
        <v>414</v>
      </c>
      <c r="N3" s="341" t="s">
        <v>878</v>
      </c>
    </row>
    <row r="5" spans="1:16">
      <c r="A5" s="245">
        <v>2010</v>
      </c>
      <c r="C5" s="246">
        <v>112656.36</v>
      </c>
      <c r="E5" s="246">
        <v>12914.2</v>
      </c>
      <c r="F5" s="247">
        <f>E5/C5</f>
        <v>0.11463356352007113</v>
      </c>
      <c r="H5" s="246">
        <v>67565.06</v>
      </c>
      <c r="I5" s="247">
        <f>H5/C5</f>
        <v>0.59974474588030358</v>
      </c>
      <c r="K5" s="246">
        <v>43565.06</v>
      </c>
      <c r="L5" s="247">
        <f>K5/C5</f>
        <v>0.38670750590556979</v>
      </c>
      <c r="N5" s="246">
        <f>K5/12</f>
        <v>3630.4216666666666</v>
      </c>
    </row>
    <row r="6" spans="1:16">
      <c r="C6" s="246"/>
      <c r="E6" s="246"/>
      <c r="F6" s="247"/>
      <c r="I6" s="247"/>
      <c r="K6" s="246"/>
      <c r="L6" s="247"/>
      <c r="N6" s="246"/>
    </row>
    <row r="7" spans="1:16">
      <c r="A7" s="245">
        <v>2011</v>
      </c>
      <c r="C7" s="246">
        <v>92549.43</v>
      </c>
      <c r="E7" s="246">
        <v>11624</v>
      </c>
      <c r="F7" s="247">
        <f>E7/C7</f>
        <v>0.12559774814388378</v>
      </c>
      <c r="H7" s="246">
        <v>55617.75</v>
      </c>
      <c r="I7" s="247">
        <f>H7/C7</f>
        <v>0.60095183730467061</v>
      </c>
      <c r="K7" s="246">
        <v>37617.75</v>
      </c>
      <c r="L7" s="247">
        <f>K7/C7</f>
        <v>0.40646117431517409</v>
      </c>
      <c r="N7" s="246">
        <f>K7/12</f>
        <v>3134.8125</v>
      </c>
      <c r="P7" s="245" t="s">
        <v>879</v>
      </c>
    </row>
    <row r="8" spans="1:16">
      <c r="C8" s="246"/>
      <c r="E8" s="246"/>
      <c r="F8" s="247"/>
      <c r="H8" s="246"/>
      <c r="I8" s="247"/>
      <c r="K8" s="246"/>
      <c r="L8" s="247"/>
      <c r="N8" s="246"/>
    </row>
    <row r="9" spans="1:16">
      <c r="A9" s="245">
        <v>2012</v>
      </c>
      <c r="C9" s="246">
        <v>109844.7</v>
      </c>
      <c r="E9" s="246">
        <v>12166</v>
      </c>
      <c r="F9" s="247">
        <f>E9/C9</f>
        <v>0.11075636785388826</v>
      </c>
      <c r="H9" s="246">
        <v>51501.120000000003</v>
      </c>
      <c r="I9" s="247">
        <f>H9/C9</f>
        <v>0.46885393651218499</v>
      </c>
      <c r="K9" s="246">
        <v>42001.120000000003</v>
      </c>
      <c r="L9" s="247">
        <f>K9/C9</f>
        <v>0.3823681980104639</v>
      </c>
      <c r="N9" s="246">
        <f>K9/12</f>
        <v>3500.0933333333337</v>
      </c>
    </row>
    <row r="10" spans="1:16">
      <c r="C10" s="246"/>
      <c r="E10" s="246"/>
      <c r="F10" s="247"/>
      <c r="H10" s="246"/>
      <c r="I10" s="247"/>
      <c r="K10" s="246"/>
      <c r="L10" s="247"/>
      <c r="N10" s="246"/>
    </row>
    <row r="11" spans="1:16">
      <c r="A11" s="245">
        <v>2013</v>
      </c>
      <c r="C11" s="246">
        <v>133324.93</v>
      </c>
      <c r="E11" s="246">
        <v>13528.4</v>
      </c>
      <c r="F11" s="247">
        <f>E11/C11</f>
        <v>0.10146939510862672</v>
      </c>
      <c r="H11" s="246">
        <v>67956.37</v>
      </c>
      <c r="I11" s="247">
        <f>H11/C11</f>
        <v>0.50970489915126904</v>
      </c>
      <c r="K11" s="246">
        <v>40660.01</v>
      </c>
      <c r="L11" s="247">
        <f>K11/C11</f>
        <v>0.30496929568986086</v>
      </c>
      <c r="N11" s="246">
        <f>K11/12</f>
        <v>3388.334166666667</v>
      </c>
      <c r="P11" s="245" t="s">
        <v>418</v>
      </c>
    </row>
    <row r="12" spans="1:16">
      <c r="F12" s="247"/>
      <c r="I12" s="247"/>
      <c r="L12" s="247"/>
      <c r="N12" s="246"/>
    </row>
    <row r="13" spans="1:16">
      <c r="A13" s="245">
        <v>2014</v>
      </c>
      <c r="C13" s="246">
        <v>144311.16</v>
      </c>
      <c r="E13" s="246">
        <v>15370</v>
      </c>
      <c r="F13" s="247">
        <f>E13/C13</f>
        <v>0.10650596946209842</v>
      </c>
      <c r="H13" s="246">
        <v>75258.97</v>
      </c>
      <c r="I13" s="247">
        <f>H13/C13</f>
        <v>0.52150485104547706</v>
      </c>
      <c r="K13" s="246">
        <v>44271.76</v>
      </c>
      <c r="L13" s="247">
        <f>K13/C13</f>
        <v>0.30677987759228048</v>
      </c>
      <c r="N13" s="246">
        <f>K13/12</f>
        <v>3689.3133333333335</v>
      </c>
      <c r="P13" s="245" t="s">
        <v>876</v>
      </c>
    </row>
    <row r="14" spans="1:16">
      <c r="F14" s="247"/>
      <c r="I14" s="247"/>
      <c r="L14" s="247"/>
      <c r="P14" s="245" t="s">
        <v>1311</v>
      </c>
    </row>
    <row r="15" spans="1:16">
      <c r="F15" s="247"/>
      <c r="I15" s="247"/>
      <c r="L15" s="247"/>
    </row>
    <row r="16" spans="1:16">
      <c r="A16" s="464">
        <v>2015</v>
      </c>
      <c r="C16" s="246">
        <v>146739.12</v>
      </c>
      <c r="E16" s="246">
        <v>17648</v>
      </c>
      <c r="F16" s="247">
        <f>E16/C16</f>
        <v>0.12026786040423304</v>
      </c>
      <c r="H16" s="246">
        <f>525731.85-347682.72</f>
        <v>178049.13</v>
      </c>
      <c r="I16" s="247">
        <f>H16/C16</f>
        <v>1.2133719351731154</v>
      </c>
      <c r="J16" s="245" t="s">
        <v>174</v>
      </c>
      <c r="K16" s="246">
        <v>52005.57</v>
      </c>
      <c r="L16" s="247">
        <f>K16/C16</f>
        <v>0.35440835409126076</v>
      </c>
      <c r="N16" s="246">
        <f>K16/12</f>
        <v>4333.7974999999997</v>
      </c>
      <c r="P16" s="245" t="s">
        <v>1317</v>
      </c>
    </row>
    <row r="17" spans="16:16">
      <c r="P17" s="245" t="s">
        <v>1309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0"/>
  <sheetViews>
    <sheetView topLeftCell="A95" zoomScale="84" zoomScaleNormal="84" workbookViewId="0">
      <selection activeCell="M118" sqref="M118"/>
    </sheetView>
  </sheetViews>
  <sheetFormatPr defaultColWidth="9" defaultRowHeight="15.75"/>
  <cols>
    <col min="1" max="1" width="24.42578125" style="74" customWidth="1"/>
    <col min="2" max="2" width="18" style="65" customWidth="1"/>
    <col min="3" max="3" width="17.140625" style="65" customWidth="1"/>
    <col min="4" max="5" width="16.5703125" style="65" customWidth="1"/>
    <col min="6" max="6" width="15.28515625" style="65" customWidth="1"/>
    <col min="7" max="7" width="13.5703125" style="65" customWidth="1"/>
    <col min="8" max="8" width="13.85546875" style="65" customWidth="1"/>
    <col min="9" max="10" width="14" style="65" customWidth="1"/>
    <col min="11" max="11" width="2.28515625" style="80" customWidth="1"/>
    <col min="12" max="12" width="11.85546875" style="65" customWidth="1"/>
    <col min="13" max="13" width="13.5703125" style="65" customWidth="1"/>
    <col min="14" max="15" width="11.5703125" style="65" customWidth="1"/>
    <col min="16" max="16" width="1.7109375" style="65" customWidth="1"/>
    <col min="17" max="17" width="11.7109375" style="65" customWidth="1"/>
    <col min="18" max="18" width="11.5703125" style="65" customWidth="1"/>
    <col min="19" max="16384" width="9" style="65"/>
  </cols>
  <sheetData>
    <row r="1" spans="1:16">
      <c r="A1" s="71" t="s">
        <v>182</v>
      </c>
      <c r="B1" s="72">
        <v>2015</v>
      </c>
      <c r="C1" s="72"/>
      <c r="F1" s="93"/>
      <c r="L1" s="73" t="s">
        <v>492</v>
      </c>
    </row>
    <row r="2" spans="1:16">
      <c r="A2" s="71" t="s">
        <v>171</v>
      </c>
      <c r="B2" s="73" t="s">
        <v>7</v>
      </c>
      <c r="C2" s="73"/>
      <c r="F2" s="93"/>
      <c r="M2" s="73"/>
    </row>
    <row r="3" spans="1:16">
      <c r="B3" s="65" t="s">
        <v>91</v>
      </c>
      <c r="F3" s="93"/>
      <c r="M3" s="73"/>
      <c r="O3" s="139"/>
    </row>
    <row r="4" spans="1:16">
      <c r="A4" s="71" t="s">
        <v>4</v>
      </c>
      <c r="B4" s="76">
        <f>SUM(G5:G8)</f>
        <v>6679.55</v>
      </c>
      <c r="C4" s="76"/>
      <c r="F4" s="93"/>
      <c r="G4" s="65" t="s">
        <v>31</v>
      </c>
      <c r="L4" s="77"/>
      <c r="O4" s="139"/>
    </row>
    <row r="5" spans="1:16" ht="12.75">
      <c r="A5" s="65" t="s">
        <v>24</v>
      </c>
      <c r="B5" s="121">
        <v>3339.77</v>
      </c>
      <c r="C5" s="122">
        <v>3339.78</v>
      </c>
      <c r="F5" s="93"/>
      <c r="G5" s="121">
        <f>SUM(B5:E5)</f>
        <v>6679.55</v>
      </c>
      <c r="H5" s="77"/>
      <c r="I5" s="77"/>
      <c r="J5" s="77"/>
      <c r="K5" s="81"/>
      <c r="L5" s="77"/>
      <c r="O5" s="139"/>
    </row>
    <row r="6" spans="1:16" ht="12.75">
      <c r="A6" s="65" t="s">
        <v>230</v>
      </c>
      <c r="C6" s="75"/>
      <c r="F6" s="93"/>
      <c r="G6" s="121">
        <f>SUM(B6:E6)</f>
        <v>0</v>
      </c>
      <c r="H6" s="77"/>
      <c r="I6" s="77"/>
      <c r="J6" s="77"/>
      <c r="K6" s="81"/>
      <c r="L6" s="77"/>
      <c r="O6" s="75"/>
    </row>
    <row r="7" spans="1:16" ht="12.75">
      <c r="A7" s="65"/>
      <c r="F7" s="93"/>
      <c r="G7" s="121">
        <f>SUM(B7:E7)</f>
        <v>0</v>
      </c>
      <c r="H7" s="77"/>
      <c r="I7" s="77"/>
      <c r="J7" s="77"/>
      <c r="K7" s="81"/>
      <c r="L7" s="77"/>
      <c r="O7" s="75"/>
    </row>
    <row r="8" spans="1:16">
      <c r="F8" s="93"/>
      <c r="G8" s="121"/>
      <c r="H8" s="77"/>
      <c r="I8" s="77"/>
      <c r="K8" s="81"/>
      <c r="P8" s="75"/>
    </row>
    <row r="9" spans="1:16" ht="13.5">
      <c r="A9" s="58"/>
      <c r="B9" s="62"/>
      <c r="C9" s="52"/>
      <c r="D9" s="52"/>
      <c r="E9" s="52"/>
      <c r="F9" s="261"/>
      <c r="G9" s="55"/>
      <c r="H9" s="52"/>
      <c r="I9" s="61" t="s">
        <v>34</v>
      </c>
      <c r="J9" s="90" t="s">
        <v>280</v>
      </c>
      <c r="M9" s="52"/>
    </row>
    <row r="10" spans="1:16" s="52" customFormat="1" ht="13.5">
      <c r="A10" s="58"/>
      <c r="B10" s="62"/>
      <c r="F10" s="261"/>
      <c r="G10" s="55" t="s">
        <v>234</v>
      </c>
      <c r="H10" s="52" t="s">
        <v>38</v>
      </c>
      <c r="I10" s="63" t="s">
        <v>37</v>
      </c>
      <c r="J10" s="91" t="s">
        <v>37</v>
      </c>
      <c r="K10" s="82"/>
    </row>
    <row r="11" spans="1:16" s="52" customFormat="1" ht="13.5">
      <c r="A11" s="58" t="s">
        <v>275</v>
      </c>
      <c r="B11" s="262">
        <f>G11</f>
        <v>750</v>
      </c>
      <c r="D11" s="52" t="s">
        <v>277</v>
      </c>
      <c r="E11" s="52">
        <f>G11/B4</f>
        <v>0.11228301307722825</v>
      </c>
      <c r="F11" s="261"/>
      <c r="G11" s="53">
        <f>Tithe!D7</f>
        <v>750</v>
      </c>
      <c r="H11" s="52">
        <v>1200</v>
      </c>
      <c r="I11" s="64">
        <f>H11-G11</f>
        <v>450</v>
      </c>
      <c r="J11" s="92">
        <f>Jan!I11+Feb!I11</f>
        <v>900</v>
      </c>
      <c r="K11" s="83"/>
    </row>
    <row r="12" spans="1:16" s="52" customFormat="1" ht="13.5">
      <c r="I12" s="64"/>
      <c r="J12" s="92"/>
      <c r="K12" s="84"/>
      <c r="L12" s="269" t="s">
        <v>493</v>
      </c>
    </row>
    <row r="13" spans="1:16" s="52" customFormat="1" ht="13.5">
      <c r="A13" s="58" t="s">
        <v>465</v>
      </c>
      <c r="B13" s="262">
        <f>SUM(G14:G20)</f>
        <v>0</v>
      </c>
      <c r="F13" s="261"/>
      <c r="G13" s="55"/>
      <c r="I13" s="64"/>
      <c r="J13" s="92"/>
      <c r="K13" s="84"/>
    </row>
    <row r="14" spans="1:16" s="52" customFormat="1" ht="13.5">
      <c r="B14" s="58" t="s">
        <v>385</v>
      </c>
      <c r="E14" s="52" t="s">
        <v>466</v>
      </c>
      <c r="F14" s="261"/>
      <c r="G14" s="53"/>
      <c r="H14" s="52">
        <v>800</v>
      </c>
      <c r="I14" s="64">
        <f t="shared" ref="I14:I20" si="0">H14-G14</f>
        <v>800</v>
      </c>
      <c r="J14" s="92">
        <f>Jan!I14+Feb!I14</f>
        <v>1600</v>
      </c>
      <c r="K14" s="84"/>
    </row>
    <row r="15" spans="1:16" s="52" customFormat="1" ht="13.5">
      <c r="B15" s="58" t="s">
        <v>261</v>
      </c>
      <c r="E15" s="52" t="s">
        <v>466</v>
      </c>
      <c r="F15" s="261"/>
      <c r="G15" s="53"/>
      <c r="H15" s="52">
        <v>200</v>
      </c>
      <c r="I15" s="64">
        <f t="shared" si="0"/>
        <v>200</v>
      </c>
      <c r="J15" s="92">
        <f>Jan!I15+Feb!I15</f>
        <v>400</v>
      </c>
      <c r="K15" s="84"/>
    </row>
    <row r="16" spans="1:16" s="52" customFormat="1" ht="13.5">
      <c r="B16" s="58" t="s">
        <v>292</v>
      </c>
      <c r="E16" s="52" t="s">
        <v>466</v>
      </c>
      <c r="F16" s="261"/>
      <c r="G16" s="53"/>
      <c r="H16" s="52">
        <v>300</v>
      </c>
      <c r="I16" s="64">
        <f t="shared" si="0"/>
        <v>300</v>
      </c>
      <c r="J16" s="92">
        <f>Jan!I16+Feb!I16</f>
        <v>600</v>
      </c>
      <c r="K16" s="84"/>
    </row>
    <row r="17" spans="1:13" s="52" customFormat="1" ht="13.5">
      <c r="B17" s="58" t="s">
        <v>464</v>
      </c>
      <c r="E17" s="52" t="s">
        <v>466</v>
      </c>
      <c r="F17" s="261"/>
      <c r="G17" s="53"/>
      <c r="H17" s="52">
        <v>200</v>
      </c>
      <c r="I17" s="64">
        <f t="shared" si="0"/>
        <v>200</v>
      </c>
      <c r="J17" s="92">
        <f>Jan!I17+Feb!I17</f>
        <v>400</v>
      </c>
      <c r="K17" s="84"/>
    </row>
    <row r="18" spans="1:13" s="52" customFormat="1" ht="15.95" customHeight="1">
      <c r="B18" s="58" t="s">
        <v>263</v>
      </c>
      <c r="E18" s="52" t="s">
        <v>466</v>
      </c>
      <c r="F18" s="261"/>
      <c r="G18" s="53"/>
      <c r="H18" s="52">
        <v>50</v>
      </c>
      <c r="I18" s="64">
        <f t="shared" si="0"/>
        <v>50</v>
      </c>
      <c r="J18" s="92">
        <f>Jan!I18+Feb!I18</f>
        <v>100</v>
      </c>
      <c r="K18" s="84"/>
    </row>
    <row r="19" spans="1:13" s="52" customFormat="1" ht="15.95" customHeight="1">
      <c r="B19" s="58" t="s">
        <v>262</v>
      </c>
      <c r="E19" s="52" t="s">
        <v>467</v>
      </c>
      <c r="F19" s="261"/>
      <c r="G19" s="53"/>
      <c r="H19" s="52">
        <v>200</v>
      </c>
      <c r="I19" s="64">
        <f t="shared" si="0"/>
        <v>200</v>
      </c>
      <c r="J19" s="92">
        <f>Jan!I19+Feb!I19</f>
        <v>400</v>
      </c>
      <c r="K19" s="84"/>
    </row>
    <row r="20" spans="1:13" s="52" customFormat="1" ht="15.95" customHeight="1">
      <c r="B20" s="58" t="s">
        <v>293</v>
      </c>
      <c r="E20" s="52" t="s">
        <v>467</v>
      </c>
      <c r="G20" s="53"/>
      <c r="H20" s="52">
        <v>300</v>
      </c>
      <c r="I20" s="64">
        <f t="shared" si="0"/>
        <v>300</v>
      </c>
      <c r="J20" s="92">
        <f>Jan!I20+Feb!I20</f>
        <v>600</v>
      </c>
      <c r="K20" s="84"/>
    </row>
    <row r="21" spans="1:13" s="52" customFormat="1" ht="15.95" customHeight="1">
      <c r="A21" s="58"/>
      <c r="F21" s="261"/>
      <c r="G21" s="53"/>
      <c r="I21" s="64"/>
      <c r="J21" s="92"/>
      <c r="K21" s="84"/>
      <c r="L21" s="58" t="s">
        <v>494</v>
      </c>
    </row>
    <row r="22" spans="1:13" s="52" customFormat="1" ht="15.95" customHeight="1">
      <c r="A22" s="58" t="s">
        <v>278</v>
      </c>
      <c r="B22" s="263">
        <f>G22</f>
        <v>0</v>
      </c>
      <c r="F22" s="261"/>
      <c r="G22" s="53"/>
      <c r="H22" s="52">
        <v>700</v>
      </c>
      <c r="I22" s="64">
        <f>H22-G22</f>
        <v>700</v>
      </c>
      <c r="J22" s="92">
        <f>Jan!I22+Feb!I22</f>
        <v>1400</v>
      </c>
      <c r="K22" s="84"/>
      <c r="M22" s="331"/>
    </row>
    <row r="23" spans="1:13" s="52" customFormat="1" ht="15.95" customHeight="1">
      <c r="A23" s="58" t="s">
        <v>416</v>
      </c>
      <c r="B23" s="62" t="s">
        <v>415</v>
      </c>
      <c r="E23" s="52" t="s">
        <v>467</v>
      </c>
      <c r="F23" s="261"/>
      <c r="G23" s="53"/>
      <c r="I23" s="64"/>
      <c r="J23" s="92"/>
      <c r="K23" s="84"/>
    </row>
    <row r="24" spans="1:13" s="52" customFormat="1" ht="15.95" customHeight="1">
      <c r="A24" s="58" t="s">
        <v>279</v>
      </c>
      <c r="B24" s="262">
        <f>SUM(G25:G26)</f>
        <v>0</v>
      </c>
      <c r="F24" s="261"/>
      <c r="G24" s="53"/>
      <c r="I24" s="64"/>
      <c r="J24" s="92"/>
      <c r="K24" s="84"/>
    </row>
    <row r="25" spans="1:13" s="52" customFormat="1" ht="15.95" customHeight="1">
      <c r="B25" s="58" t="s">
        <v>255</v>
      </c>
      <c r="E25" s="52" t="s">
        <v>467</v>
      </c>
      <c r="F25" s="261"/>
      <c r="G25" s="53">
        <v>0</v>
      </c>
      <c r="H25" s="52">
        <v>500</v>
      </c>
      <c r="I25" s="64">
        <f>H25-G25</f>
        <v>500</v>
      </c>
      <c r="J25" s="92">
        <f>Jan!I25+Feb!I25</f>
        <v>1000</v>
      </c>
      <c r="K25" s="84"/>
    </row>
    <row r="26" spans="1:13" s="52" customFormat="1" ht="12.75" customHeight="1">
      <c r="B26" s="58" t="s">
        <v>265</v>
      </c>
      <c r="E26" s="52" t="s">
        <v>466</v>
      </c>
      <c r="F26" s="261"/>
      <c r="G26" s="53">
        <v>0</v>
      </c>
      <c r="H26" s="52">
        <v>300</v>
      </c>
      <c r="I26" s="64">
        <f>H26-G26</f>
        <v>300</v>
      </c>
      <c r="J26" s="95">
        <f>Jan!I26+Feb!I26</f>
        <v>600</v>
      </c>
      <c r="K26" s="84"/>
    </row>
    <row r="27" spans="1:13" s="52" customFormat="1" ht="12.75" customHeight="1">
      <c r="A27" s="58"/>
      <c r="F27" s="261"/>
      <c r="G27" s="66"/>
      <c r="H27" s="66"/>
      <c r="I27" s="68"/>
      <c r="J27" s="79"/>
      <c r="K27" s="79"/>
    </row>
    <row r="28" spans="1:13" s="52" customFormat="1" ht="12.75" customHeight="1" thickBot="1">
      <c r="A28" s="58"/>
      <c r="B28" s="58"/>
      <c r="F28" s="261"/>
      <c r="G28" s="67">
        <f>SUM(G14:G26)</f>
        <v>0</v>
      </c>
      <c r="H28" s="67">
        <f>SUM(H11:H26)</f>
        <v>4750</v>
      </c>
      <c r="I28" s="67">
        <f>SUM(I11:I26)</f>
        <v>4000</v>
      </c>
      <c r="J28" s="67">
        <f>SUM(J11:J26)</f>
        <v>8000</v>
      </c>
      <c r="K28" s="85"/>
    </row>
    <row r="29" spans="1:13" s="52" customFormat="1" ht="12.75" customHeight="1" thickTop="1" thickBot="1">
      <c r="H29" s="56"/>
      <c r="I29" s="56"/>
      <c r="J29" s="56"/>
      <c r="K29" s="85"/>
      <c r="L29" s="58" t="s">
        <v>495</v>
      </c>
    </row>
    <row r="30" spans="1:13" s="52" customFormat="1" ht="12.75" customHeight="1" thickBot="1">
      <c r="A30" s="58" t="s">
        <v>283</v>
      </c>
      <c r="B30" s="58"/>
      <c r="F30" s="261"/>
      <c r="G30" s="88">
        <v>5966</v>
      </c>
      <c r="H30" s="56"/>
      <c r="I30" s="56"/>
      <c r="J30" s="56"/>
      <c r="K30" s="85"/>
      <c r="M30" s="52" t="s">
        <v>977</v>
      </c>
    </row>
    <row r="31" spans="1:13" s="52" customFormat="1" ht="12.75" customHeight="1">
      <c r="A31" s="99" t="s">
        <v>276</v>
      </c>
      <c r="B31" s="58"/>
      <c r="F31" s="261"/>
      <c r="G31" s="266">
        <f>B4-G11-G28+G30</f>
        <v>11895.55</v>
      </c>
      <c r="H31" s="56"/>
      <c r="I31" s="56"/>
      <c r="J31" s="56"/>
      <c r="K31" s="85"/>
      <c r="L31" s="56"/>
      <c r="M31" s="52" t="s">
        <v>975</v>
      </c>
    </row>
    <row r="32" spans="1:13" s="52" customFormat="1" ht="12.75" customHeight="1">
      <c r="A32" s="52" t="s">
        <v>478</v>
      </c>
      <c r="B32" s="99"/>
      <c r="C32" s="54"/>
      <c r="D32" s="54"/>
      <c r="E32" s="54"/>
      <c r="F32" s="265"/>
      <c r="G32" s="267">
        <f>G46</f>
        <v>44148.670000000006</v>
      </c>
      <c r="H32" s="56"/>
      <c r="I32" s="56"/>
      <c r="J32" s="56"/>
      <c r="K32" s="85"/>
      <c r="L32" s="56"/>
      <c r="M32" s="52" t="s">
        <v>976</v>
      </c>
    </row>
    <row r="33" spans="1:18" s="52" customFormat="1" ht="12.75" customHeight="1">
      <c r="A33" s="58" t="s">
        <v>558</v>
      </c>
      <c r="B33" s="58"/>
      <c r="F33" s="261"/>
      <c r="G33" s="78">
        <f>G31-G32-M42-N42</f>
        <v>-32097.780000000006</v>
      </c>
      <c r="H33" s="56"/>
      <c r="I33" s="56"/>
      <c r="J33" s="56"/>
      <c r="K33" s="85"/>
      <c r="L33" s="56"/>
    </row>
    <row r="34" spans="1:18" s="52" customFormat="1" ht="12.75" customHeight="1">
      <c r="H34" s="56"/>
      <c r="I34" s="56"/>
      <c r="J34" s="56"/>
      <c r="K34" s="85"/>
      <c r="L34" s="56"/>
    </row>
    <row r="35" spans="1:18" s="52" customFormat="1" ht="12.75" customHeight="1">
      <c r="A35" s="58" t="s">
        <v>469</v>
      </c>
      <c r="B35" s="58"/>
      <c r="E35" s="52">
        <f>B47</f>
        <v>778.44999999999993</v>
      </c>
      <c r="F35" s="261"/>
      <c r="G35" s="128"/>
      <c r="H35" s="56"/>
      <c r="I35" s="56"/>
      <c r="J35" s="56"/>
      <c r="K35" s="85"/>
      <c r="L35" s="56"/>
    </row>
    <row r="36" spans="1:18" s="52" customFormat="1" ht="12.75" customHeight="1">
      <c r="A36" s="58" t="s">
        <v>433</v>
      </c>
      <c r="B36" s="58"/>
      <c r="E36" s="52">
        <f>B76</f>
        <v>43124.020000000004</v>
      </c>
      <c r="F36" s="261"/>
      <c r="G36" s="78"/>
      <c r="H36" s="56"/>
      <c r="I36" s="56"/>
      <c r="J36" s="56"/>
      <c r="K36" s="85"/>
      <c r="L36" s="56"/>
    </row>
    <row r="37" spans="1:18" s="52" customFormat="1" ht="13.5">
      <c r="A37" s="58"/>
      <c r="B37" s="58" t="s">
        <v>470</v>
      </c>
      <c r="D37" s="52">
        <f>B101+B110</f>
        <v>0</v>
      </c>
      <c r="F37" s="261"/>
      <c r="G37" s="78"/>
      <c r="H37" s="56"/>
      <c r="I37" s="56"/>
      <c r="J37" s="56"/>
      <c r="K37" s="85"/>
      <c r="L37" s="56"/>
      <c r="M37" s="52" t="s">
        <v>938</v>
      </c>
      <c r="Q37" s="52" t="s">
        <v>867</v>
      </c>
    </row>
    <row r="38" spans="1:18" s="52" customFormat="1" ht="14.25" thickBot="1">
      <c r="A38" s="58"/>
      <c r="B38" s="58" t="s">
        <v>471</v>
      </c>
      <c r="D38" s="52">
        <f>B90</f>
        <v>158.01</v>
      </c>
      <c r="F38" s="261"/>
      <c r="G38" s="78"/>
      <c r="H38" s="56"/>
      <c r="I38" s="56"/>
      <c r="J38" s="56"/>
      <c r="K38" s="85"/>
      <c r="L38" s="56"/>
      <c r="Q38" s="52" t="s">
        <v>868</v>
      </c>
    </row>
    <row r="39" spans="1:18" s="52" customFormat="1" ht="14.25" thickBot="1">
      <c r="A39" s="58"/>
      <c r="B39" s="58" t="s">
        <v>472</v>
      </c>
      <c r="D39" s="52">
        <f>B96</f>
        <v>730</v>
      </c>
      <c r="F39" s="261"/>
      <c r="G39" s="89"/>
      <c r="H39" s="56"/>
      <c r="I39" s="56"/>
      <c r="J39" s="56"/>
      <c r="K39" s="85"/>
      <c r="L39" s="56"/>
      <c r="Q39" s="52" t="s">
        <v>869</v>
      </c>
    </row>
    <row r="40" spans="1:18" s="52" customFormat="1" ht="13.5">
      <c r="A40" s="58"/>
      <c r="B40" s="58" t="s">
        <v>473</v>
      </c>
      <c r="D40" s="52">
        <f>B115</f>
        <v>213.95</v>
      </c>
      <c r="F40" s="261"/>
      <c r="G40" s="98"/>
      <c r="H40" s="56"/>
      <c r="I40" s="56"/>
      <c r="J40" s="56"/>
      <c r="K40" s="85"/>
      <c r="L40" s="56"/>
      <c r="M40" s="52">
        <v>2311.75</v>
      </c>
    </row>
    <row r="41" spans="1:18" s="52" customFormat="1" ht="13.5">
      <c r="A41" s="99"/>
      <c r="B41" s="58" t="s">
        <v>474</v>
      </c>
      <c r="D41" s="52">
        <f>B120</f>
        <v>85</v>
      </c>
      <c r="F41" s="261"/>
      <c r="G41" s="98"/>
      <c r="H41" s="56"/>
      <c r="I41" s="56"/>
      <c r="J41" s="56"/>
      <c r="K41" s="85"/>
      <c r="L41" s="56"/>
      <c r="M41" s="52">
        <f>M46+M44+M43+M42</f>
        <v>2311.75</v>
      </c>
      <c r="N41" s="52">
        <f>N46+N44+N43+N42</f>
        <v>198.91</v>
      </c>
      <c r="O41" s="52">
        <f>O46+O44+O43+O42</f>
        <v>19220.579999999998</v>
      </c>
      <c r="Q41" s="52" t="s">
        <v>874</v>
      </c>
      <c r="R41" s="52" t="s">
        <v>241</v>
      </c>
    </row>
    <row r="42" spans="1:18" s="52" customFormat="1" ht="13.5">
      <c r="B42" s="58" t="s">
        <v>475</v>
      </c>
      <c r="C42" s="59"/>
      <c r="D42" s="59">
        <f>B138</f>
        <v>0</v>
      </c>
      <c r="F42" s="261"/>
      <c r="G42" s="98"/>
      <c r="H42" s="56"/>
      <c r="I42" s="56"/>
      <c r="J42" s="56"/>
      <c r="K42" s="85"/>
      <c r="L42" s="52" t="s">
        <v>324</v>
      </c>
      <c r="M42" s="52">
        <v>-155.34</v>
      </c>
      <c r="Q42" s="120">
        <v>42017</v>
      </c>
      <c r="R42" s="52">
        <v>3093.51</v>
      </c>
    </row>
    <row r="43" spans="1:18" s="52" customFormat="1" ht="13.5">
      <c r="B43" s="58" t="s">
        <v>476</v>
      </c>
      <c r="D43" s="52">
        <f>B125+B141+B146+B149</f>
        <v>328.63</v>
      </c>
      <c r="F43" s="261"/>
      <c r="I43" s="61"/>
      <c r="J43" s="90" t="s">
        <v>280</v>
      </c>
      <c r="K43" s="82"/>
      <c r="Q43" s="52" t="s">
        <v>918</v>
      </c>
      <c r="R43" s="52">
        <v>-1500</v>
      </c>
    </row>
    <row r="44" spans="1:18" s="52" customFormat="1" ht="14.25" thickBot="1">
      <c r="A44" s="58" t="s">
        <v>477</v>
      </c>
      <c r="E44" s="52">
        <f>B155</f>
        <v>246.2</v>
      </c>
      <c r="F44" s="261"/>
      <c r="G44" s="55"/>
      <c r="I44" s="61" t="s">
        <v>34</v>
      </c>
      <c r="J44" s="90" t="s">
        <v>281</v>
      </c>
      <c r="K44" s="82"/>
      <c r="Q44" s="52" t="s">
        <v>919</v>
      </c>
      <c r="R44" s="70">
        <f>SUM(R42:R43)</f>
        <v>1593.5100000000002</v>
      </c>
    </row>
    <row r="45" spans="1:18" s="52" customFormat="1" ht="14.25" thickTop="1">
      <c r="A45" s="58"/>
      <c r="F45" s="261"/>
      <c r="G45" s="55" t="s">
        <v>234</v>
      </c>
      <c r="H45" s="52" t="s">
        <v>38</v>
      </c>
      <c r="I45" s="63" t="s">
        <v>37</v>
      </c>
      <c r="J45" s="91" t="s">
        <v>282</v>
      </c>
      <c r="K45" s="83"/>
      <c r="L45" s="391" t="s">
        <v>235</v>
      </c>
      <c r="M45" s="392" t="s">
        <v>497</v>
      </c>
      <c r="N45" s="392" t="s">
        <v>805</v>
      </c>
      <c r="O45" s="392" t="s">
        <v>806</v>
      </c>
    </row>
    <row r="46" spans="1:18" s="52" customFormat="1" ht="14.25" thickBot="1">
      <c r="D46"/>
      <c r="E46" s="264"/>
      <c r="F46" s="261"/>
      <c r="G46" s="94">
        <f>SUM(G48:G170)</f>
        <v>44148.670000000006</v>
      </c>
      <c r="H46" s="94">
        <f>SUM(H48:H170)</f>
        <v>14050</v>
      </c>
      <c r="I46" s="94">
        <f>H46-G46</f>
        <v>-30098.670000000006</v>
      </c>
      <c r="J46" s="94">
        <f>SUM(J48:J140)</f>
        <v>-38489.450000000004</v>
      </c>
      <c r="K46" s="86"/>
      <c r="L46" s="393">
        <f>SUM(L49:L170)</f>
        <v>22435.289999999997</v>
      </c>
      <c r="M46" s="394">
        <f>SUM(M49:M170)</f>
        <v>2467.09</v>
      </c>
      <c r="N46" s="395">
        <f>SUM(N49:N170)</f>
        <v>198.91</v>
      </c>
      <c r="O46" s="395">
        <f>SUM(O49:O170)-Jan!O42</f>
        <v>19220.579999999998</v>
      </c>
      <c r="Q46" s="120">
        <v>42045</v>
      </c>
      <c r="R46" s="52">
        <v>19880.669999999998</v>
      </c>
    </row>
    <row r="47" spans="1:18" s="52" customFormat="1" ht="14.25" thickBot="1">
      <c r="A47" s="99" t="s">
        <v>434</v>
      </c>
      <c r="B47" s="259">
        <f>B48+B61+B65</f>
        <v>778.44999999999993</v>
      </c>
      <c r="C47" s="259">
        <f>C48+C61+C65</f>
        <v>1344</v>
      </c>
      <c r="D47" s="88">
        <f>D48+D61+D65</f>
        <v>565.54999999999995</v>
      </c>
      <c r="I47" s="61"/>
      <c r="J47" s="90"/>
      <c r="K47" s="82"/>
      <c r="L47" s="396"/>
      <c r="M47" s="397"/>
      <c r="N47" s="397"/>
      <c r="O47" s="398"/>
      <c r="Q47" s="52" t="s">
        <v>920</v>
      </c>
      <c r="R47" s="52">
        <v>-892.68</v>
      </c>
    </row>
    <row r="48" spans="1:18" s="52" customFormat="1" ht="14.25" thickBot="1">
      <c r="A48" s="58" t="s">
        <v>419</v>
      </c>
      <c r="B48" s="58">
        <f>SUM(G49:G57)</f>
        <v>504</v>
      </c>
      <c r="C48" s="58">
        <f>SUM(H49:H57)</f>
        <v>864</v>
      </c>
      <c r="D48" s="58">
        <f>SUM(I49:I57)</f>
        <v>359.99999999999989</v>
      </c>
      <c r="I48" s="61"/>
      <c r="J48" s="90"/>
      <c r="K48" s="82"/>
      <c r="L48" s="396"/>
      <c r="M48" s="397"/>
      <c r="N48" s="397"/>
      <c r="O48" s="398"/>
      <c r="R48" s="70">
        <f>SUM(R44:R47)</f>
        <v>20581.5</v>
      </c>
    </row>
    <row r="49" spans="1:15" s="52" customFormat="1" ht="14.25" thickTop="1">
      <c r="B49" s="52" t="s">
        <v>327</v>
      </c>
      <c r="G49" s="52">
        <f>SUM(L49:O49)</f>
        <v>0</v>
      </c>
      <c r="H49" s="52">
        <v>0</v>
      </c>
      <c r="I49" s="61">
        <f t="shared" ref="I49:I57" si="1">H49-G49</f>
        <v>0</v>
      </c>
      <c r="J49" s="90">
        <f>Jan!I49+Feb!I49</f>
        <v>0</v>
      </c>
      <c r="K49" s="82"/>
      <c r="L49" s="396"/>
      <c r="M49" s="397"/>
      <c r="N49" s="397"/>
      <c r="O49" s="398"/>
    </row>
    <row r="50" spans="1:15" s="52" customFormat="1" ht="13.5">
      <c r="A50" s="58"/>
      <c r="B50" s="52" t="s">
        <v>421</v>
      </c>
      <c r="G50" s="52">
        <f t="shared" ref="G50:G113" si="2">SUM(L50:O50)</f>
        <v>0</v>
      </c>
      <c r="H50" s="52">
        <v>100</v>
      </c>
      <c r="I50" s="61">
        <f t="shared" si="1"/>
        <v>100</v>
      </c>
      <c r="J50" s="90">
        <f>Jan!I50+Feb!I50</f>
        <v>200</v>
      </c>
      <c r="K50" s="82"/>
      <c r="L50" s="396"/>
      <c r="M50" s="397"/>
      <c r="N50" s="397"/>
      <c r="O50" s="398"/>
    </row>
    <row r="51" spans="1:15" s="52" customFormat="1" ht="13.5">
      <c r="A51" s="58"/>
      <c r="B51" s="52" t="s">
        <v>422</v>
      </c>
      <c r="G51" s="52">
        <f t="shared" si="2"/>
        <v>0</v>
      </c>
      <c r="H51" s="52">
        <v>100</v>
      </c>
      <c r="I51" s="61">
        <f t="shared" si="1"/>
        <v>100</v>
      </c>
      <c r="J51" s="90">
        <f>Jan!I51+Feb!I51</f>
        <v>200</v>
      </c>
      <c r="K51" s="82"/>
      <c r="L51" s="396"/>
      <c r="M51" s="397"/>
      <c r="N51" s="397"/>
      <c r="O51" s="398"/>
    </row>
    <row r="52" spans="1:15" s="52" customFormat="1" ht="13.5">
      <c r="A52" s="58"/>
      <c r="B52" s="52" t="s">
        <v>420</v>
      </c>
      <c r="G52" s="52">
        <f t="shared" si="2"/>
        <v>0</v>
      </c>
      <c r="H52" s="52">
        <v>100</v>
      </c>
      <c r="I52" s="61">
        <f t="shared" si="1"/>
        <v>100</v>
      </c>
      <c r="J52" s="90">
        <f>Jan!I52+Feb!I52</f>
        <v>200</v>
      </c>
      <c r="K52" s="82"/>
      <c r="L52" s="396"/>
      <c r="M52" s="397"/>
      <c r="N52" s="397"/>
      <c r="O52" s="398"/>
    </row>
    <row r="53" spans="1:15" s="52" customFormat="1" ht="13.5">
      <c r="A53" s="58"/>
      <c r="B53" s="52" t="s">
        <v>1096</v>
      </c>
      <c r="G53" s="52">
        <f t="shared" si="2"/>
        <v>564</v>
      </c>
      <c r="H53" s="52">
        <v>564</v>
      </c>
      <c r="I53" s="61">
        <f t="shared" si="1"/>
        <v>0</v>
      </c>
      <c r="J53" s="90">
        <f>Jan!I53+Feb!I53</f>
        <v>0</v>
      </c>
      <c r="K53" s="82"/>
      <c r="L53" s="396">
        <v>564</v>
      </c>
      <c r="M53" s="397"/>
      <c r="N53" s="397"/>
      <c r="O53" s="398"/>
    </row>
    <row r="54" spans="1:15" s="52" customFormat="1" ht="13.5">
      <c r="A54" s="58"/>
      <c r="B54" s="52" t="s">
        <v>429</v>
      </c>
      <c r="G54" s="52">
        <f t="shared" si="2"/>
        <v>0</v>
      </c>
      <c r="H54" s="52">
        <v>60</v>
      </c>
      <c r="I54" s="61">
        <f t="shared" si="1"/>
        <v>60</v>
      </c>
      <c r="J54" s="90">
        <f>Jan!I54+Feb!I54</f>
        <v>120</v>
      </c>
      <c r="K54" s="82"/>
      <c r="L54" s="396"/>
      <c r="M54" s="397"/>
      <c r="N54" s="397"/>
      <c r="O54" s="398"/>
    </row>
    <row r="55" spans="1:15" s="52" customFormat="1" ht="13.5">
      <c r="A55" s="58"/>
      <c r="B55" s="52" t="s">
        <v>328</v>
      </c>
      <c r="G55" s="52">
        <f t="shared" si="2"/>
        <v>1694.15</v>
      </c>
      <c r="H55" s="52">
        <f>1636.68+50.81</f>
        <v>1687.49</v>
      </c>
      <c r="I55" s="61">
        <f t="shared" si="1"/>
        <v>-6.6600000000000819</v>
      </c>
      <c r="J55" s="90">
        <f>Jan!I55+Feb!I55</f>
        <v>-13.320000000000164</v>
      </c>
      <c r="K55" s="82"/>
      <c r="L55" s="398">
        <v>1694.15</v>
      </c>
      <c r="M55" s="397"/>
      <c r="N55" s="397"/>
      <c r="O55" s="398"/>
    </row>
    <row r="56" spans="1:15" s="52" customFormat="1" ht="13.5">
      <c r="A56" s="58"/>
      <c r="B56" s="52" t="s">
        <v>384</v>
      </c>
      <c r="G56" s="52">
        <f t="shared" si="2"/>
        <v>305.85000000000002</v>
      </c>
      <c r="H56" s="52">
        <v>312.51</v>
      </c>
      <c r="I56" s="61">
        <f t="shared" si="1"/>
        <v>6.6599999999999682</v>
      </c>
      <c r="J56" s="90">
        <f>Jan!I56+Feb!I56</f>
        <v>13.319999999999936</v>
      </c>
      <c r="K56" s="82"/>
      <c r="L56" s="398">
        <v>305.85000000000002</v>
      </c>
      <c r="M56" s="397"/>
      <c r="N56" s="397"/>
      <c r="O56" s="398"/>
    </row>
    <row r="57" spans="1:15" s="52" customFormat="1" ht="13.5">
      <c r="A57" s="58"/>
      <c r="B57" s="52" t="s">
        <v>350</v>
      </c>
      <c r="G57" s="52">
        <f t="shared" si="2"/>
        <v>-2060</v>
      </c>
      <c r="H57" s="52">
        <v>-2060</v>
      </c>
      <c r="I57" s="61">
        <f t="shared" si="1"/>
        <v>0</v>
      </c>
      <c r="J57" s="90">
        <f>Jan!I57+Feb!I57</f>
        <v>0</v>
      </c>
      <c r="K57" s="82"/>
      <c r="L57" s="398">
        <v>-2060</v>
      </c>
      <c r="M57" s="397"/>
      <c r="N57" s="397"/>
      <c r="O57" s="398"/>
    </row>
    <row r="58" spans="1:15" s="52" customFormat="1" ht="13.5">
      <c r="A58" s="58"/>
      <c r="I58" s="61"/>
      <c r="J58" s="90"/>
      <c r="K58" s="82"/>
      <c r="L58" s="398"/>
      <c r="M58" s="397"/>
      <c r="N58" s="397"/>
      <c r="O58" s="398"/>
    </row>
    <row r="59" spans="1:15" s="52" customFormat="1" ht="13.5">
      <c r="A59" s="58"/>
      <c r="I59" s="61"/>
      <c r="J59" s="90"/>
      <c r="K59" s="82"/>
      <c r="L59" s="398"/>
      <c r="M59" s="397"/>
      <c r="N59" s="397"/>
      <c r="O59" s="398"/>
    </row>
    <row r="60" spans="1:15" s="52" customFormat="1" ht="13.5">
      <c r="A60" s="58" t="s">
        <v>427</v>
      </c>
      <c r="I60" s="61"/>
      <c r="J60" s="90"/>
      <c r="K60" s="82"/>
      <c r="L60" s="398"/>
      <c r="M60" s="397"/>
      <c r="N60" s="397"/>
      <c r="O60" s="398"/>
    </row>
    <row r="61" spans="1:15" s="52" customFormat="1" ht="13.5">
      <c r="A61" s="58"/>
      <c r="B61" s="58">
        <f>SUM(G62:G63)</f>
        <v>170.15</v>
      </c>
      <c r="C61" s="58">
        <f>SUM(H62:H63)</f>
        <v>170</v>
      </c>
      <c r="D61" s="58">
        <f>C61-B61</f>
        <v>-0.15000000000000568</v>
      </c>
      <c r="I61" s="61"/>
      <c r="J61" s="90"/>
      <c r="K61" s="82"/>
      <c r="L61" s="398"/>
      <c r="M61" s="397"/>
      <c r="N61" s="397"/>
      <c r="O61" s="398"/>
    </row>
    <row r="62" spans="1:15" s="52" customFormat="1" ht="13.5">
      <c r="A62" s="58"/>
      <c r="B62" s="52" t="s">
        <v>431</v>
      </c>
      <c r="G62" s="52">
        <f t="shared" si="2"/>
        <v>70.98</v>
      </c>
      <c r="H62" s="52">
        <v>70</v>
      </c>
      <c r="I62" s="61">
        <f t="shared" ref="I62:I131" si="3">H62-G62</f>
        <v>-0.98000000000000398</v>
      </c>
      <c r="J62" s="90">
        <f>Jan!I62+Feb!I62</f>
        <v>-0.13000000000000966</v>
      </c>
      <c r="K62" s="82"/>
      <c r="L62" s="398"/>
      <c r="M62" s="397">
        <f>70.98</f>
        <v>70.98</v>
      </c>
      <c r="N62" s="397"/>
      <c r="O62" s="398"/>
    </row>
    <row r="63" spans="1:15" s="52" customFormat="1" ht="13.5">
      <c r="A63" s="58"/>
      <c r="B63" s="52" t="s">
        <v>432</v>
      </c>
      <c r="D63" s="65"/>
      <c r="G63" s="52">
        <f t="shared" si="2"/>
        <v>99.17</v>
      </c>
      <c r="H63" s="52">
        <v>100</v>
      </c>
      <c r="I63" s="61">
        <f t="shared" si="3"/>
        <v>0.82999999999999829</v>
      </c>
      <c r="J63" s="90">
        <f>Jan!I63+Feb!I63</f>
        <v>6.8799999999999955</v>
      </c>
      <c r="K63" s="82"/>
      <c r="L63" s="398"/>
      <c r="M63" s="397">
        <v>99.17</v>
      </c>
      <c r="N63" s="397"/>
      <c r="O63" s="398"/>
    </row>
    <row r="64" spans="1:15" s="52" customFormat="1" ht="13.5">
      <c r="A64" s="58"/>
      <c r="I64" s="61"/>
      <c r="J64" s="90"/>
      <c r="K64" s="82"/>
      <c r="L64" s="398"/>
      <c r="M64" s="397"/>
      <c r="N64" s="397"/>
      <c r="O64" s="398"/>
    </row>
    <row r="65" spans="1:17" s="52" customFormat="1" ht="13.5">
      <c r="A65" s="58" t="s">
        <v>428</v>
      </c>
      <c r="B65" s="58">
        <f>SUM(G66:G74)</f>
        <v>104.3</v>
      </c>
      <c r="C65" s="58">
        <f>SUM(H66:H74)</f>
        <v>310</v>
      </c>
      <c r="D65" s="58">
        <f>C65-B65</f>
        <v>205.7</v>
      </c>
      <c r="I65" s="61"/>
      <c r="J65" s="90"/>
      <c r="K65" s="82"/>
      <c r="L65" s="398"/>
      <c r="M65" s="397"/>
      <c r="N65" s="397"/>
      <c r="O65" s="398"/>
    </row>
    <row r="66" spans="1:17" s="52" customFormat="1" ht="13.5">
      <c r="B66" s="52" t="s">
        <v>55</v>
      </c>
      <c r="G66" s="52">
        <f t="shared" si="2"/>
        <v>17.05</v>
      </c>
      <c r="H66" s="52">
        <v>60</v>
      </c>
      <c r="I66" s="61">
        <f t="shared" si="3"/>
        <v>42.95</v>
      </c>
      <c r="J66" s="90">
        <f>Jan!I66+Feb!I66</f>
        <v>62.61</v>
      </c>
      <c r="K66" s="82"/>
      <c r="L66" s="398"/>
      <c r="M66" s="397">
        <f>17.05</f>
        <v>17.05</v>
      </c>
      <c r="N66" s="397"/>
      <c r="O66" s="398"/>
    </row>
    <row r="67" spans="1:17" s="52" customFormat="1" ht="13.5">
      <c r="B67" s="52" t="s">
        <v>56</v>
      </c>
      <c r="D67" s="52" t="s">
        <v>57</v>
      </c>
      <c r="G67" s="52">
        <f t="shared" si="2"/>
        <v>87.25</v>
      </c>
      <c r="H67" s="52">
        <v>140</v>
      </c>
      <c r="I67" s="61">
        <f t="shared" si="3"/>
        <v>52.75</v>
      </c>
      <c r="J67" s="90">
        <f>Jan!I67+Feb!I67</f>
        <v>54.75</v>
      </c>
      <c r="K67" s="82"/>
      <c r="L67" s="398"/>
      <c r="M67" s="397">
        <f>45.8+1+40.45</f>
        <v>87.25</v>
      </c>
      <c r="N67" s="397"/>
      <c r="O67" s="398"/>
    </row>
    <row r="68" spans="1:17" s="52" customFormat="1" ht="13.5">
      <c r="I68" s="61"/>
      <c r="J68" s="90"/>
      <c r="K68" s="82"/>
      <c r="L68" s="398"/>
      <c r="M68" s="397"/>
      <c r="N68" s="397"/>
      <c r="O68" s="398"/>
    </row>
    <row r="69" spans="1:17" s="52" customFormat="1" ht="13.5">
      <c r="A69" s="58" t="s">
        <v>423</v>
      </c>
      <c r="I69" s="61"/>
      <c r="J69" s="90"/>
      <c r="K69" s="82"/>
      <c r="L69" s="398"/>
      <c r="M69" s="397"/>
      <c r="N69" s="397"/>
      <c r="O69" s="398"/>
    </row>
    <row r="70" spans="1:17" s="52" customFormat="1" ht="13.5">
      <c r="B70" s="52" t="s">
        <v>424</v>
      </c>
      <c r="G70" s="52">
        <f t="shared" si="2"/>
        <v>0</v>
      </c>
      <c r="H70" s="52">
        <v>25</v>
      </c>
      <c r="I70" s="61">
        <f t="shared" si="3"/>
        <v>25</v>
      </c>
      <c r="J70" s="90">
        <f>Jan!I70+Feb!I70</f>
        <v>40</v>
      </c>
      <c r="K70" s="82"/>
      <c r="L70" s="398"/>
      <c r="M70" s="397"/>
      <c r="N70" s="397"/>
      <c r="O70" s="398"/>
    </row>
    <row r="71" spans="1:17" s="52" customFormat="1" ht="13.5">
      <c r="A71" s="58"/>
      <c r="B71" s="52" t="s">
        <v>425</v>
      </c>
      <c r="G71" s="52">
        <f t="shared" si="2"/>
        <v>0</v>
      </c>
      <c r="H71" s="52">
        <v>30</v>
      </c>
      <c r="I71" s="61">
        <f t="shared" si="3"/>
        <v>30</v>
      </c>
      <c r="J71" s="90">
        <f>Jan!I71+Feb!I71</f>
        <v>60</v>
      </c>
      <c r="K71" s="82"/>
      <c r="L71" s="398"/>
      <c r="M71" s="397"/>
      <c r="N71" s="397"/>
      <c r="O71" s="398"/>
    </row>
    <row r="72" spans="1:17" s="52" customFormat="1" ht="13.5">
      <c r="A72" s="58"/>
      <c r="B72" s="52" t="s">
        <v>430</v>
      </c>
      <c r="G72" s="52">
        <f t="shared" si="2"/>
        <v>0</v>
      </c>
      <c r="H72" s="52">
        <v>20</v>
      </c>
      <c r="I72" s="61">
        <f t="shared" si="3"/>
        <v>20</v>
      </c>
      <c r="J72" s="90">
        <f>Jan!I72+Feb!I72</f>
        <v>40</v>
      </c>
      <c r="K72" s="82"/>
      <c r="L72" s="398"/>
      <c r="M72" s="397"/>
      <c r="N72" s="397"/>
      <c r="O72" s="398"/>
    </row>
    <row r="73" spans="1:17" s="52" customFormat="1" ht="13.5">
      <c r="A73" s="58"/>
      <c r="I73" s="61"/>
      <c r="J73" s="90"/>
      <c r="K73" s="82"/>
      <c r="L73" s="398"/>
      <c r="M73" s="397"/>
      <c r="N73" s="397"/>
      <c r="O73" s="398"/>
    </row>
    <row r="74" spans="1:17" s="52" customFormat="1" ht="13.5">
      <c r="A74" s="58" t="s">
        <v>426</v>
      </c>
      <c r="B74" s="52" t="s">
        <v>58</v>
      </c>
      <c r="H74" s="52">
        <v>35</v>
      </c>
      <c r="I74" s="61">
        <f t="shared" si="3"/>
        <v>35</v>
      </c>
      <c r="J74" s="90">
        <f>Jan!I74+Feb!I74</f>
        <v>19.46</v>
      </c>
      <c r="K74" s="82"/>
      <c r="L74" s="398"/>
      <c r="M74" s="397">
        <f>1.5+2.25+(21.25+20.5+18.25+100.9)+4.2+4.35</f>
        <v>173.2</v>
      </c>
      <c r="N74" s="397"/>
      <c r="O74" s="398"/>
      <c r="Q74" s="52" t="s">
        <v>932</v>
      </c>
    </row>
    <row r="75" spans="1:17" s="52" customFormat="1" ht="14.25" thickBot="1">
      <c r="A75" s="58"/>
      <c r="I75" s="61"/>
      <c r="J75" s="90"/>
      <c r="K75" s="82"/>
      <c r="L75" s="398"/>
      <c r="M75" s="397"/>
      <c r="N75" s="397"/>
      <c r="O75" s="398"/>
    </row>
    <row r="76" spans="1:17" s="52" customFormat="1" ht="14.25" thickBot="1">
      <c r="A76" s="99" t="s">
        <v>433</v>
      </c>
      <c r="B76" s="140">
        <f>B78+B90+B96+B101+B110+B115+B120+B125+B138+B141+B146+B149</f>
        <v>43124.020000000004</v>
      </c>
      <c r="C76" s="140">
        <f>C78+C90+C96+C101+C110+C115+C120+C125+C138+C141+C146+C149</f>
        <v>5711</v>
      </c>
      <c r="D76" s="140">
        <f>D78+D90+D96+D101+D110+D115+D120+D125+D138+D141+D146+D149</f>
        <v>1722.6999999999998</v>
      </c>
      <c r="I76" s="61"/>
      <c r="J76" s="90"/>
      <c r="K76" s="82"/>
      <c r="L76" s="398"/>
      <c r="M76" s="397"/>
      <c r="N76" s="397"/>
      <c r="O76" s="398"/>
    </row>
    <row r="77" spans="1:17" s="52" customFormat="1" ht="13.5">
      <c r="A77" s="99"/>
      <c r="B77" s="380"/>
      <c r="C77" s="380"/>
      <c r="D77" s="380"/>
      <c r="I77" s="61"/>
      <c r="J77" s="90"/>
      <c r="K77" s="82"/>
      <c r="L77" s="398"/>
      <c r="M77" s="397"/>
      <c r="N77" s="397"/>
      <c r="O77" s="398"/>
    </row>
    <row r="78" spans="1:17" s="52" customFormat="1" ht="13.5">
      <c r="A78" s="58" t="s">
        <v>710</v>
      </c>
      <c r="B78" s="380">
        <f>SUM(G79:G88)</f>
        <v>41608.43</v>
      </c>
      <c r="C78" s="380">
        <f>SUM(H79:H80)</f>
        <v>2500</v>
      </c>
      <c r="D78" s="380">
        <f>SUM(I79:I80)</f>
        <v>27.289999999999964</v>
      </c>
      <c r="I78" s="61"/>
      <c r="J78" s="90"/>
      <c r="K78" s="82"/>
      <c r="L78" s="398"/>
      <c r="M78" s="397"/>
      <c r="N78" s="397"/>
      <c r="O78" s="398"/>
    </row>
    <row r="79" spans="1:17" s="52" customFormat="1" ht="13.5">
      <c r="B79" s="52" t="s">
        <v>798</v>
      </c>
      <c r="G79" s="52">
        <f t="shared" si="2"/>
        <v>2472.71</v>
      </c>
      <c r="H79" s="52">
        <v>2500</v>
      </c>
      <c r="I79" s="61">
        <f t="shared" si="3"/>
        <v>27.289999999999964</v>
      </c>
      <c r="J79" s="90">
        <f>Jan!I79+Feb!I79</f>
        <v>54.579999999999927</v>
      </c>
      <c r="K79" s="82"/>
      <c r="L79" s="398">
        <v>2472.71</v>
      </c>
      <c r="M79" s="397"/>
      <c r="N79" s="397"/>
      <c r="O79" s="398"/>
    </row>
    <row r="80" spans="1:17" s="52" customFormat="1" ht="13.5">
      <c r="A80" s="58"/>
      <c r="B80" s="52" t="s">
        <v>801</v>
      </c>
      <c r="G80" s="52">
        <f t="shared" si="2"/>
        <v>0</v>
      </c>
      <c r="H80" s="52">
        <v>0</v>
      </c>
      <c r="I80" s="61">
        <f t="shared" si="3"/>
        <v>0</v>
      </c>
      <c r="J80" s="90">
        <f>Jan!I80+Feb!I80</f>
        <v>0</v>
      </c>
      <c r="K80" s="82"/>
      <c r="L80" s="398"/>
      <c r="M80" s="397"/>
      <c r="N80" s="397"/>
      <c r="O80" s="398"/>
    </row>
    <row r="81" spans="1:17" s="52" customFormat="1" ht="13.5">
      <c r="A81" s="58"/>
      <c r="B81" s="52" t="s">
        <v>421</v>
      </c>
      <c r="G81" s="52">
        <f t="shared" si="2"/>
        <v>36598.19</v>
      </c>
      <c r="H81" s="52">
        <v>5000</v>
      </c>
      <c r="I81" s="61">
        <f t="shared" si="3"/>
        <v>-31598.190000000002</v>
      </c>
      <c r="J81" s="90">
        <f>Jan!I81+Feb!I81</f>
        <v>-40315.100000000006</v>
      </c>
      <c r="K81" s="82"/>
      <c r="L81" s="398">
        <f>28+2400+257+2400+(9600+2000-78.96)</f>
        <v>16606.04</v>
      </c>
      <c r="M81" s="397">
        <f>537.56+25.04+183.22+25.75</f>
        <v>771.56999999999994</v>
      </c>
      <c r="N81" s="397"/>
      <c r="O81" s="398">
        <f>479.07+171.52+451.43-48.71+445.37+4651.86+282.64+22.41-10.86-16.6+222.94+8344.53+(3704.16+103.98)+263.41+813.52-497.86-162.23</f>
        <v>19220.579999999998</v>
      </c>
      <c r="Q81" s="52" t="s">
        <v>861</v>
      </c>
    </row>
    <row r="82" spans="1:17" s="52" customFormat="1" ht="13.5">
      <c r="A82" s="58"/>
      <c r="B82" s="52" t="s">
        <v>888</v>
      </c>
      <c r="G82" s="52">
        <f t="shared" si="2"/>
        <v>2000</v>
      </c>
      <c r="H82" s="52">
        <v>1000</v>
      </c>
      <c r="I82" s="61">
        <f t="shared" si="3"/>
        <v>-1000</v>
      </c>
      <c r="J82" s="90">
        <f>Jan!I82+Feb!I82</f>
        <v>-1000</v>
      </c>
      <c r="K82" s="82"/>
      <c r="L82" s="398">
        <f>2000</f>
        <v>2000</v>
      </c>
      <c r="M82" s="397"/>
      <c r="N82" s="397"/>
      <c r="O82" s="398"/>
      <c r="Q82" s="52" t="s">
        <v>904</v>
      </c>
    </row>
    <row r="83" spans="1:17" s="52" customFormat="1" ht="13.5">
      <c r="A83" s="58"/>
      <c r="B83" s="52" t="s">
        <v>889</v>
      </c>
      <c r="G83" s="52">
        <f t="shared" si="2"/>
        <v>0</v>
      </c>
      <c r="H83" s="52">
        <v>50</v>
      </c>
      <c r="I83" s="61">
        <f t="shared" si="3"/>
        <v>50</v>
      </c>
      <c r="J83" s="90">
        <f>Jan!I83+Feb!I83</f>
        <v>50</v>
      </c>
      <c r="K83" s="82"/>
      <c r="L83" s="398"/>
      <c r="M83" s="397"/>
      <c r="N83" s="397"/>
      <c r="O83" s="398"/>
    </row>
    <row r="84" spans="1:17" s="52" customFormat="1" ht="13.5">
      <c r="A84" s="58"/>
      <c r="B84" s="52" t="s">
        <v>26</v>
      </c>
      <c r="G84" s="52">
        <f t="shared" si="2"/>
        <v>40.69</v>
      </c>
      <c r="H84" s="52">
        <v>100</v>
      </c>
      <c r="I84" s="61">
        <f t="shared" si="3"/>
        <v>59.31</v>
      </c>
      <c r="J84" s="90">
        <f>Jan!I84+Feb!I84</f>
        <v>113.12</v>
      </c>
      <c r="K84" s="82"/>
      <c r="L84" s="398">
        <v>40.69</v>
      </c>
      <c r="M84" s="397"/>
      <c r="N84" s="397"/>
      <c r="O84" s="398"/>
    </row>
    <row r="85" spans="1:17" s="52" customFormat="1" ht="13.5">
      <c r="A85" s="58"/>
      <c r="B85" s="52" t="s">
        <v>799</v>
      </c>
      <c r="C85" s="52" t="s">
        <v>860</v>
      </c>
      <c r="G85" s="52">
        <f t="shared" si="2"/>
        <v>213.14</v>
      </c>
      <c r="H85" s="52">
        <v>70</v>
      </c>
      <c r="I85" s="61">
        <f t="shared" si="3"/>
        <v>-143.13999999999999</v>
      </c>
      <c r="J85" s="90">
        <f>Jan!I85+Feb!I85</f>
        <v>-205.91</v>
      </c>
      <c r="K85" s="82"/>
      <c r="L85" s="398">
        <v>213.14</v>
      </c>
      <c r="M85" s="397"/>
      <c r="N85" s="397"/>
      <c r="O85" s="398"/>
    </row>
    <row r="86" spans="1:17" s="52" customFormat="1" ht="13.5">
      <c r="A86" s="58"/>
      <c r="B86" s="52" t="s">
        <v>799</v>
      </c>
      <c r="C86" s="52" t="s">
        <v>811</v>
      </c>
      <c r="G86" s="52">
        <f t="shared" si="2"/>
        <v>15.38</v>
      </c>
      <c r="H86" s="52">
        <v>25</v>
      </c>
      <c r="I86" s="61">
        <f t="shared" si="3"/>
        <v>9.6199999999999992</v>
      </c>
      <c r="J86" s="90">
        <f>Jan!I86+Feb!I86</f>
        <v>16.939999999999998</v>
      </c>
      <c r="K86" s="82"/>
      <c r="L86" s="398">
        <v>15.38</v>
      </c>
      <c r="M86" s="397"/>
      <c r="N86" s="397"/>
      <c r="O86" s="398"/>
    </row>
    <row r="87" spans="1:17" s="52" customFormat="1" ht="13.5">
      <c r="A87" s="58"/>
      <c r="B87" s="52" t="s">
        <v>800</v>
      </c>
      <c r="G87" s="52">
        <f t="shared" si="2"/>
        <v>268.32</v>
      </c>
      <c r="H87" s="52">
        <v>40</v>
      </c>
      <c r="I87" s="61">
        <f t="shared" si="3"/>
        <v>-228.32</v>
      </c>
      <c r="J87" s="90">
        <f>Jan!I87+Feb!I87</f>
        <v>-188.32</v>
      </c>
      <c r="K87" s="82"/>
      <c r="L87" s="398">
        <v>268.32</v>
      </c>
      <c r="M87" s="397"/>
      <c r="N87" s="397"/>
      <c r="O87" s="398"/>
    </row>
    <row r="88" spans="1:17" s="52" customFormat="1" ht="13.5">
      <c r="A88" s="58"/>
      <c r="B88" s="52" t="s">
        <v>802</v>
      </c>
      <c r="G88" s="52">
        <f t="shared" si="2"/>
        <v>0</v>
      </c>
      <c r="H88" s="52">
        <v>100</v>
      </c>
      <c r="I88" s="61">
        <f t="shared" si="3"/>
        <v>100</v>
      </c>
      <c r="J88" s="90">
        <f>Jan!I88+Feb!I88</f>
        <v>200</v>
      </c>
      <c r="K88" s="82"/>
      <c r="L88" s="398"/>
      <c r="M88" s="397"/>
      <c r="N88" s="397"/>
      <c r="O88" s="398"/>
    </row>
    <row r="89" spans="1:17" s="52" customFormat="1" ht="13.5">
      <c r="A89" s="58"/>
      <c r="I89" s="61"/>
      <c r="J89" s="90"/>
      <c r="K89" s="82"/>
      <c r="L89" s="398"/>
      <c r="M89" s="397"/>
      <c r="N89" s="397"/>
      <c r="O89" s="398"/>
    </row>
    <row r="90" spans="1:17" s="52" customFormat="1" ht="13.5">
      <c r="A90" s="58" t="s">
        <v>39</v>
      </c>
      <c r="B90" s="58">
        <f>SUM(G91:G94)</f>
        <v>158.01</v>
      </c>
      <c r="C90" s="58">
        <f>SUM(H91:H94)</f>
        <v>360</v>
      </c>
      <c r="D90" s="58">
        <f>C90-B90</f>
        <v>201.99</v>
      </c>
      <c r="I90" s="61"/>
      <c r="J90" s="90"/>
      <c r="K90" s="82"/>
      <c r="L90" s="398"/>
      <c r="M90" s="397"/>
      <c r="N90" s="397"/>
      <c r="O90" s="398"/>
    </row>
    <row r="91" spans="1:17" s="52" customFormat="1" ht="13.5">
      <c r="B91" s="52" t="s">
        <v>26</v>
      </c>
      <c r="C91" s="52" t="s">
        <v>927</v>
      </c>
      <c r="G91" s="52">
        <f t="shared" si="2"/>
        <v>108.76</v>
      </c>
      <c r="H91" s="52">
        <v>100</v>
      </c>
      <c r="I91" s="61">
        <f t="shared" si="3"/>
        <v>-8.7600000000000051</v>
      </c>
      <c r="J91" s="90">
        <f>Jan!I91+Feb!I91</f>
        <v>16.28</v>
      </c>
      <c r="K91" s="82"/>
      <c r="L91" s="398">
        <v>108.76</v>
      </c>
      <c r="M91" s="397"/>
      <c r="N91" s="397"/>
      <c r="O91" s="398"/>
    </row>
    <row r="92" spans="1:17" s="52" customFormat="1" ht="13.5">
      <c r="B92" s="52" t="s">
        <v>28</v>
      </c>
      <c r="C92" s="52" t="s">
        <v>29</v>
      </c>
      <c r="G92" s="52">
        <f t="shared" si="2"/>
        <v>49.25</v>
      </c>
      <c r="H92" s="52">
        <v>40</v>
      </c>
      <c r="I92" s="61">
        <f t="shared" si="3"/>
        <v>-9.25</v>
      </c>
      <c r="J92" s="90">
        <f>Jan!I92+Feb!I92</f>
        <v>30.75</v>
      </c>
      <c r="K92" s="82"/>
      <c r="L92" s="398">
        <v>49.25</v>
      </c>
      <c r="M92" s="397"/>
      <c r="N92" s="397"/>
      <c r="O92" s="398"/>
    </row>
    <row r="93" spans="1:17" s="52" customFormat="1" ht="13.5">
      <c r="B93" s="52" t="s">
        <v>40</v>
      </c>
      <c r="C93" s="52" t="s">
        <v>41</v>
      </c>
      <c r="D93" s="52" t="s">
        <v>321</v>
      </c>
      <c r="G93" s="52">
        <f t="shared" si="2"/>
        <v>0</v>
      </c>
      <c r="H93" s="52">
        <v>100</v>
      </c>
      <c r="I93" s="61">
        <f t="shared" si="3"/>
        <v>100</v>
      </c>
      <c r="J93" s="90">
        <f>Jan!I93+Feb!I93</f>
        <v>200</v>
      </c>
      <c r="K93" s="82"/>
      <c r="L93" s="398"/>
      <c r="M93" s="397"/>
      <c r="N93" s="397"/>
      <c r="O93" s="398"/>
    </row>
    <row r="94" spans="1:17" s="52" customFormat="1" ht="13.5">
      <c r="B94" s="52" t="s">
        <v>42</v>
      </c>
      <c r="C94" s="52" t="s">
        <v>43</v>
      </c>
      <c r="D94" s="52" t="s">
        <v>435</v>
      </c>
      <c r="G94" s="52">
        <f t="shared" si="2"/>
        <v>0</v>
      </c>
      <c r="H94" s="52">
        <v>120</v>
      </c>
      <c r="I94" s="61">
        <f t="shared" si="3"/>
        <v>120</v>
      </c>
      <c r="J94" s="90">
        <f>Jan!I94+Feb!I94</f>
        <v>240</v>
      </c>
      <c r="K94" s="82"/>
      <c r="L94" s="398"/>
      <c r="M94" s="397"/>
      <c r="N94" s="397"/>
      <c r="O94" s="398"/>
    </row>
    <row r="95" spans="1:17" s="52" customFormat="1" ht="13.5">
      <c r="I95" s="61"/>
      <c r="J95" s="90"/>
      <c r="K95" s="82"/>
      <c r="L95" s="398"/>
      <c r="M95" s="397"/>
      <c r="N95" s="397"/>
      <c r="O95" s="398"/>
    </row>
    <row r="96" spans="1:17" s="52" customFormat="1" ht="13.5">
      <c r="A96" s="58" t="s">
        <v>45</v>
      </c>
      <c r="B96" s="58">
        <f>SUM(G97:G99)</f>
        <v>730</v>
      </c>
      <c r="C96" s="58">
        <f>SUM(H97:H99)</f>
        <v>173</v>
      </c>
      <c r="D96" s="58">
        <f>C96-B96</f>
        <v>-557</v>
      </c>
      <c r="I96" s="61"/>
      <c r="J96" s="90"/>
      <c r="K96" s="82"/>
      <c r="L96" s="398"/>
      <c r="M96" s="397"/>
      <c r="N96" s="397"/>
      <c r="O96" s="398"/>
    </row>
    <row r="97" spans="1:15" s="52" customFormat="1" ht="13.5">
      <c r="B97" s="52" t="s">
        <v>46</v>
      </c>
      <c r="D97" s="52" t="s">
        <v>437</v>
      </c>
      <c r="G97" s="52">
        <f t="shared" si="2"/>
        <v>730</v>
      </c>
      <c r="H97" s="52">
        <v>65</v>
      </c>
      <c r="I97" s="61">
        <f t="shared" si="3"/>
        <v>-665</v>
      </c>
      <c r="J97" s="90">
        <f>Jan!I97+Feb!I97</f>
        <v>-600</v>
      </c>
      <c r="K97" s="82"/>
      <c r="L97" s="398"/>
      <c r="M97" s="397">
        <v>730</v>
      </c>
      <c r="N97" s="397"/>
      <c r="O97" s="398"/>
    </row>
    <row r="98" spans="1:15" s="52" customFormat="1" ht="13.5">
      <c r="B98" s="52" t="s">
        <v>47</v>
      </c>
      <c r="D98" s="52" t="s">
        <v>436</v>
      </c>
      <c r="G98" s="52">
        <f t="shared" si="2"/>
        <v>0</v>
      </c>
      <c r="H98" s="52">
        <v>72</v>
      </c>
      <c r="I98" s="61">
        <f t="shared" si="3"/>
        <v>72</v>
      </c>
      <c r="J98" s="90">
        <f>Jan!I98+Feb!I98</f>
        <v>-714</v>
      </c>
      <c r="K98" s="82"/>
      <c r="L98" s="398"/>
      <c r="M98" s="397"/>
      <c r="N98" s="397"/>
      <c r="O98" s="398"/>
    </row>
    <row r="99" spans="1:15" s="52" customFormat="1" ht="13.5">
      <c r="B99" s="52" t="s">
        <v>48</v>
      </c>
      <c r="D99" s="52" t="s">
        <v>445</v>
      </c>
      <c r="G99" s="52">
        <f t="shared" si="2"/>
        <v>0</v>
      </c>
      <c r="H99" s="52">
        <v>36</v>
      </c>
      <c r="I99" s="61">
        <f t="shared" si="3"/>
        <v>36</v>
      </c>
      <c r="J99" s="90">
        <f>Jan!I99+Feb!I99</f>
        <v>72</v>
      </c>
      <c r="K99" s="82"/>
      <c r="L99" s="398"/>
      <c r="M99" s="397"/>
      <c r="N99" s="397"/>
      <c r="O99" s="398"/>
    </row>
    <row r="100" spans="1:15" s="52" customFormat="1" ht="13.5">
      <c r="I100" s="61"/>
      <c r="J100" s="90"/>
      <c r="K100" s="82"/>
      <c r="L100" s="398"/>
      <c r="M100" s="397"/>
      <c r="N100" s="397"/>
      <c r="O100" s="398"/>
    </row>
    <row r="101" spans="1:15" s="52" customFormat="1" ht="13.5">
      <c r="A101" s="58" t="s">
        <v>49</v>
      </c>
      <c r="B101" s="58">
        <f>SUM(G102:G108)</f>
        <v>0</v>
      </c>
      <c r="C101" s="58">
        <f>SUM(H102:H108)</f>
        <v>178</v>
      </c>
      <c r="D101" s="58">
        <f>C101-B101</f>
        <v>178</v>
      </c>
      <c r="I101" s="61"/>
      <c r="J101" s="90"/>
      <c r="K101" s="82"/>
      <c r="L101" s="398"/>
      <c r="M101" s="397"/>
      <c r="N101" s="397"/>
      <c r="O101" s="398"/>
    </row>
    <row r="102" spans="1:15" s="52" customFormat="1" ht="13.5">
      <c r="B102" s="52" t="s">
        <v>438</v>
      </c>
      <c r="G102" s="52">
        <f t="shared" si="2"/>
        <v>0</v>
      </c>
      <c r="H102" s="52">
        <v>20</v>
      </c>
      <c r="I102" s="61">
        <f t="shared" si="3"/>
        <v>20</v>
      </c>
      <c r="J102" s="90">
        <f>Jan!I102+Feb!I102</f>
        <v>40</v>
      </c>
      <c r="K102" s="82"/>
      <c r="L102" s="398"/>
      <c r="M102" s="397"/>
      <c r="N102" s="397"/>
      <c r="O102" s="398"/>
    </row>
    <row r="103" spans="1:15" s="52" customFormat="1" ht="13.5">
      <c r="B103" s="52" t="s">
        <v>439</v>
      </c>
      <c r="G103" s="52">
        <f t="shared" si="2"/>
        <v>0</v>
      </c>
      <c r="H103" s="52">
        <v>5</v>
      </c>
      <c r="I103" s="61">
        <f t="shared" si="3"/>
        <v>5</v>
      </c>
      <c r="J103" s="90">
        <f>Jan!I103+Feb!I103</f>
        <v>10</v>
      </c>
      <c r="K103" s="82"/>
      <c r="L103" s="398"/>
      <c r="M103" s="397"/>
      <c r="N103" s="397"/>
      <c r="O103" s="398"/>
    </row>
    <row r="104" spans="1:15" s="52" customFormat="1" ht="13.5">
      <c r="B104" s="52" t="s">
        <v>303</v>
      </c>
      <c r="G104" s="52">
        <f t="shared" si="2"/>
        <v>0</v>
      </c>
      <c r="H104" s="52">
        <v>65</v>
      </c>
      <c r="I104" s="61">
        <f t="shared" si="3"/>
        <v>65</v>
      </c>
      <c r="J104" s="90">
        <f>Jan!I104+Feb!I104</f>
        <v>130</v>
      </c>
      <c r="K104" s="82"/>
      <c r="L104" s="398"/>
      <c r="M104" s="397"/>
      <c r="N104" s="397"/>
      <c r="O104" s="398"/>
    </row>
    <row r="105" spans="1:15" s="52" customFormat="1" ht="13.5">
      <c r="B105" s="52" t="s">
        <v>259</v>
      </c>
      <c r="G105" s="52">
        <f t="shared" si="2"/>
        <v>0</v>
      </c>
      <c r="H105" s="52">
        <v>15</v>
      </c>
      <c r="I105" s="61">
        <f t="shared" si="3"/>
        <v>15</v>
      </c>
      <c r="J105" s="90">
        <f>Jan!I105+Feb!I105</f>
        <v>30</v>
      </c>
      <c r="K105" s="82"/>
      <c r="L105" s="398"/>
      <c r="M105" s="397"/>
      <c r="N105" s="397"/>
      <c r="O105" s="398"/>
    </row>
    <row r="106" spans="1:15" s="52" customFormat="1" ht="13.5">
      <c r="B106" s="52" t="s">
        <v>299</v>
      </c>
      <c r="G106" s="52">
        <f t="shared" si="2"/>
        <v>0</v>
      </c>
      <c r="H106" s="52">
        <v>35</v>
      </c>
      <c r="I106" s="61">
        <f t="shared" si="3"/>
        <v>35</v>
      </c>
      <c r="J106" s="90">
        <f>Jan!I106+Feb!I106</f>
        <v>70</v>
      </c>
      <c r="K106" s="82"/>
      <c r="L106" s="398"/>
      <c r="M106" s="397"/>
      <c r="N106" s="397"/>
      <c r="O106" s="398"/>
    </row>
    <row r="107" spans="1:15" s="52" customFormat="1" ht="13.5">
      <c r="B107" s="52" t="s">
        <v>440</v>
      </c>
      <c r="G107" s="52">
        <f t="shared" si="2"/>
        <v>0</v>
      </c>
      <c r="H107" s="52">
        <v>26</v>
      </c>
      <c r="I107" s="61">
        <f t="shared" si="3"/>
        <v>26</v>
      </c>
      <c r="J107" s="90">
        <f>Jan!I107+Feb!I107</f>
        <v>52</v>
      </c>
      <c r="K107" s="82"/>
      <c r="L107" s="398"/>
      <c r="M107" s="397"/>
      <c r="N107" s="397"/>
      <c r="O107" s="398"/>
    </row>
    <row r="108" spans="1:15" s="52" customFormat="1" ht="13.5">
      <c r="B108" s="52" t="s">
        <v>441</v>
      </c>
      <c r="G108" s="52">
        <f t="shared" si="2"/>
        <v>0</v>
      </c>
      <c r="H108" s="52">
        <v>12</v>
      </c>
      <c r="I108" s="61">
        <f t="shared" si="3"/>
        <v>12</v>
      </c>
      <c r="J108" s="90">
        <f>Jan!I108+Feb!I108</f>
        <v>24</v>
      </c>
      <c r="K108" s="82"/>
      <c r="L108" s="398"/>
      <c r="M108" s="397"/>
      <c r="N108" s="397"/>
      <c r="O108" s="398"/>
    </row>
    <row r="109" spans="1:15" s="52" customFormat="1" ht="13.5">
      <c r="I109" s="61"/>
      <c r="J109" s="90"/>
      <c r="K109" s="82"/>
      <c r="L109" s="398"/>
      <c r="M109" s="397"/>
      <c r="N109" s="397"/>
      <c r="O109" s="398"/>
    </row>
    <row r="110" spans="1:15" s="52" customFormat="1" ht="13.5">
      <c r="A110" s="58" t="s">
        <v>236</v>
      </c>
      <c r="B110" s="58">
        <f>SUM(G111:G113)</f>
        <v>0</v>
      </c>
      <c r="C110" s="58">
        <f>SUM(H111:H113)</f>
        <v>470</v>
      </c>
      <c r="D110" s="58">
        <f>C110-B110</f>
        <v>470</v>
      </c>
      <c r="I110" s="61"/>
      <c r="J110" s="90"/>
      <c r="K110" s="82"/>
      <c r="L110" s="398"/>
      <c r="M110" s="397"/>
      <c r="N110" s="397"/>
      <c r="O110" s="398"/>
    </row>
    <row r="111" spans="1:15" s="52" customFormat="1" ht="13.5">
      <c r="B111" s="52" t="s">
        <v>482</v>
      </c>
      <c r="G111" s="52">
        <f t="shared" si="2"/>
        <v>0</v>
      </c>
      <c r="H111" s="52">
        <v>60</v>
      </c>
      <c r="I111" s="61">
        <f t="shared" si="3"/>
        <v>60</v>
      </c>
      <c r="J111" s="90">
        <f>Jan!I111+Feb!I111</f>
        <v>120</v>
      </c>
      <c r="K111" s="82"/>
      <c r="L111" s="398"/>
      <c r="M111" s="397"/>
      <c r="N111" s="397"/>
      <c r="O111" s="398"/>
    </row>
    <row r="112" spans="1:15" s="52" customFormat="1" ht="13.5">
      <c r="B112" s="52" t="s">
        <v>442</v>
      </c>
      <c r="G112" s="52">
        <f t="shared" si="2"/>
        <v>0</v>
      </c>
      <c r="H112" s="52">
        <v>400</v>
      </c>
      <c r="I112" s="61">
        <f t="shared" si="3"/>
        <v>400</v>
      </c>
      <c r="J112" s="90">
        <f>Jan!I112+Feb!I112</f>
        <v>800</v>
      </c>
      <c r="K112" s="82"/>
      <c r="L112" s="398"/>
      <c r="M112" s="397"/>
      <c r="N112" s="397"/>
      <c r="O112" s="398"/>
    </row>
    <row r="113" spans="1:17" s="52" customFormat="1" ht="13.5">
      <c r="B113" s="52" t="s">
        <v>258</v>
      </c>
      <c r="G113" s="52">
        <f t="shared" si="2"/>
        <v>0</v>
      </c>
      <c r="H113" s="52">
        <v>10</v>
      </c>
      <c r="I113" s="61">
        <f t="shared" si="3"/>
        <v>10</v>
      </c>
      <c r="J113" s="90">
        <f>Jan!I113+Feb!I113</f>
        <v>20</v>
      </c>
      <c r="K113" s="82"/>
      <c r="L113" s="398"/>
      <c r="M113" s="397"/>
      <c r="N113" s="397"/>
      <c r="O113" s="398"/>
    </row>
    <row r="114" spans="1:17" s="52" customFormat="1" ht="13.5">
      <c r="I114" s="61"/>
      <c r="J114" s="90"/>
      <c r="K114" s="82"/>
      <c r="L114" s="398"/>
      <c r="M114" s="397"/>
      <c r="N114" s="397"/>
      <c r="O114" s="398"/>
    </row>
    <row r="115" spans="1:17" s="52" customFormat="1" ht="13.5">
      <c r="A115" s="58" t="s">
        <v>53</v>
      </c>
      <c r="B115" s="58">
        <f>SUM(G116:G118)</f>
        <v>213.95</v>
      </c>
      <c r="C115" s="58">
        <f>SUM(H116:H118)</f>
        <v>245</v>
      </c>
      <c r="D115" s="58">
        <f>C115-B115</f>
        <v>31.050000000000011</v>
      </c>
      <c r="I115" s="61"/>
      <c r="J115" s="90"/>
      <c r="K115" s="82"/>
      <c r="L115" s="398"/>
      <c r="M115" s="397"/>
      <c r="N115" s="397"/>
      <c r="O115" s="398"/>
    </row>
    <row r="116" spans="1:17" s="52" customFormat="1" ht="13.5">
      <c r="B116" s="52" t="s">
        <v>443</v>
      </c>
      <c r="G116" s="52">
        <f t="shared" ref="G116:G170" si="4">SUM(L116:O116)</f>
        <v>0</v>
      </c>
      <c r="H116" s="52">
        <v>90</v>
      </c>
      <c r="I116" s="61">
        <f t="shared" si="3"/>
        <v>90</v>
      </c>
      <c r="J116" s="90">
        <f>Jan!I116+Feb!I116</f>
        <v>136.57999999999998</v>
      </c>
      <c r="K116" s="82"/>
      <c r="L116" s="398"/>
      <c r="M116" s="397"/>
      <c r="N116" s="397"/>
      <c r="O116" s="398"/>
    </row>
    <row r="117" spans="1:17" s="52" customFormat="1" ht="13.5">
      <c r="B117" s="52" t="s">
        <v>54</v>
      </c>
      <c r="G117" s="52">
        <f t="shared" si="4"/>
        <v>0</v>
      </c>
      <c r="H117" s="52">
        <v>25</v>
      </c>
      <c r="I117" s="61">
        <f t="shared" si="3"/>
        <v>25</v>
      </c>
      <c r="J117" s="90">
        <f>Jan!I117+Feb!I117</f>
        <v>-183.4</v>
      </c>
      <c r="K117" s="82"/>
      <c r="L117" s="398"/>
      <c r="M117" s="397"/>
      <c r="N117" s="397"/>
      <c r="O117" s="398"/>
    </row>
    <row r="118" spans="1:17" s="52" customFormat="1" ht="13.5">
      <c r="B118" s="54" t="s">
        <v>444</v>
      </c>
      <c r="G118" s="52">
        <f t="shared" si="4"/>
        <v>213.95</v>
      </c>
      <c r="H118" s="52">
        <v>130</v>
      </c>
      <c r="I118" s="61">
        <f t="shared" si="3"/>
        <v>-83.949999999999989</v>
      </c>
      <c r="J118" s="90">
        <f>Jan!I118+Feb!I118</f>
        <v>-241.20999999999998</v>
      </c>
      <c r="K118" s="82"/>
      <c r="L118" s="398"/>
      <c r="M118" s="397">
        <f>44+42.17+28.31+38.01</f>
        <v>152.49</v>
      </c>
      <c r="N118" s="397">
        <f>38.76+22.7</f>
        <v>61.459999999999994</v>
      </c>
      <c r="O118" s="398"/>
    </row>
    <row r="119" spans="1:17" s="52" customFormat="1" ht="13.5">
      <c r="I119" s="61"/>
      <c r="J119" s="90"/>
      <c r="K119" s="82"/>
      <c r="L119" s="398"/>
      <c r="M119" s="397"/>
      <c r="N119" s="397"/>
      <c r="O119" s="398"/>
    </row>
    <row r="120" spans="1:17" s="52" customFormat="1" ht="13.5">
      <c r="A120" s="58" t="s">
        <v>59</v>
      </c>
      <c r="B120" s="58">
        <f>SUM(G121:G123)</f>
        <v>85</v>
      </c>
      <c r="C120" s="58">
        <f>SUM(H121:H123)</f>
        <v>415</v>
      </c>
      <c r="D120" s="58">
        <f>C120-B120</f>
        <v>330</v>
      </c>
      <c r="I120" s="61"/>
      <c r="J120" s="90"/>
      <c r="K120" s="82"/>
      <c r="L120" s="398"/>
      <c r="M120" s="397"/>
      <c r="N120" s="397"/>
      <c r="O120" s="398"/>
    </row>
    <row r="121" spans="1:17" s="52" customFormat="1" ht="13.5">
      <c r="B121" s="52" t="s">
        <v>484</v>
      </c>
      <c r="D121" s="52" t="s">
        <v>60</v>
      </c>
      <c r="G121" s="52">
        <f t="shared" si="4"/>
        <v>0</v>
      </c>
      <c r="H121" s="52">
        <v>150</v>
      </c>
      <c r="I121" s="61">
        <f t="shared" si="3"/>
        <v>150</v>
      </c>
      <c r="J121" s="90">
        <f>Jan!I121+Feb!I121</f>
        <v>300</v>
      </c>
      <c r="K121" s="82"/>
      <c r="L121" s="398"/>
      <c r="M121" s="397"/>
      <c r="N121" s="397"/>
      <c r="O121" s="398"/>
    </row>
    <row r="122" spans="1:17" s="52" customFormat="1" ht="13.5">
      <c r="A122" s="58"/>
      <c r="B122" s="52" t="s">
        <v>483</v>
      </c>
      <c r="G122" s="52">
        <f t="shared" si="4"/>
        <v>85</v>
      </c>
      <c r="H122" s="52">
        <v>215</v>
      </c>
      <c r="I122" s="61">
        <f t="shared" si="3"/>
        <v>130</v>
      </c>
      <c r="J122" s="90">
        <f>Jan!I122+Feb!I122</f>
        <v>175</v>
      </c>
      <c r="K122" s="82"/>
      <c r="L122" s="398">
        <v>85</v>
      </c>
      <c r="M122" s="397"/>
      <c r="N122" s="397"/>
      <c r="O122" s="398"/>
    </row>
    <row r="123" spans="1:17" s="52" customFormat="1" ht="13.5">
      <c r="A123" s="58"/>
      <c r="B123" s="52" t="s">
        <v>468</v>
      </c>
      <c r="G123" s="52">
        <f t="shared" si="4"/>
        <v>0</v>
      </c>
      <c r="H123" s="52">
        <v>50</v>
      </c>
      <c r="I123" s="61">
        <f t="shared" si="3"/>
        <v>50</v>
      </c>
      <c r="J123" s="90">
        <f>Jan!I123+Feb!I123</f>
        <v>100</v>
      </c>
      <c r="K123" s="82"/>
      <c r="L123" s="398"/>
      <c r="M123" s="397"/>
      <c r="N123" s="397"/>
      <c r="O123" s="398"/>
    </row>
    <row r="124" spans="1:17" s="52" customFormat="1" ht="13.5">
      <c r="A124" s="58"/>
      <c r="I124" s="61"/>
      <c r="J124" s="90"/>
      <c r="K124" s="82"/>
      <c r="L124" s="398"/>
      <c r="M124" s="397"/>
      <c r="N124" s="397"/>
      <c r="O124" s="398"/>
    </row>
    <row r="125" spans="1:17" s="52" customFormat="1" ht="13.5">
      <c r="A125" s="58" t="s">
        <v>50</v>
      </c>
      <c r="B125" s="58">
        <f>SUM(G126:G136)</f>
        <v>175.97</v>
      </c>
      <c r="C125" s="58">
        <f>SUM(H126:H136)</f>
        <v>740</v>
      </c>
      <c r="D125" s="58">
        <f>C125-B125</f>
        <v>564.03</v>
      </c>
      <c r="I125" s="61"/>
      <c r="J125" s="90"/>
      <c r="K125" s="82"/>
      <c r="L125" s="398"/>
      <c r="M125" s="397"/>
      <c r="N125" s="397"/>
      <c r="O125" s="398"/>
    </row>
    <row r="126" spans="1:17" s="52" customFormat="1" ht="13.5">
      <c r="B126" s="52" t="s">
        <v>51</v>
      </c>
      <c r="G126" s="52">
        <f t="shared" si="4"/>
        <v>72</v>
      </c>
      <c r="H126" s="52">
        <v>100</v>
      </c>
      <c r="I126" s="61">
        <f t="shared" si="3"/>
        <v>28</v>
      </c>
      <c r="J126" s="90">
        <f>Jan!I126+Feb!I126</f>
        <v>-68</v>
      </c>
      <c r="K126" s="82"/>
      <c r="L126" s="398">
        <f>72</f>
        <v>72</v>
      </c>
      <c r="M126" s="397"/>
      <c r="N126" s="397"/>
      <c r="O126" s="398"/>
      <c r="Q126" s="418">
        <v>42034</v>
      </c>
    </row>
    <row r="127" spans="1:17" s="52" customFormat="1" ht="14.25" thickBot="1">
      <c r="B127" s="52" t="s">
        <v>453</v>
      </c>
      <c r="G127" s="52">
        <f t="shared" si="4"/>
        <v>95.97</v>
      </c>
      <c r="H127" s="52">
        <v>500</v>
      </c>
      <c r="I127" s="61">
        <f t="shared" si="3"/>
        <v>404.03</v>
      </c>
      <c r="J127" s="90">
        <f>Jan!I127+Feb!I127</f>
        <v>543.43000000000006</v>
      </c>
      <c r="K127" s="82"/>
      <c r="L127" s="398"/>
      <c r="M127" s="397">
        <f>18.55</f>
        <v>18.55</v>
      </c>
      <c r="N127" s="397">
        <f>77.42</f>
        <v>77.42</v>
      </c>
      <c r="O127" s="398"/>
    </row>
    <row r="128" spans="1:17" s="52" customFormat="1" ht="14.25" thickBot="1">
      <c r="C128" s="52" t="s">
        <v>446</v>
      </c>
      <c r="E128" s="88"/>
      <c r="G128" s="52">
        <f t="shared" si="4"/>
        <v>0</v>
      </c>
      <c r="I128" s="61"/>
      <c r="J128" s="90"/>
      <c r="K128" s="82"/>
      <c r="L128" s="398"/>
      <c r="M128" s="397"/>
      <c r="N128" s="397"/>
      <c r="O128" s="398"/>
    </row>
    <row r="129" spans="1:15" s="52" customFormat="1" ht="14.25" thickBot="1">
      <c r="C129" s="52" t="s">
        <v>447</v>
      </c>
      <c r="E129" s="88"/>
      <c r="G129" s="52">
        <f t="shared" si="4"/>
        <v>0</v>
      </c>
      <c r="I129" s="61"/>
      <c r="J129" s="90"/>
      <c r="K129" s="82"/>
      <c r="L129" s="398"/>
      <c r="M129" s="397"/>
      <c r="N129" s="397"/>
      <c r="O129" s="398"/>
    </row>
    <row r="130" spans="1:15" s="52" customFormat="1" ht="13.5">
      <c r="B130" s="52" t="s">
        <v>300</v>
      </c>
      <c r="G130" s="52">
        <f t="shared" si="4"/>
        <v>8</v>
      </c>
      <c r="H130" s="52">
        <v>50</v>
      </c>
      <c r="I130" s="61">
        <f t="shared" si="3"/>
        <v>42</v>
      </c>
      <c r="J130" s="90">
        <f>Jan!I130+Feb!I130</f>
        <v>18.240000000000009</v>
      </c>
      <c r="K130" s="82"/>
      <c r="L130" s="398"/>
      <c r="M130" s="397">
        <f>8</f>
        <v>8</v>
      </c>
      <c r="N130" s="397"/>
      <c r="O130" s="398"/>
    </row>
    <row r="131" spans="1:15" s="52" customFormat="1" ht="14.25" thickBot="1">
      <c r="B131" s="52" t="s">
        <v>52</v>
      </c>
      <c r="G131" s="52">
        <f t="shared" si="4"/>
        <v>0</v>
      </c>
      <c r="H131" s="52">
        <v>70</v>
      </c>
      <c r="I131" s="61">
        <f t="shared" si="3"/>
        <v>70</v>
      </c>
      <c r="J131" s="90">
        <f>Jan!I131+Feb!I131</f>
        <v>140</v>
      </c>
      <c r="K131" s="82"/>
      <c r="L131" s="398"/>
      <c r="M131" s="397"/>
      <c r="N131" s="397"/>
      <c r="O131" s="398"/>
    </row>
    <row r="132" spans="1:15" s="52" customFormat="1" ht="14.25" thickBot="1">
      <c r="C132" s="259" t="s">
        <v>448</v>
      </c>
      <c r="D132" s="260"/>
      <c r="E132" s="88"/>
      <c r="G132" s="52">
        <f t="shared" si="4"/>
        <v>0</v>
      </c>
      <c r="I132" s="61"/>
      <c r="J132" s="90"/>
      <c r="K132" s="82"/>
      <c r="L132" s="398"/>
      <c r="M132" s="397"/>
      <c r="N132" s="397"/>
      <c r="O132" s="398"/>
    </row>
    <row r="133" spans="1:15" s="52" customFormat="1" ht="14.25" thickBot="1">
      <c r="C133" s="259" t="s">
        <v>449</v>
      </c>
      <c r="D133" s="260"/>
      <c r="E133" s="88"/>
      <c r="G133" s="52">
        <f t="shared" si="4"/>
        <v>0</v>
      </c>
      <c r="I133" s="61"/>
      <c r="J133" s="90"/>
      <c r="K133" s="82"/>
      <c r="L133" s="398"/>
      <c r="M133" s="397"/>
      <c r="N133" s="397"/>
      <c r="O133" s="398"/>
    </row>
    <row r="134" spans="1:15" s="52" customFormat="1" ht="14.25" thickBot="1">
      <c r="C134" s="259" t="s">
        <v>450</v>
      </c>
      <c r="D134" s="260"/>
      <c r="E134" s="88"/>
      <c r="G134" s="52">
        <f t="shared" si="4"/>
        <v>0</v>
      </c>
      <c r="I134" s="61"/>
      <c r="J134" s="90"/>
      <c r="K134" s="82"/>
      <c r="L134" s="398"/>
      <c r="M134" s="397"/>
      <c r="N134" s="397"/>
      <c r="O134" s="398"/>
    </row>
    <row r="135" spans="1:15" s="52" customFormat="1" ht="14.25" thickBot="1">
      <c r="C135" s="259" t="s">
        <v>451</v>
      </c>
      <c r="D135" s="260"/>
      <c r="E135" s="88"/>
      <c r="G135" s="52">
        <f t="shared" si="4"/>
        <v>0</v>
      </c>
      <c r="I135" s="61"/>
      <c r="J135" s="90"/>
      <c r="K135" s="82"/>
      <c r="L135" s="398"/>
      <c r="M135" s="397"/>
      <c r="N135" s="397"/>
      <c r="O135" s="398"/>
    </row>
    <row r="136" spans="1:15" s="52" customFormat="1" ht="13.5">
      <c r="B136" s="52" t="s">
        <v>452</v>
      </c>
      <c r="G136" s="52">
        <f t="shared" si="4"/>
        <v>0</v>
      </c>
      <c r="H136" s="52">
        <v>20</v>
      </c>
      <c r="I136" s="61">
        <f t="shared" ref="I136:I151" si="5">H136-G136</f>
        <v>20</v>
      </c>
      <c r="J136" s="90">
        <f>Jan!I136+Feb!I136</f>
        <v>40</v>
      </c>
      <c r="K136" s="82"/>
      <c r="L136" s="398"/>
      <c r="M136" s="397"/>
      <c r="N136" s="397"/>
      <c r="O136" s="398"/>
    </row>
    <row r="137" spans="1:15" s="52" customFormat="1" ht="13.5">
      <c r="I137" s="61"/>
      <c r="J137" s="90"/>
      <c r="K137" s="82"/>
      <c r="L137" s="398"/>
      <c r="M137" s="397"/>
      <c r="N137" s="397"/>
      <c r="O137" s="398"/>
    </row>
    <row r="138" spans="1:15" s="52" customFormat="1" ht="13.5">
      <c r="A138" s="58" t="s">
        <v>65</v>
      </c>
      <c r="B138" s="58">
        <f>G139</f>
        <v>0</v>
      </c>
      <c r="C138" s="58">
        <f>H139</f>
        <v>140</v>
      </c>
      <c r="D138" s="58">
        <f>I139</f>
        <v>140</v>
      </c>
      <c r="I138" s="61"/>
      <c r="J138" s="90"/>
      <c r="K138" s="82"/>
      <c r="L138" s="398"/>
      <c r="M138" s="397"/>
      <c r="N138" s="397"/>
      <c r="O138" s="398"/>
    </row>
    <row r="139" spans="1:15" s="52" customFormat="1" ht="13.5">
      <c r="B139" s="52" t="s">
        <v>66</v>
      </c>
      <c r="G139" s="52">
        <f t="shared" si="4"/>
        <v>0</v>
      </c>
      <c r="H139" s="52">
        <v>140</v>
      </c>
      <c r="I139" s="61">
        <f t="shared" si="5"/>
        <v>140</v>
      </c>
      <c r="J139" s="90">
        <f>Jan!I139+Feb!I139</f>
        <v>280</v>
      </c>
      <c r="K139" s="82"/>
      <c r="L139" s="398"/>
      <c r="M139" s="397"/>
      <c r="N139" s="397"/>
      <c r="O139" s="398"/>
    </row>
    <row r="140" spans="1:15" s="52" customFormat="1" ht="13.5">
      <c r="I140" s="61"/>
      <c r="J140" s="90"/>
      <c r="K140" s="82"/>
      <c r="L140" s="398"/>
      <c r="M140" s="397"/>
      <c r="N140" s="397"/>
      <c r="O140" s="398"/>
    </row>
    <row r="141" spans="1:15" s="52" customFormat="1" ht="13.5">
      <c r="A141" s="58" t="s">
        <v>271</v>
      </c>
      <c r="B141" s="58">
        <f>SUM(G142:G144)</f>
        <v>152.66</v>
      </c>
      <c r="C141" s="58">
        <f>SUM(H142:H144)</f>
        <v>230</v>
      </c>
      <c r="D141" s="58">
        <f>C141-B141</f>
        <v>77.34</v>
      </c>
      <c r="I141" s="61"/>
      <c r="J141" s="90"/>
      <c r="K141" s="82"/>
      <c r="L141" s="398"/>
      <c r="M141" s="397"/>
      <c r="N141" s="397"/>
      <c r="O141" s="398"/>
    </row>
    <row r="142" spans="1:15" s="52" customFormat="1" ht="13.5">
      <c r="B142" s="52" t="s">
        <v>266</v>
      </c>
      <c r="G142" s="52">
        <f t="shared" si="4"/>
        <v>152.66</v>
      </c>
      <c r="H142" s="52">
        <v>100</v>
      </c>
      <c r="I142" s="61">
        <f t="shared" si="5"/>
        <v>-52.66</v>
      </c>
      <c r="J142" s="90">
        <f>Jan!I142+Feb!I142</f>
        <v>-79.650000000000006</v>
      </c>
      <c r="K142" s="82"/>
      <c r="L142" s="398"/>
      <c r="M142" s="397">
        <f>40.09+8.54+6.38+28.69+9.88+28.29</f>
        <v>121.87</v>
      </c>
      <c r="N142" s="397">
        <f>21.7+9.09</f>
        <v>30.79</v>
      </c>
      <c r="O142" s="398"/>
    </row>
    <row r="143" spans="1:15" s="52" customFormat="1" ht="13.5">
      <c r="B143" s="52" t="s">
        <v>454</v>
      </c>
      <c r="G143" s="52">
        <f t="shared" si="4"/>
        <v>0</v>
      </c>
      <c r="H143" s="52">
        <v>100</v>
      </c>
      <c r="I143" s="61">
        <f t="shared" si="5"/>
        <v>100</v>
      </c>
      <c r="J143" s="90">
        <f>Jan!I143+Feb!I143</f>
        <v>200</v>
      </c>
      <c r="K143" s="82"/>
      <c r="L143" s="398"/>
      <c r="M143" s="397"/>
      <c r="N143" s="397"/>
      <c r="O143" s="398"/>
    </row>
    <row r="144" spans="1:15" s="52" customFormat="1" ht="13.5">
      <c r="B144" s="52" t="s">
        <v>455</v>
      </c>
      <c r="G144" s="52">
        <f t="shared" si="4"/>
        <v>0</v>
      </c>
      <c r="H144" s="52">
        <v>30</v>
      </c>
      <c r="I144" s="61">
        <f t="shared" si="5"/>
        <v>30</v>
      </c>
      <c r="J144" s="90">
        <f>Jan!I144+Feb!I144</f>
        <v>60</v>
      </c>
      <c r="K144" s="82"/>
      <c r="L144" s="398"/>
      <c r="M144" s="397"/>
      <c r="N144" s="397"/>
      <c r="O144" s="398"/>
    </row>
    <row r="145" spans="1:15" s="52" customFormat="1" ht="13.5">
      <c r="I145" s="61"/>
      <c r="J145" s="90"/>
      <c r="K145" s="82"/>
      <c r="L145" s="398"/>
      <c r="M145" s="397"/>
      <c r="N145" s="397"/>
      <c r="O145" s="398"/>
    </row>
    <row r="146" spans="1:15" s="52" customFormat="1" ht="13.5">
      <c r="A146" s="58" t="s">
        <v>67</v>
      </c>
      <c r="B146" s="58">
        <f>G147</f>
        <v>0</v>
      </c>
      <c r="C146" s="58">
        <f>H147</f>
        <v>10</v>
      </c>
      <c r="D146" s="58">
        <f>C146-B146</f>
        <v>10</v>
      </c>
      <c r="I146" s="61"/>
      <c r="J146" s="90"/>
      <c r="K146" s="82"/>
      <c r="L146" s="398"/>
      <c r="M146" s="397"/>
      <c r="N146" s="397"/>
      <c r="O146" s="398"/>
    </row>
    <row r="147" spans="1:15" s="52" customFormat="1" ht="13.5">
      <c r="B147" s="52" t="s">
        <v>68</v>
      </c>
      <c r="G147" s="52">
        <f t="shared" si="4"/>
        <v>0</v>
      </c>
      <c r="H147" s="52">
        <v>10</v>
      </c>
      <c r="I147" s="61">
        <f t="shared" si="5"/>
        <v>10</v>
      </c>
      <c r="J147" s="90">
        <f>Jan!I147+Feb!I147</f>
        <v>20</v>
      </c>
      <c r="K147" s="82"/>
      <c r="L147" s="398"/>
      <c r="M147" s="397"/>
      <c r="N147" s="397"/>
      <c r="O147" s="398"/>
    </row>
    <row r="148" spans="1:15" s="52" customFormat="1" ht="13.5">
      <c r="I148" s="61"/>
      <c r="J148" s="90"/>
      <c r="K148" s="82"/>
      <c r="L148" s="398"/>
      <c r="M148" s="397"/>
      <c r="N148" s="397"/>
      <c r="O148" s="398"/>
    </row>
    <row r="149" spans="1:15" s="52" customFormat="1" ht="13.5">
      <c r="A149" s="58" t="s">
        <v>269</v>
      </c>
      <c r="B149" s="58">
        <f>SUM(G150:G151)</f>
        <v>0</v>
      </c>
      <c r="C149" s="58">
        <f>SUM(H150:H151)</f>
        <v>250</v>
      </c>
      <c r="D149" s="58">
        <f>C149-B149</f>
        <v>250</v>
      </c>
      <c r="I149" s="61"/>
      <c r="J149" s="90"/>
      <c r="K149" s="82"/>
      <c r="L149" s="398"/>
      <c r="M149" s="397"/>
      <c r="N149" s="397"/>
      <c r="O149" s="398"/>
    </row>
    <row r="150" spans="1:15" s="52" customFormat="1" ht="13.5">
      <c r="B150" s="52" t="s">
        <v>63</v>
      </c>
      <c r="G150" s="52">
        <f t="shared" si="4"/>
        <v>0</v>
      </c>
      <c r="H150" s="52">
        <v>150</v>
      </c>
      <c r="I150" s="61">
        <f t="shared" si="5"/>
        <v>150</v>
      </c>
      <c r="J150" s="90">
        <f>Jan!I150+Feb!I150</f>
        <v>300</v>
      </c>
      <c r="K150" s="82"/>
      <c r="L150" s="398"/>
      <c r="M150" s="397"/>
      <c r="N150" s="397"/>
      <c r="O150" s="398"/>
    </row>
    <row r="151" spans="1:15" s="52" customFormat="1" ht="13.5">
      <c r="B151" s="52" t="s">
        <v>64</v>
      </c>
      <c r="D151" s="52" t="s">
        <v>270</v>
      </c>
      <c r="G151" s="52">
        <f t="shared" si="4"/>
        <v>0</v>
      </c>
      <c r="H151" s="52">
        <v>100</v>
      </c>
      <c r="I151" s="61">
        <f t="shared" si="5"/>
        <v>100</v>
      </c>
      <c r="J151" s="90">
        <f>Jan!I151+Feb!I151</f>
        <v>-7.0099999999999909</v>
      </c>
      <c r="K151" s="87"/>
      <c r="L151" s="398"/>
      <c r="M151" s="397"/>
      <c r="N151" s="397"/>
      <c r="O151" s="398"/>
    </row>
    <row r="152" spans="1:15" s="52" customFormat="1" ht="13.5">
      <c r="I152" s="61"/>
      <c r="J152" s="90"/>
      <c r="K152" s="87"/>
      <c r="L152" s="398"/>
      <c r="M152" s="397"/>
      <c r="N152" s="397"/>
      <c r="O152" s="398"/>
    </row>
    <row r="153" spans="1:15" ht="13.5">
      <c r="A153" s="52"/>
      <c r="B153" s="52"/>
      <c r="C153" s="52"/>
      <c r="D153" s="52"/>
      <c r="E153" s="52"/>
      <c r="F153" s="52"/>
      <c r="G153" s="52"/>
      <c r="H153" s="52"/>
      <c r="I153" s="61"/>
      <c r="J153" s="90"/>
      <c r="L153" s="398"/>
      <c r="M153" s="397"/>
      <c r="N153" s="397"/>
      <c r="O153" s="398"/>
    </row>
    <row r="154" spans="1:15" ht="13.5">
      <c r="A154" s="58" t="s">
        <v>459</v>
      </c>
      <c r="B154" s="52"/>
      <c r="C154" s="52"/>
      <c r="D154" s="52"/>
      <c r="E154" s="52"/>
      <c r="F154" s="52"/>
      <c r="G154" s="52"/>
      <c r="H154" s="52"/>
      <c r="I154" s="61"/>
      <c r="J154" s="90"/>
      <c r="L154" s="398"/>
      <c r="M154" s="397"/>
      <c r="N154" s="397"/>
      <c r="O154" s="398"/>
    </row>
    <row r="155" spans="1:15" ht="13.5">
      <c r="A155" s="52"/>
      <c r="B155" s="52">
        <f>SUM(G156:G170)</f>
        <v>246.2</v>
      </c>
      <c r="C155" s="52">
        <f>SUM(H156:H170)</f>
        <v>610</v>
      </c>
      <c r="D155" s="58">
        <f>C155-B155</f>
        <v>363.8</v>
      </c>
      <c r="E155" s="52"/>
      <c r="F155" s="52"/>
      <c r="G155" s="52"/>
      <c r="H155" s="52"/>
      <c r="I155" s="61"/>
      <c r="J155" s="90"/>
      <c r="L155" s="398"/>
      <c r="M155" s="397"/>
      <c r="N155" s="397"/>
      <c r="O155" s="398"/>
    </row>
    <row r="156" spans="1:15" ht="13.5">
      <c r="A156" s="58" t="s">
        <v>461</v>
      </c>
      <c r="B156" s="52"/>
      <c r="C156" s="52"/>
      <c r="D156" s="52"/>
      <c r="E156" s="52"/>
      <c r="F156" s="52"/>
      <c r="G156" s="52"/>
      <c r="H156" s="52"/>
      <c r="I156" s="61"/>
      <c r="J156" s="90"/>
      <c r="L156" s="398"/>
      <c r="M156" s="397"/>
      <c r="N156" s="397"/>
      <c r="O156" s="398"/>
    </row>
    <row r="157" spans="1:15" ht="14.25" thickBot="1">
      <c r="A157" s="52"/>
      <c r="B157" s="52" t="s">
        <v>267</v>
      </c>
      <c r="C157" s="52"/>
      <c r="D157" s="52"/>
      <c r="E157" s="52"/>
      <c r="F157" s="52"/>
      <c r="G157" s="52">
        <f t="shared" si="4"/>
        <v>0</v>
      </c>
      <c r="H157" s="52">
        <v>100</v>
      </c>
      <c r="I157" s="61">
        <f t="shared" ref="I157:I170" si="6">H157-G157</f>
        <v>100</v>
      </c>
      <c r="J157" s="90">
        <f>Jan!I157+Feb!I157</f>
        <v>200</v>
      </c>
      <c r="L157" s="398"/>
      <c r="M157" s="397"/>
      <c r="N157" s="397"/>
      <c r="O157" s="398"/>
    </row>
    <row r="158" spans="1:15" ht="14.25" thickBot="1">
      <c r="A158" s="88">
        <f>SUM(G157:G161)</f>
        <v>0</v>
      </c>
      <c r="B158" s="52" t="s">
        <v>268</v>
      </c>
      <c r="C158" s="52"/>
      <c r="D158" s="52"/>
      <c r="E158" s="52"/>
      <c r="F158" s="52"/>
      <c r="G158" s="52">
        <f t="shared" si="4"/>
        <v>0</v>
      </c>
      <c r="H158" s="52">
        <v>100</v>
      </c>
      <c r="I158" s="61">
        <f t="shared" si="6"/>
        <v>100</v>
      </c>
      <c r="J158" s="90">
        <f>Jan!I158+Feb!I158</f>
        <v>200</v>
      </c>
      <c r="L158" s="398"/>
      <c r="M158" s="397"/>
      <c r="N158" s="397"/>
      <c r="O158" s="398"/>
    </row>
    <row r="159" spans="1:15" ht="13.5">
      <c r="A159" s="52"/>
      <c r="B159" s="52" t="s">
        <v>61</v>
      </c>
      <c r="C159" s="52"/>
      <c r="D159" s="52"/>
      <c r="E159" s="52"/>
      <c r="F159" s="52"/>
      <c r="G159" s="52">
        <f t="shared" si="4"/>
        <v>0</v>
      </c>
      <c r="H159" s="52">
        <v>30</v>
      </c>
      <c r="I159" s="61">
        <f t="shared" si="6"/>
        <v>30</v>
      </c>
      <c r="J159" s="90">
        <f>Jan!I159+Feb!I159</f>
        <v>60</v>
      </c>
      <c r="L159" s="398"/>
      <c r="M159" s="397"/>
      <c r="N159" s="397"/>
      <c r="O159" s="398"/>
    </row>
    <row r="160" spans="1:15" ht="13.5">
      <c r="A160" s="52"/>
      <c r="B160" s="52" t="s">
        <v>62</v>
      </c>
      <c r="C160" s="52"/>
      <c r="D160" s="52"/>
      <c r="E160" s="52"/>
      <c r="F160" s="52"/>
      <c r="G160" s="52">
        <f t="shared" si="4"/>
        <v>0</v>
      </c>
      <c r="H160" s="52">
        <v>50</v>
      </c>
      <c r="I160" s="61">
        <f t="shared" si="6"/>
        <v>50</v>
      </c>
      <c r="J160" s="90">
        <f>Jan!I160+Feb!I160</f>
        <v>25</v>
      </c>
      <c r="L160" s="398"/>
      <c r="M160" s="397"/>
      <c r="N160" s="397"/>
      <c r="O160" s="398"/>
    </row>
    <row r="161" spans="1:17" ht="13.5">
      <c r="A161" s="52"/>
      <c r="B161" s="52" t="s">
        <v>486</v>
      </c>
      <c r="C161" s="52"/>
      <c r="D161" s="52"/>
      <c r="E161" s="52"/>
      <c r="F161" s="52"/>
      <c r="G161" s="52">
        <f t="shared" si="4"/>
        <v>0</v>
      </c>
      <c r="H161" s="52">
        <v>10</v>
      </c>
      <c r="I161" s="61">
        <f t="shared" si="6"/>
        <v>10</v>
      </c>
      <c r="J161" s="90">
        <f>Jan!I161+Feb!I161</f>
        <v>20</v>
      </c>
      <c r="L161" s="398"/>
      <c r="M161" s="397"/>
      <c r="N161" s="397"/>
      <c r="O161" s="398"/>
    </row>
    <row r="162" spans="1:17" ht="13.5">
      <c r="A162" s="52"/>
      <c r="B162" s="52"/>
      <c r="C162" s="52"/>
      <c r="D162" s="52"/>
      <c r="E162" s="52"/>
      <c r="F162" s="52"/>
      <c r="G162" s="52"/>
      <c r="H162" s="52"/>
      <c r="I162" s="61"/>
      <c r="J162" s="90"/>
      <c r="L162" s="398"/>
      <c r="M162" s="397"/>
      <c r="N162" s="397"/>
      <c r="O162" s="398"/>
    </row>
    <row r="163" spans="1:17" ht="13.5">
      <c r="A163" s="58" t="s">
        <v>460</v>
      </c>
      <c r="B163" s="52"/>
      <c r="C163" s="52"/>
      <c r="D163" s="52"/>
      <c r="E163" s="52"/>
      <c r="F163" s="52"/>
      <c r="G163" s="52"/>
      <c r="H163" s="52"/>
      <c r="I163" s="61"/>
      <c r="J163" s="90"/>
      <c r="L163" s="398"/>
      <c r="M163" s="397"/>
      <c r="N163" s="397"/>
      <c r="O163" s="398"/>
    </row>
    <row r="164" spans="1:17" ht="14.25" thickBot="1">
      <c r="A164" s="52"/>
      <c r="B164" s="52" t="s">
        <v>456</v>
      </c>
      <c r="C164" s="52"/>
      <c r="D164" s="52"/>
      <c r="E164" s="52"/>
      <c r="F164" s="52"/>
      <c r="G164" s="52">
        <f t="shared" si="4"/>
        <v>33.17</v>
      </c>
      <c r="H164" s="52">
        <v>30</v>
      </c>
      <c r="I164" s="61">
        <f t="shared" si="6"/>
        <v>-3.1700000000000017</v>
      </c>
      <c r="J164" s="90">
        <f>Jan!I164+Feb!I164</f>
        <v>26.83</v>
      </c>
      <c r="L164" s="398"/>
      <c r="M164" s="397">
        <f>3.93</f>
        <v>3.93</v>
      </c>
      <c r="N164" s="397">
        <v>29.24</v>
      </c>
      <c r="O164" s="398"/>
    </row>
    <row r="165" spans="1:17" ht="14.25" thickBot="1">
      <c r="A165" s="88">
        <f>SUM(G164:G169)</f>
        <v>246.2</v>
      </c>
      <c r="B165" s="52" t="s">
        <v>457</v>
      </c>
      <c r="C165" s="52"/>
      <c r="D165" s="52"/>
      <c r="E165" s="52"/>
      <c r="F165" s="52"/>
      <c r="G165" s="52">
        <f t="shared" si="4"/>
        <v>10</v>
      </c>
      <c r="H165" s="52">
        <v>30</v>
      </c>
      <c r="I165" s="61">
        <f t="shared" si="6"/>
        <v>20</v>
      </c>
      <c r="J165" s="90">
        <f>Jan!I165+Feb!I165</f>
        <v>50</v>
      </c>
      <c r="L165" s="398"/>
      <c r="M165" s="397">
        <f>10</f>
        <v>10</v>
      </c>
      <c r="N165" s="397"/>
      <c r="O165" s="398"/>
    </row>
    <row r="166" spans="1:17" ht="13.5">
      <c r="A166" s="52"/>
      <c r="B166" s="52" t="s">
        <v>462</v>
      </c>
      <c r="C166" s="52"/>
      <c r="D166" s="52"/>
      <c r="E166" s="52"/>
      <c r="F166" s="52"/>
      <c r="G166" s="52">
        <f t="shared" si="4"/>
        <v>0</v>
      </c>
      <c r="H166" s="52">
        <v>30</v>
      </c>
      <c r="I166" s="61">
        <f t="shared" si="6"/>
        <v>30</v>
      </c>
      <c r="J166" s="90">
        <f>Jan!I166+Feb!I166</f>
        <v>60</v>
      </c>
      <c r="L166" s="398"/>
      <c r="M166" s="397"/>
      <c r="N166" s="397"/>
      <c r="O166" s="398"/>
    </row>
    <row r="167" spans="1:17" ht="13.5">
      <c r="A167" s="52"/>
      <c r="B167" s="52" t="s">
        <v>458</v>
      </c>
      <c r="C167" s="52"/>
      <c r="D167" s="52"/>
      <c r="E167" s="52"/>
      <c r="F167" s="52"/>
      <c r="G167" s="52">
        <f t="shared" si="4"/>
        <v>0</v>
      </c>
      <c r="H167" s="52">
        <v>30</v>
      </c>
      <c r="I167" s="61">
        <f t="shared" si="6"/>
        <v>30</v>
      </c>
      <c r="J167" s="90">
        <f>Jan!I167+Feb!I167</f>
        <v>60</v>
      </c>
      <c r="L167" s="398"/>
      <c r="M167" s="397"/>
      <c r="N167" s="397"/>
      <c r="O167" s="398"/>
    </row>
    <row r="168" spans="1:17" ht="13.5">
      <c r="A168" s="52"/>
      <c r="B168" s="52" t="s">
        <v>485</v>
      </c>
      <c r="C168" s="52"/>
      <c r="D168" s="52"/>
      <c r="E168" s="52"/>
      <c r="F168" s="52"/>
      <c r="G168" s="52">
        <f t="shared" si="4"/>
        <v>0</v>
      </c>
      <c r="H168" s="52">
        <v>100</v>
      </c>
      <c r="I168" s="61">
        <f t="shared" si="6"/>
        <v>100</v>
      </c>
      <c r="J168" s="90">
        <f>Jan!I168+Feb!I168</f>
        <v>200</v>
      </c>
      <c r="L168" s="398"/>
      <c r="M168" s="397"/>
      <c r="N168" s="397"/>
      <c r="O168" s="398"/>
    </row>
    <row r="169" spans="1:17" ht="13.5">
      <c r="A169" s="52"/>
      <c r="B169" s="52" t="s">
        <v>62</v>
      </c>
      <c r="C169" s="52"/>
      <c r="D169" s="52"/>
      <c r="E169" s="52"/>
      <c r="F169" s="52"/>
      <c r="G169" s="52">
        <f t="shared" si="4"/>
        <v>203.03</v>
      </c>
      <c r="H169" s="52"/>
      <c r="I169" s="61"/>
      <c r="J169" s="90"/>
      <c r="L169" s="398"/>
      <c r="M169" s="397">
        <v>203.03</v>
      </c>
      <c r="N169" s="397"/>
      <c r="O169" s="398"/>
      <c r="Q169" s="65" t="s">
        <v>926</v>
      </c>
    </row>
    <row r="170" spans="1:17" ht="13.5">
      <c r="A170" s="58" t="s">
        <v>272</v>
      </c>
      <c r="B170" s="52"/>
      <c r="C170" s="52"/>
      <c r="D170" s="52"/>
      <c r="E170" s="52"/>
      <c r="F170" s="52"/>
      <c r="G170" s="52">
        <f t="shared" si="4"/>
        <v>0</v>
      </c>
      <c r="H170" s="52">
        <v>100</v>
      </c>
      <c r="I170" s="61">
        <f t="shared" si="6"/>
        <v>100</v>
      </c>
      <c r="J170" s="90">
        <f>Jan!I170+Feb!I170</f>
        <v>200</v>
      </c>
      <c r="L170" s="398"/>
      <c r="M170" s="397"/>
      <c r="N170" s="397"/>
      <c r="O170" s="398"/>
    </row>
  </sheetData>
  <sheetProtection selectLockedCells="1" selectUnlockedCells="1"/>
  <pageMargins left="0.75" right="0.75" top="1" bottom="1" header="0.51180555555555551" footer="0.51180555555555551"/>
  <pageSetup firstPageNumber="0" orientation="portrait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0"/>
  <sheetViews>
    <sheetView topLeftCell="A53" zoomScale="84" zoomScaleNormal="84" workbookViewId="0">
      <selection activeCell="D5" sqref="D5"/>
    </sheetView>
  </sheetViews>
  <sheetFormatPr defaultColWidth="9" defaultRowHeight="15.75"/>
  <cols>
    <col min="1" max="1" width="24.42578125" style="74" customWidth="1"/>
    <col min="2" max="2" width="18" style="65" customWidth="1"/>
    <col min="3" max="3" width="17.140625" style="65" customWidth="1"/>
    <col min="4" max="5" width="16.5703125" style="65" customWidth="1"/>
    <col min="6" max="6" width="15.28515625" style="65" customWidth="1"/>
    <col min="7" max="7" width="13.5703125" style="65" customWidth="1"/>
    <col min="8" max="8" width="13.85546875" style="65" customWidth="1"/>
    <col min="9" max="10" width="14" style="65" customWidth="1"/>
    <col min="11" max="11" width="2.28515625" style="80" customWidth="1"/>
    <col min="12" max="12" width="11.5703125" style="65" customWidth="1"/>
    <col min="13" max="13" width="11.85546875" style="65" customWidth="1"/>
    <col min="14" max="15" width="11.5703125" style="65" customWidth="1"/>
    <col min="16" max="16" width="1.7109375" style="65" customWidth="1"/>
    <col min="17" max="17" width="11.7109375" style="65" customWidth="1"/>
    <col min="18" max="18" width="11.5703125" style="65" customWidth="1"/>
    <col min="19" max="16384" width="9" style="65"/>
  </cols>
  <sheetData>
    <row r="1" spans="1:16">
      <c r="A1" s="71" t="s">
        <v>182</v>
      </c>
      <c r="B1" s="72">
        <v>2015</v>
      </c>
      <c r="C1" s="72"/>
      <c r="L1" s="73" t="s">
        <v>492</v>
      </c>
    </row>
    <row r="2" spans="1:16">
      <c r="A2" s="71" t="s">
        <v>171</v>
      </c>
      <c r="B2" s="73" t="s">
        <v>8</v>
      </c>
      <c r="C2" s="73"/>
      <c r="M2" s="73" t="s">
        <v>481</v>
      </c>
    </row>
    <row r="3" spans="1:16">
      <c r="M3" s="73" t="s">
        <v>480</v>
      </c>
      <c r="O3"/>
    </row>
    <row r="4" spans="1:16">
      <c r="A4" s="71" t="s">
        <v>4</v>
      </c>
      <c r="B4" s="76">
        <f>SUM(G5:G8)</f>
        <v>24320.010000000002</v>
      </c>
      <c r="C4" s="76"/>
      <c r="F4" s="93"/>
      <c r="G4" s="65" t="s">
        <v>31</v>
      </c>
      <c r="L4" s="77"/>
      <c r="M4" s="65" t="s">
        <v>554</v>
      </c>
      <c r="O4"/>
    </row>
    <row r="5" spans="1:16" ht="12.75">
      <c r="A5" s="65" t="s">
        <v>24</v>
      </c>
      <c r="B5" s="121">
        <v>3339.78</v>
      </c>
      <c r="C5" s="122">
        <v>3538.82</v>
      </c>
      <c r="D5" s="121">
        <v>13677.73</v>
      </c>
      <c r="F5" s="93"/>
      <c r="G5" s="121">
        <f>SUM(B5:E5)</f>
        <v>20556.330000000002</v>
      </c>
      <c r="H5" s="77" t="s">
        <v>1222</v>
      </c>
      <c r="I5" s="77"/>
      <c r="J5" s="77"/>
      <c r="K5" s="81"/>
      <c r="L5" s="77"/>
      <c r="M5" s="65" t="s">
        <v>575</v>
      </c>
      <c r="O5"/>
    </row>
    <row r="6" spans="1:16" ht="12.75">
      <c r="A6" s="65" t="s">
        <v>230</v>
      </c>
      <c r="B6" s="65">
        <v>1881.84</v>
      </c>
      <c r="C6" s="75">
        <v>1881.84</v>
      </c>
      <c r="D6" s="121"/>
      <c r="F6" s="93"/>
      <c r="G6" s="121">
        <f>SUM(B6:E6)</f>
        <v>3763.68</v>
      </c>
      <c r="H6" s="77"/>
      <c r="I6" s="77"/>
      <c r="J6" s="77"/>
      <c r="K6" s="81"/>
      <c r="L6" s="77"/>
      <c r="M6" s="65" t="s">
        <v>566</v>
      </c>
      <c r="O6" s="75"/>
    </row>
    <row r="7" spans="1:16" ht="12.75">
      <c r="A7" s="65"/>
      <c r="F7" s="93"/>
      <c r="G7" s="121">
        <f>SUM(B7:E7)</f>
        <v>0</v>
      </c>
      <c r="H7" s="77"/>
      <c r="I7" s="77"/>
      <c r="J7" s="77"/>
      <c r="K7" s="81"/>
      <c r="L7" s="77"/>
      <c r="O7" s="75"/>
    </row>
    <row r="8" spans="1:16">
      <c r="F8" s="93"/>
      <c r="G8" s="121"/>
      <c r="H8" s="77"/>
      <c r="I8" s="77"/>
      <c r="J8" s="77"/>
      <c r="K8" s="81"/>
      <c r="P8" s="75"/>
    </row>
    <row r="9" spans="1:16" ht="13.5">
      <c r="A9" s="58"/>
      <c r="B9" s="62"/>
      <c r="C9" s="52"/>
      <c r="D9" s="52"/>
      <c r="E9" s="52"/>
      <c r="F9" s="261"/>
      <c r="G9" s="55"/>
      <c r="H9" s="52"/>
      <c r="I9" s="61" t="s">
        <v>34</v>
      </c>
      <c r="J9" s="90" t="s">
        <v>280</v>
      </c>
      <c r="M9" s="52"/>
    </row>
    <row r="10" spans="1:16" s="52" customFormat="1" ht="13.5">
      <c r="A10" s="58"/>
      <c r="B10" s="62"/>
      <c r="F10" s="261"/>
      <c r="G10" s="55" t="s">
        <v>234</v>
      </c>
      <c r="H10" s="52" t="s">
        <v>38</v>
      </c>
      <c r="I10" s="63" t="s">
        <v>37</v>
      </c>
      <c r="J10" s="91" t="s">
        <v>37</v>
      </c>
      <c r="K10" s="82"/>
    </row>
    <row r="11" spans="1:16" s="52" customFormat="1" ht="13.5">
      <c r="A11" s="58" t="s">
        <v>275</v>
      </c>
      <c r="B11" s="262">
        <f>G11</f>
        <v>1050</v>
      </c>
      <c r="D11" s="52" t="s">
        <v>277</v>
      </c>
      <c r="E11" s="52">
        <f>G11/B4</f>
        <v>4.3174324352662677E-2</v>
      </c>
      <c r="F11" s="261"/>
      <c r="G11" s="53">
        <f>Tithe!D8</f>
        <v>1050</v>
      </c>
      <c r="H11" s="52">
        <v>1200</v>
      </c>
      <c r="I11" s="64">
        <f>H11-G11</f>
        <v>150</v>
      </c>
      <c r="J11" s="92">
        <f>Jan!I11+Feb!I11+Mar!I11</f>
        <v>1050</v>
      </c>
      <c r="K11" s="83"/>
    </row>
    <row r="12" spans="1:16" s="52" customFormat="1" ht="13.5">
      <c r="I12" s="64"/>
      <c r="J12" s="92"/>
      <c r="K12" s="84"/>
      <c r="L12" s="269" t="s">
        <v>493</v>
      </c>
    </row>
    <row r="13" spans="1:16" s="52" customFormat="1" ht="13.5">
      <c r="A13" s="58" t="s">
        <v>465</v>
      </c>
      <c r="B13" s="262">
        <f>SUM(G14:G20)</f>
        <v>0</v>
      </c>
      <c r="F13" s="261"/>
      <c r="G13" s="55"/>
      <c r="I13" s="64"/>
      <c r="J13" s="92"/>
      <c r="K13" s="84"/>
      <c r="L13" s="52" t="s">
        <v>573</v>
      </c>
    </row>
    <row r="14" spans="1:16" s="52" customFormat="1" ht="13.5">
      <c r="B14" s="58" t="s">
        <v>385</v>
      </c>
      <c r="E14" s="52" t="s">
        <v>466</v>
      </c>
      <c r="F14" s="261"/>
      <c r="G14" s="53"/>
      <c r="H14" s="52">
        <v>800</v>
      </c>
      <c r="I14" s="64">
        <f t="shared" ref="I14:I20" si="0">H14-G14</f>
        <v>800</v>
      </c>
      <c r="J14" s="92">
        <f>Jan!I14+Feb!I14+Mar!I14</f>
        <v>2400</v>
      </c>
      <c r="K14" s="84"/>
      <c r="L14" s="52" t="s">
        <v>574</v>
      </c>
    </row>
    <row r="15" spans="1:16" s="52" customFormat="1" ht="13.5">
      <c r="B15" s="58" t="s">
        <v>261</v>
      </c>
      <c r="E15" s="52" t="s">
        <v>466</v>
      </c>
      <c r="F15" s="261"/>
      <c r="G15" s="53"/>
      <c r="H15" s="52">
        <v>200</v>
      </c>
      <c r="I15" s="64">
        <f t="shared" si="0"/>
        <v>200</v>
      </c>
      <c r="J15" s="92">
        <f>Jan!I15+Feb!I15+Mar!I15</f>
        <v>600</v>
      </c>
      <c r="K15" s="84"/>
    </row>
    <row r="16" spans="1:16" s="52" customFormat="1" ht="13.5">
      <c r="B16" s="58" t="s">
        <v>292</v>
      </c>
      <c r="E16" s="52" t="s">
        <v>466</v>
      </c>
      <c r="F16" s="261"/>
      <c r="G16" s="53"/>
      <c r="H16" s="52">
        <v>300</v>
      </c>
      <c r="I16" s="64">
        <f t="shared" si="0"/>
        <v>300</v>
      </c>
      <c r="J16" s="92">
        <f>Jan!I16+Feb!I16+Mar!I16</f>
        <v>900</v>
      </c>
      <c r="K16" s="84"/>
    </row>
    <row r="17" spans="1:13" s="52" customFormat="1" ht="13.5">
      <c r="B17" s="58" t="s">
        <v>464</v>
      </c>
      <c r="E17" s="52" t="s">
        <v>466</v>
      </c>
      <c r="F17" s="261"/>
      <c r="G17" s="53"/>
      <c r="H17" s="52">
        <v>200</v>
      </c>
      <c r="I17" s="64">
        <f t="shared" si="0"/>
        <v>200</v>
      </c>
      <c r="J17" s="92">
        <f>Jan!I17+Feb!I17+Mar!I17</f>
        <v>600</v>
      </c>
      <c r="K17" s="84"/>
    </row>
    <row r="18" spans="1:13" s="52" customFormat="1" ht="15.95" customHeight="1">
      <c r="B18" s="58" t="s">
        <v>263</v>
      </c>
      <c r="E18" s="52" t="s">
        <v>466</v>
      </c>
      <c r="F18" s="261"/>
      <c r="G18" s="53"/>
      <c r="H18" s="52">
        <v>50</v>
      </c>
      <c r="I18" s="64">
        <f t="shared" si="0"/>
        <v>50</v>
      </c>
      <c r="J18" s="92">
        <f>Jan!I18+Feb!I18+Mar!I18</f>
        <v>150</v>
      </c>
      <c r="K18" s="84"/>
    </row>
    <row r="19" spans="1:13" s="52" customFormat="1" ht="15.95" customHeight="1">
      <c r="B19" s="58" t="s">
        <v>262</v>
      </c>
      <c r="E19" s="52" t="s">
        <v>467</v>
      </c>
      <c r="F19" s="261"/>
      <c r="G19" s="53"/>
      <c r="H19" s="52">
        <v>200</v>
      </c>
      <c r="I19" s="64">
        <f t="shared" si="0"/>
        <v>200</v>
      </c>
      <c r="J19" s="92">
        <f>Jan!I19+Feb!I19+Mar!I19</f>
        <v>600</v>
      </c>
      <c r="K19" s="84"/>
    </row>
    <row r="20" spans="1:13" s="52" customFormat="1" ht="15.95" customHeight="1">
      <c r="B20" s="58" t="s">
        <v>293</v>
      </c>
      <c r="E20" s="52" t="s">
        <v>467</v>
      </c>
      <c r="G20" s="53"/>
      <c r="H20" s="52">
        <v>300</v>
      </c>
      <c r="I20" s="64">
        <f t="shared" si="0"/>
        <v>300</v>
      </c>
      <c r="J20" s="92">
        <f>Jan!I20+Feb!I20+Mar!I20</f>
        <v>900</v>
      </c>
      <c r="K20" s="84"/>
    </row>
    <row r="21" spans="1:13" s="52" customFormat="1" ht="15.95" customHeight="1">
      <c r="A21" s="58"/>
      <c r="F21" s="261"/>
      <c r="G21" s="53"/>
      <c r="I21" s="64"/>
      <c r="J21" s="92"/>
      <c r="K21" s="84"/>
      <c r="L21" s="58" t="s">
        <v>494</v>
      </c>
    </row>
    <row r="22" spans="1:13" s="52" customFormat="1" ht="15.95" customHeight="1">
      <c r="A22" s="58" t="s">
        <v>278</v>
      </c>
      <c r="B22" s="263">
        <f>G22</f>
        <v>0</v>
      </c>
      <c r="F22" s="261"/>
      <c r="G22" s="53"/>
      <c r="H22" s="52">
        <v>700</v>
      </c>
      <c r="I22" s="64">
        <f>H22-G22</f>
        <v>700</v>
      </c>
      <c r="J22" s="92">
        <f>Jan!I22+Feb!I22+Mar!I22</f>
        <v>2100</v>
      </c>
      <c r="K22" s="84"/>
      <c r="M22" s="52" t="s">
        <v>643</v>
      </c>
    </row>
    <row r="23" spans="1:13" s="52" customFormat="1" ht="15.95" customHeight="1">
      <c r="A23" s="58" t="s">
        <v>416</v>
      </c>
      <c r="B23" s="62" t="s">
        <v>415</v>
      </c>
      <c r="E23" s="52" t="s">
        <v>467</v>
      </c>
      <c r="F23" s="261"/>
      <c r="G23" s="53"/>
      <c r="I23" s="64"/>
      <c r="J23" s="92"/>
      <c r="K23" s="84"/>
    </row>
    <row r="24" spans="1:13" s="52" customFormat="1" ht="15.95" customHeight="1">
      <c r="A24" s="58" t="s">
        <v>279</v>
      </c>
      <c r="B24" s="262">
        <f>SUM(G25:G26)</f>
        <v>0</v>
      </c>
      <c r="F24" s="261"/>
      <c r="G24" s="53"/>
      <c r="I24" s="64"/>
      <c r="J24" s="92"/>
      <c r="K24" s="84"/>
    </row>
    <row r="25" spans="1:13" s="52" customFormat="1" ht="15.95" customHeight="1">
      <c r="B25" s="58" t="s">
        <v>255</v>
      </c>
      <c r="E25" s="52" t="s">
        <v>467</v>
      </c>
      <c r="F25" s="261"/>
      <c r="G25" s="53">
        <v>0</v>
      </c>
      <c r="H25" s="52">
        <v>500</v>
      </c>
      <c r="I25" s="64">
        <f>H25-G25</f>
        <v>500</v>
      </c>
      <c r="J25" s="92">
        <f>Jan!I25+Feb!I25+Mar!I25</f>
        <v>1500</v>
      </c>
      <c r="K25" s="84"/>
    </row>
    <row r="26" spans="1:13" s="52" customFormat="1" ht="12.75" customHeight="1">
      <c r="B26" s="58" t="s">
        <v>265</v>
      </c>
      <c r="E26" s="52" t="s">
        <v>466</v>
      </c>
      <c r="F26" s="261"/>
      <c r="G26" s="53">
        <v>0</v>
      </c>
      <c r="H26" s="52">
        <v>300</v>
      </c>
      <c r="I26" s="64">
        <f>H26-G26</f>
        <v>300</v>
      </c>
      <c r="J26" s="95">
        <f>Jan!I26+Feb!I26+Mar!I26</f>
        <v>900</v>
      </c>
      <c r="K26" s="84"/>
    </row>
    <row r="27" spans="1:13" s="52" customFormat="1" ht="12.75" customHeight="1">
      <c r="A27" s="58"/>
      <c r="F27" s="261"/>
      <c r="G27" s="66"/>
      <c r="H27" s="66"/>
      <c r="I27" s="68"/>
      <c r="J27" s="79"/>
      <c r="K27" s="79"/>
    </row>
    <row r="28" spans="1:13" s="52" customFormat="1" ht="12.75" customHeight="1" thickBot="1">
      <c r="A28" s="58"/>
      <c r="B28" s="58"/>
      <c r="F28" s="261"/>
      <c r="G28" s="67">
        <f>SUM(G14:G26)</f>
        <v>0</v>
      </c>
      <c r="H28" s="67">
        <f>SUM(H11:H26)</f>
        <v>4750</v>
      </c>
      <c r="I28" s="67">
        <f>SUM(I11:I26)</f>
        <v>3700</v>
      </c>
      <c r="J28" s="67">
        <f>SUM(J11:J26)</f>
        <v>11700</v>
      </c>
      <c r="K28" s="85"/>
    </row>
    <row r="29" spans="1:13" s="52" customFormat="1" ht="12.75" customHeight="1" thickTop="1" thickBot="1">
      <c r="H29" s="56"/>
      <c r="I29" s="56"/>
      <c r="J29" s="56"/>
      <c r="K29" s="85"/>
      <c r="L29" s="58" t="s">
        <v>495</v>
      </c>
    </row>
    <row r="30" spans="1:13" s="52" customFormat="1" ht="12.75" customHeight="1" thickBot="1">
      <c r="A30" s="58" t="s">
        <v>283</v>
      </c>
      <c r="B30" s="58"/>
      <c r="F30" s="261"/>
      <c r="G30" s="88"/>
      <c r="H30" s="56"/>
      <c r="I30" s="56"/>
      <c r="J30" s="56"/>
      <c r="K30" s="85"/>
    </row>
    <row r="31" spans="1:13" s="52" customFormat="1" ht="12.75" customHeight="1">
      <c r="A31" s="99" t="s">
        <v>276</v>
      </c>
      <c r="B31" s="58"/>
      <c r="F31" s="261"/>
      <c r="G31" s="266">
        <f>B4-G11-G28+G30</f>
        <v>23270.010000000002</v>
      </c>
      <c r="H31" s="56"/>
      <c r="I31" s="56"/>
      <c r="J31" s="56"/>
      <c r="K31" s="85"/>
      <c r="L31" s="56"/>
    </row>
    <row r="32" spans="1:13" s="52" customFormat="1" ht="12.75" customHeight="1">
      <c r="A32" s="52" t="s">
        <v>478</v>
      </c>
      <c r="B32" s="99"/>
      <c r="C32" s="54"/>
      <c r="D32" s="54"/>
      <c r="E32" s="54"/>
      <c r="F32" s="265"/>
      <c r="G32" s="267">
        <f>G46</f>
        <v>32662.249999999993</v>
      </c>
      <c r="H32" s="56"/>
      <c r="I32" s="56"/>
      <c r="J32" s="56"/>
      <c r="K32" s="85"/>
      <c r="L32" s="56"/>
    </row>
    <row r="33" spans="1:18" s="52" customFormat="1" ht="12.75" customHeight="1">
      <c r="A33" s="58" t="s">
        <v>558</v>
      </c>
      <c r="B33" s="58"/>
      <c r="F33" s="261"/>
      <c r="G33" s="78">
        <f>G31-G32-M42-N42</f>
        <v>-9392.2399999999907</v>
      </c>
      <c r="H33" s="56"/>
      <c r="I33" s="56"/>
      <c r="J33" s="56"/>
      <c r="K33" s="85"/>
      <c r="L33" s="56"/>
    </row>
    <row r="34" spans="1:18" s="52" customFormat="1" ht="12.75" customHeight="1">
      <c r="H34" s="56"/>
      <c r="I34" s="56"/>
      <c r="J34" s="56"/>
      <c r="K34" s="85"/>
      <c r="L34" s="56"/>
    </row>
    <row r="35" spans="1:18" s="52" customFormat="1" ht="12.75" customHeight="1">
      <c r="A35" s="58" t="s">
        <v>469</v>
      </c>
      <c r="B35" s="58"/>
      <c r="E35" s="52">
        <f>B47</f>
        <v>1471.8400000000001</v>
      </c>
      <c r="F35" s="261"/>
      <c r="G35" s="128"/>
      <c r="H35" s="56"/>
      <c r="I35" s="56"/>
      <c r="J35" s="56"/>
      <c r="K35" s="85"/>
      <c r="L35" s="56"/>
    </row>
    <row r="36" spans="1:18" s="52" customFormat="1" ht="12.75" customHeight="1">
      <c r="A36" s="58" t="s">
        <v>433</v>
      </c>
      <c r="B36" s="58"/>
      <c r="E36" s="52">
        <f>B76</f>
        <v>31190.409999999993</v>
      </c>
      <c r="F36" s="261"/>
      <c r="G36" s="78"/>
      <c r="H36" s="56"/>
      <c r="I36" s="56"/>
      <c r="J36" s="56"/>
      <c r="K36" s="85"/>
      <c r="L36" s="56"/>
    </row>
    <row r="37" spans="1:18" s="52" customFormat="1" ht="13.5">
      <c r="A37" s="58"/>
      <c r="B37" s="58" t="s">
        <v>470</v>
      </c>
      <c r="D37" s="52">
        <f>B101+B110</f>
        <v>165</v>
      </c>
      <c r="F37" s="261"/>
      <c r="G37" s="78"/>
      <c r="H37" s="56"/>
      <c r="I37" s="56"/>
      <c r="J37" s="56"/>
      <c r="K37" s="85"/>
      <c r="L37" s="56"/>
    </row>
    <row r="38" spans="1:18" s="52" customFormat="1" ht="14.25" thickBot="1">
      <c r="A38" s="58"/>
      <c r="B38" s="58" t="s">
        <v>471</v>
      </c>
      <c r="D38" s="52">
        <f>B90</f>
        <v>48.51</v>
      </c>
      <c r="F38" s="261"/>
      <c r="G38" s="78"/>
      <c r="H38" s="56"/>
      <c r="I38" s="56"/>
      <c r="J38" s="56"/>
      <c r="K38" s="85"/>
      <c r="L38" s="56"/>
    </row>
    <row r="39" spans="1:18" s="52" customFormat="1" ht="14.25" thickBot="1">
      <c r="A39" s="58"/>
      <c r="B39" s="58" t="s">
        <v>472</v>
      </c>
      <c r="D39" s="52">
        <f>B96</f>
        <v>0</v>
      </c>
      <c r="F39" s="261"/>
      <c r="G39" s="89"/>
      <c r="H39" s="56"/>
      <c r="I39" s="56"/>
      <c r="J39" s="56"/>
      <c r="K39" s="85"/>
      <c r="L39" s="56"/>
    </row>
    <row r="40" spans="1:18" s="52" customFormat="1" ht="13.5">
      <c r="A40" s="58"/>
      <c r="B40" s="58" t="s">
        <v>473</v>
      </c>
      <c r="D40" s="52">
        <f>B115</f>
        <v>1161.33</v>
      </c>
      <c r="F40" s="261"/>
      <c r="G40" s="98"/>
      <c r="H40" s="56"/>
      <c r="I40" s="56"/>
      <c r="J40" s="56"/>
      <c r="K40" s="85"/>
      <c r="L40" s="56"/>
    </row>
    <row r="41" spans="1:18" s="52" customFormat="1" ht="13.5">
      <c r="A41" s="99"/>
      <c r="B41" s="58" t="s">
        <v>474</v>
      </c>
      <c r="D41" s="52">
        <f>B120</f>
        <v>85</v>
      </c>
      <c r="F41" s="261"/>
      <c r="G41" s="98"/>
      <c r="H41" s="56"/>
      <c r="I41" s="56"/>
      <c r="J41" s="56"/>
      <c r="K41" s="85"/>
      <c r="L41" s="56"/>
      <c r="M41" s="52">
        <f>M46+M44+M43+M42</f>
        <v>1043.43</v>
      </c>
      <c r="N41" s="52">
        <f>N46+N44+N43+N42</f>
        <v>2636.4399999999996</v>
      </c>
      <c r="O41" s="52">
        <f>O46+O44+O43+O42</f>
        <v>13821.17</v>
      </c>
      <c r="Q41" s="52" t="s">
        <v>948</v>
      </c>
      <c r="R41" s="52">
        <v>2163.0100000000002</v>
      </c>
    </row>
    <row r="42" spans="1:18" s="52" customFormat="1" ht="13.5">
      <c r="B42" s="58" t="s">
        <v>475</v>
      </c>
      <c r="C42" s="59"/>
      <c r="D42" s="59">
        <f>B138</f>
        <v>0</v>
      </c>
      <c r="F42" s="261"/>
      <c r="G42" s="98"/>
      <c r="H42" s="56"/>
      <c r="I42" s="56"/>
      <c r="J42" s="56"/>
      <c r="K42" s="85"/>
      <c r="L42" s="52" t="s">
        <v>324</v>
      </c>
      <c r="Q42" s="52" t="s">
        <v>805</v>
      </c>
      <c r="R42" s="52">
        <v>473.43</v>
      </c>
    </row>
    <row r="43" spans="1:18" s="52" customFormat="1" ht="13.5">
      <c r="B43" s="58" t="s">
        <v>476</v>
      </c>
      <c r="D43" s="52">
        <f>B125+B141+B146+B149</f>
        <v>664.26</v>
      </c>
      <c r="F43" s="261"/>
      <c r="I43" s="61"/>
      <c r="J43" s="90" t="s">
        <v>280</v>
      </c>
      <c r="K43" s="82"/>
      <c r="Q43" s="52" t="s">
        <v>972</v>
      </c>
      <c r="R43" s="52">
        <f>R41+R42</f>
        <v>2636.44</v>
      </c>
    </row>
    <row r="44" spans="1:18" s="52" customFormat="1" ht="13.5">
      <c r="A44" s="58" t="s">
        <v>477</v>
      </c>
      <c r="E44" s="52">
        <f>B155</f>
        <v>0</v>
      </c>
      <c r="F44" s="261"/>
      <c r="G44" s="55"/>
      <c r="I44" s="61" t="s">
        <v>34</v>
      </c>
      <c r="J44" s="90" t="s">
        <v>281</v>
      </c>
      <c r="K44" s="82"/>
    </row>
    <row r="45" spans="1:18" s="52" customFormat="1" ht="13.5">
      <c r="A45" s="58"/>
      <c r="F45" s="261"/>
      <c r="G45" s="55" t="s">
        <v>234</v>
      </c>
      <c r="H45" s="52" t="s">
        <v>38</v>
      </c>
      <c r="I45" s="63" t="s">
        <v>37</v>
      </c>
      <c r="J45" s="91" t="s">
        <v>282</v>
      </c>
      <c r="K45" s="83"/>
      <c r="L45" s="391" t="s">
        <v>235</v>
      </c>
      <c r="M45" s="392" t="s">
        <v>497</v>
      </c>
      <c r="N45" s="392" t="s">
        <v>805</v>
      </c>
      <c r="O45" s="392" t="s">
        <v>806</v>
      </c>
    </row>
    <row r="46" spans="1:18" s="52" customFormat="1" ht="14.25" thickBot="1">
      <c r="D46"/>
      <c r="E46" s="264"/>
      <c r="F46" s="261"/>
      <c r="G46" s="94">
        <f>SUM(G48:G169)</f>
        <v>32662.249999999993</v>
      </c>
      <c r="H46" s="94">
        <f>SUM(H48:H169)</f>
        <v>13950</v>
      </c>
      <c r="I46" s="94">
        <f>H46-G46</f>
        <v>-18712.249999999993</v>
      </c>
      <c r="J46" s="94">
        <f>SUM(J48:J140)</f>
        <v>-58000.700000000012</v>
      </c>
      <c r="K46" s="86"/>
      <c r="L46" s="393">
        <f>SUM(L49:L170)</f>
        <v>15112.700000000003</v>
      </c>
      <c r="M46" s="394">
        <f>SUM(M49:M170)</f>
        <v>1043.43</v>
      </c>
      <c r="N46" s="395">
        <f>SUM(N49:N170)</f>
        <v>2636.4399999999996</v>
      </c>
      <c r="O46" s="395">
        <f>SUM(O49:O170)</f>
        <v>13821.17</v>
      </c>
    </row>
    <row r="47" spans="1:18" s="52" customFormat="1" ht="14.25" thickBot="1">
      <c r="A47" s="99" t="s">
        <v>434</v>
      </c>
      <c r="B47" s="259">
        <f>B48+B61+B65</f>
        <v>1471.8400000000001</v>
      </c>
      <c r="C47" s="259">
        <f>C48+C61+C65</f>
        <v>1344</v>
      </c>
      <c r="D47" s="88">
        <f>D48+D61+D65</f>
        <v>-127.84000000000009</v>
      </c>
      <c r="I47" s="61"/>
      <c r="J47" s="90"/>
      <c r="K47" s="82"/>
      <c r="L47" s="396"/>
      <c r="M47" s="397"/>
      <c r="N47" s="397"/>
      <c r="O47" s="398"/>
    </row>
    <row r="48" spans="1:18" s="52" customFormat="1" ht="13.5">
      <c r="A48" s="58" t="s">
        <v>419</v>
      </c>
      <c r="B48" s="58">
        <f>SUM(G49:G57)</f>
        <v>1132</v>
      </c>
      <c r="C48" s="58">
        <f>SUM(H49:H57)</f>
        <v>864</v>
      </c>
      <c r="D48" s="58">
        <f>SUM(I49:I57)</f>
        <v>-268.00000000000011</v>
      </c>
      <c r="I48" s="61"/>
      <c r="J48" s="90"/>
      <c r="K48" s="82"/>
      <c r="L48" s="396"/>
      <c r="M48" s="397"/>
      <c r="N48" s="397"/>
      <c r="O48" s="398"/>
    </row>
    <row r="49" spans="1:15" s="52" customFormat="1" ht="13.5">
      <c r="B49" s="52" t="s">
        <v>327</v>
      </c>
      <c r="G49" s="52">
        <f t="shared" ref="G49:G57" si="1">SUM(L49:O49)</f>
        <v>0</v>
      </c>
      <c r="H49" s="52">
        <v>0</v>
      </c>
      <c r="I49" s="61">
        <f t="shared" ref="I49:I57" si="2">H49-G49</f>
        <v>0</v>
      </c>
      <c r="J49" s="90">
        <f>Jan!I49+Feb!I49+Mar!I49</f>
        <v>0</v>
      </c>
      <c r="K49" s="82"/>
      <c r="L49" s="396"/>
      <c r="M49" s="397"/>
      <c r="N49" s="397"/>
      <c r="O49" s="398"/>
    </row>
    <row r="50" spans="1:15" s="52" customFormat="1" ht="13.5">
      <c r="A50" s="58"/>
      <c r="B50" s="52" t="s">
        <v>421</v>
      </c>
      <c r="G50" s="52">
        <f t="shared" si="1"/>
        <v>0</v>
      </c>
      <c r="H50" s="52">
        <v>100</v>
      </c>
      <c r="I50" s="61">
        <f t="shared" si="2"/>
        <v>100</v>
      </c>
      <c r="J50" s="90">
        <f>Jan!I50+Feb!I50+Mar!I50</f>
        <v>300</v>
      </c>
      <c r="K50" s="82"/>
      <c r="L50" s="396"/>
      <c r="M50" s="397"/>
      <c r="N50" s="397"/>
      <c r="O50" s="398"/>
    </row>
    <row r="51" spans="1:15" s="52" customFormat="1" ht="13.5">
      <c r="A51" s="58"/>
      <c r="B51" s="52" t="s">
        <v>422</v>
      </c>
      <c r="G51" s="52">
        <f t="shared" si="1"/>
        <v>0</v>
      </c>
      <c r="H51" s="52">
        <v>100</v>
      </c>
      <c r="I51" s="61">
        <f t="shared" si="2"/>
        <v>100</v>
      </c>
      <c r="J51" s="90">
        <f>Jan!I51+Feb!I51+Mar!I51</f>
        <v>300</v>
      </c>
      <c r="K51" s="82"/>
      <c r="L51" s="396"/>
      <c r="M51" s="397"/>
      <c r="N51" s="397"/>
      <c r="O51" s="398"/>
    </row>
    <row r="52" spans="1:15" s="52" customFormat="1" ht="13.5">
      <c r="A52" s="58"/>
      <c r="B52" s="52" t="s">
        <v>420</v>
      </c>
      <c r="G52" s="52">
        <f t="shared" si="1"/>
        <v>0</v>
      </c>
      <c r="H52" s="52">
        <v>100</v>
      </c>
      <c r="I52" s="61">
        <f t="shared" si="2"/>
        <v>100</v>
      </c>
      <c r="J52" s="90">
        <f>Jan!I52+Feb!I52+Mar!I52</f>
        <v>300</v>
      </c>
      <c r="K52" s="82"/>
      <c r="L52" s="396"/>
      <c r="M52" s="397"/>
      <c r="N52" s="397"/>
      <c r="O52" s="398"/>
    </row>
    <row r="53" spans="1:15" s="52" customFormat="1" ht="13.5">
      <c r="A53" s="58"/>
      <c r="B53" s="52" t="s">
        <v>463</v>
      </c>
      <c r="G53" s="52">
        <f t="shared" si="1"/>
        <v>564</v>
      </c>
      <c r="H53" s="52">
        <v>564</v>
      </c>
      <c r="I53" s="61">
        <f t="shared" si="2"/>
        <v>0</v>
      </c>
      <c r="J53" s="90">
        <f>Jan!I53+Feb!I53+Mar!I53</f>
        <v>0</v>
      </c>
      <c r="K53" s="82"/>
      <c r="L53" s="396">
        <v>564</v>
      </c>
      <c r="M53" s="397"/>
      <c r="N53" s="397"/>
      <c r="O53" s="398"/>
    </row>
    <row r="54" spans="1:15" s="52" customFormat="1" ht="13.5">
      <c r="A54" s="58"/>
      <c r="B54" s="52" t="s">
        <v>882</v>
      </c>
      <c r="G54" s="52">
        <f t="shared" si="1"/>
        <v>628</v>
      </c>
      <c r="H54" s="52">
        <v>60</v>
      </c>
      <c r="I54" s="61">
        <f t="shared" si="2"/>
        <v>-568</v>
      </c>
      <c r="J54" s="90">
        <f>Jan!I54+Feb!I54+Mar!I54</f>
        <v>-448</v>
      </c>
      <c r="K54" s="82"/>
      <c r="L54" s="396"/>
      <c r="M54" s="397"/>
      <c r="N54" s="397">
        <v>628</v>
      </c>
      <c r="O54" s="398"/>
    </row>
    <row r="55" spans="1:15" s="52" customFormat="1" ht="13.5">
      <c r="A55" s="58"/>
      <c r="B55" s="52" t="s">
        <v>328</v>
      </c>
      <c r="G55" s="52">
        <f t="shared" si="1"/>
        <v>1694.15</v>
      </c>
      <c r="H55" s="52">
        <f>1636.68+50.81</f>
        <v>1687.49</v>
      </c>
      <c r="I55" s="61">
        <f t="shared" si="2"/>
        <v>-6.6600000000000819</v>
      </c>
      <c r="J55" s="90">
        <f>Jan!I55+Feb!I55+Mar!I55</f>
        <v>-19.980000000000246</v>
      </c>
      <c r="K55" s="82"/>
      <c r="L55" s="398">
        <v>1694.15</v>
      </c>
      <c r="M55" s="397"/>
      <c r="N55" s="397"/>
      <c r="O55" s="398"/>
    </row>
    <row r="56" spans="1:15" s="52" customFormat="1" ht="13.5">
      <c r="A56" s="58"/>
      <c r="B56" s="52" t="s">
        <v>384</v>
      </c>
      <c r="G56" s="52">
        <f t="shared" si="1"/>
        <v>305.85000000000002</v>
      </c>
      <c r="H56" s="52">
        <v>312.51</v>
      </c>
      <c r="I56" s="61">
        <f t="shared" si="2"/>
        <v>6.6599999999999682</v>
      </c>
      <c r="J56" s="90">
        <f>Jan!I56+Feb!I56+Mar!I56</f>
        <v>19.979999999999905</v>
      </c>
      <c r="K56" s="82"/>
      <c r="L56" s="398">
        <v>305.85000000000002</v>
      </c>
      <c r="M56" s="397"/>
      <c r="N56" s="397"/>
      <c r="O56" s="398"/>
    </row>
    <row r="57" spans="1:15" s="52" customFormat="1" ht="13.5">
      <c r="A57" s="58"/>
      <c r="B57" s="52" t="s">
        <v>350</v>
      </c>
      <c r="G57" s="52">
        <f t="shared" si="1"/>
        <v>-2060</v>
      </c>
      <c r="H57" s="52">
        <v>-2060</v>
      </c>
      <c r="I57" s="61">
        <f t="shared" si="2"/>
        <v>0</v>
      </c>
      <c r="J57" s="90">
        <f>Jan!I57+Feb!I57+Mar!I57</f>
        <v>0</v>
      </c>
      <c r="K57" s="82"/>
      <c r="L57" s="398">
        <v>-2060</v>
      </c>
      <c r="M57" s="397"/>
      <c r="N57" s="397"/>
      <c r="O57" s="398"/>
    </row>
    <row r="58" spans="1:15" s="52" customFormat="1" ht="13.5">
      <c r="A58" s="58"/>
      <c r="I58" s="61"/>
      <c r="J58" s="90"/>
      <c r="K58" s="82"/>
      <c r="L58" s="398"/>
      <c r="M58" s="397"/>
      <c r="N58" s="397"/>
      <c r="O58" s="398"/>
    </row>
    <row r="59" spans="1:15" s="52" customFormat="1" ht="13.5">
      <c r="A59" s="58"/>
      <c r="I59" s="61"/>
      <c r="J59" s="90"/>
      <c r="K59" s="82"/>
      <c r="L59" s="398"/>
      <c r="M59" s="397"/>
      <c r="N59" s="397"/>
      <c r="O59" s="398"/>
    </row>
    <row r="60" spans="1:15" s="52" customFormat="1" ht="13.5">
      <c r="A60" s="58" t="s">
        <v>427</v>
      </c>
      <c r="I60" s="61"/>
      <c r="J60" s="90"/>
      <c r="K60" s="82"/>
      <c r="L60" s="398"/>
      <c r="M60" s="397"/>
      <c r="N60" s="397"/>
      <c r="O60" s="398"/>
    </row>
    <row r="61" spans="1:15" s="52" customFormat="1" ht="13.5">
      <c r="A61" s="58"/>
      <c r="B61" s="58">
        <f>SUM(G62:G63)</f>
        <v>170.15</v>
      </c>
      <c r="C61" s="58">
        <f>SUM(H62:H63)</f>
        <v>170</v>
      </c>
      <c r="D61" s="58">
        <f>C61-B61</f>
        <v>-0.15000000000000568</v>
      </c>
      <c r="I61" s="61"/>
      <c r="J61" s="90"/>
      <c r="K61" s="82"/>
      <c r="L61" s="398"/>
      <c r="M61" s="397"/>
      <c r="N61" s="397"/>
      <c r="O61" s="398"/>
    </row>
    <row r="62" spans="1:15" s="52" customFormat="1" ht="13.5">
      <c r="A62" s="58"/>
      <c r="B62" s="52" t="s">
        <v>431</v>
      </c>
      <c r="G62" s="52">
        <f>SUM(L62:O62)</f>
        <v>70.98</v>
      </c>
      <c r="H62" s="52">
        <v>70</v>
      </c>
      <c r="I62" s="61">
        <f>H62-G62</f>
        <v>-0.98000000000000398</v>
      </c>
      <c r="J62" s="90">
        <f>Jan!I62+Feb!I62+Mar!I62</f>
        <v>-1.1100000000000136</v>
      </c>
      <c r="K62" s="82"/>
      <c r="L62" s="398"/>
      <c r="M62" s="397">
        <v>70.98</v>
      </c>
      <c r="N62" s="397"/>
      <c r="O62" s="398"/>
    </row>
    <row r="63" spans="1:15" s="52" customFormat="1" ht="13.5">
      <c r="A63" s="58"/>
      <c r="B63" s="52" t="s">
        <v>432</v>
      </c>
      <c r="D63" s="65"/>
      <c r="G63" s="52">
        <f>SUM(L63:O63)</f>
        <v>99.17</v>
      </c>
      <c r="H63" s="52">
        <v>100</v>
      </c>
      <c r="I63" s="61">
        <f>H63-G63</f>
        <v>0.82999999999999829</v>
      </c>
      <c r="J63" s="90">
        <f>Jan!I63+Feb!I63+Mar!I63</f>
        <v>7.7099999999999937</v>
      </c>
      <c r="K63" s="82"/>
      <c r="L63" s="398"/>
      <c r="M63" s="397">
        <v>99.17</v>
      </c>
      <c r="N63" s="397"/>
      <c r="O63" s="398"/>
    </row>
    <row r="64" spans="1:15" s="52" customFormat="1" ht="13.5">
      <c r="A64" s="58"/>
      <c r="I64" s="61"/>
      <c r="J64" s="90"/>
      <c r="K64" s="82"/>
      <c r="L64" s="398"/>
      <c r="M64" s="397"/>
      <c r="N64" s="397"/>
      <c r="O64" s="398"/>
    </row>
    <row r="65" spans="1:17" s="52" customFormat="1" ht="13.5">
      <c r="A65" s="58" t="s">
        <v>428</v>
      </c>
      <c r="B65" s="58">
        <f>SUM(G66:G74)</f>
        <v>169.69</v>
      </c>
      <c r="C65" s="58">
        <f>SUM(H66:H74)</f>
        <v>310</v>
      </c>
      <c r="D65" s="58">
        <f>C65-B65</f>
        <v>140.31</v>
      </c>
      <c r="I65" s="61"/>
      <c r="J65" s="90"/>
      <c r="K65" s="82"/>
      <c r="L65" s="398"/>
      <c r="M65" s="397"/>
      <c r="N65" s="397"/>
      <c r="O65" s="398"/>
    </row>
    <row r="66" spans="1:17" s="52" customFormat="1" ht="13.5">
      <c r="B66" s="52" t="s">
        <v>55</v>
      </c>
      <c r="G66" s="52">
        <f>SUM(L66:O66)</f>
        <v>39.020000000000003</v>
      </c>
      <c r="H66" s="52">
        <v>60</v>
      </c>
      <c r="I66" s="61">
        <f>H66-G66</f>
        <v>20.979999999999997</v>
      </c>
      <c r="J66" s="90">
        <f>Jan!I66+Feb!I66+Mar!I66</f>
        <v>83.59</v>
      </c>
      <c r="K66" s="82"/>
      <c r="L66" s="398"/>
      <c r="M66" s="397">
        <f>39.02</f>
        <v>39.020000000000003</v>
      </c>
      <c r="N66" s="397"/>
      <c r="O66" s="398"/>
    </row>
    <row r="67" spans="1:17" s="52" customFormat="1" ht="13.5">
      <c r="B67" s="52" t="s">
        <v>56</v>
      </c>
      <c r="D67" s="52" t="s">
        <v>57</v>
      </c>
      <c r="G67" s="52">
        <f>SUM(L67:O67)</f>
        <v>0</v>
      </c>
      <c r="H67" s="52">
        <v>140</v>
      </c>
      <c r="I67" s="61">
        <f>H67-G67</f>
        <v>140</v>
      </c>
      <c r="J67" s="90">
        <f>Jan!I67+Feb!I67+Mar!I67</f>
        <v>194.75</v>
      </c>
      <c r="K67" s="82"/>
      <c r="L67" s="398"/>
      <c r="M67" s="397"/>
      <c r="N67" s="397"/>
      <c r="O67" s="398"/>
    </row>
    <row r="68" spans="1:17" s="52" customFormat="1" ht="13.5">
      <c r="I68" s="61"/>
      <c r="J68" s="90"/>
      <c r="K68" s="82"/>
      <c r="L68" s="398"/>
      <c r="M68" s="397"/>
      <c r="N68" s="397"/>
      <c r="O68" s="398"/>
    </row>
    <row r="69" spans="1:17" s="52" customFormat="1" ht="13.5">
      <c r="A69" s="58" t="s">
        <v>423</v>
      </c>
      <c r="I69" s="61"/>
      <c r="J69" s="90"/>
      <c r="K69" s="82"/>
      <c r="L69" s="398"/>
      <c r="M69" s="397"/>
      <c r="N69" s="397"/>
      <c r="O69" s="398"/>
    </row>
    <row r="70" spans="1:17" s="52" customFormat="1" ht="13.5">
      <c r="B70" s="52" t="s">
        <v>424</v>
      </c>
      <c r="G70" s="52">
        <f>SUM(L70:O70)</f>
        <v>0</v>
      </c>
      <c r="H70" s="52">
        <v>25</v>
      </c>
      <c r="I70" s="61">
        <f>H70-G70</f>
        <v>25</v>
      </c>
      <c r="J70" s="90">
        <f>Jan!I70+Feb!I70+Mar!I70</f>
        <v>65</v>
      </c>
      <c r="K70" s="82"/>
      <c r="L70" s="398"/>
      <c r="M70" s="397"/>
      <c r="N70" s="397"/>
      <c r="O70" s="398"/>
    </row>
    <row r="71" spans="1:17" s="52" customFormat="1" ht="13.5">
      <c r="A71" s="58"/>
      <c r="B71" s="52" t="s">
        <v>425</v>
      </c>
      <c r="G71" s="52">
        <f>SUM(L71:O71)</f>
        <v>110.49</v>
      </c>
      <c r="H71" s="52">
        <v>30</v>
      </c>
      <c r="I71" s="61">
        <f>H71-G71</f>
        <v>-80.489999999999995</v>
      </c>
      <c r="J71" s="90">
        <f>Jan!I71+Feb!I71+Mar!I71</f>
        <v>-20.489999999999995</v>
      </c>
      <c r="K71" s="82"/>
      <c r="L71" s="398"/>
      <c r="M71" s="397">
        <v>110.49</v>
      </c>
      <c r="N71" s="397"/>
      <c r="O71" s="398"/>
      <c r="Q71" s="52" t="s">
        <v>937</v>
      </c>
    </row>
    <row r="72" spans="1:17" s="52" customFormat="1" ht="13.5">
      <c r="A72" s="58"/>
      <c r="B72" s="52" t="s">
        <v>430</v>
      </c>
      <c r="G72" s="52">
        <f>SUM(L72:O72)</f>
        <v>0</v>
      </c>
      <c r="H72" s="52">
        <v>20</v>
      </c>
      <c r="I72" s="61">
        <f>H72-G72</f>
        <v>20</v>
      </c>
      <c r="J72" s="90">
        <f>Jan!I72+Feb!I72+Mar!I72</f>
        <v>60</v>
      </c>
      <c r="K72" s="82"/>
      <c r="L72" s="398"/>
      <c r="M72" s="397"/>
      <c r="N72" s="397"/>
      <c r="O72" s="398"/>
    </row>
    <row r="73" spans="1:17" s="52" customFormat="1" ht="13.5">
      <c r="A73" s="58"/>
      <c r="I73" s="61"/>
      <c r="J73" s="90"/>
      <c r="K73" s="82"/>
      <c r="L73" s="398"/>
      <c r="M73" s="397"/>
      <c r="N73" s="397"/>
      <c r="O73" s="398"/>
    </row>
    <row r="74" spans="1:17" s="52" customFormat="1" ht="13.5">
      <c r="A74" s="58" t="s">
        <v>426</v>
      </c>
      <c r="B74" s="52" t="s">
        <v>58</v>
      </c>
      <c r="G74" s="52">
        <f>SUM(L74:O74)</f>
        <v>20.18</v>
      </c>
      <c r="H74" s="52">
        <v>35</v>
      </c>
      <c r="I74" s="61">
        <f>H74-G74</f>
        <v>14.82</v>
      </c>
      <c r="J74" s="90">
        <f>Jan!I74+Feb!I74+Mar!I74</f>
        <v>34.28</v>
      </c>
      <c r="K74" s="82"/>
      <c r="L74" s="398"/>
      <c r="M74" s="397">
        <f>8.5+7.48</f>
        <v>15.98</v>
      </c>
      <c r="N74" s="397">
        <f>4.2</f>
        <v>4.2</v>
      </c>
      <c r="O74" s="398"/>
    </row>
    <row r="75" spans="1:17" s="52" customFormat="1" ht="14.25" thickBot="1">
      <c r="A75" s="58"/>
      <c r="I75" s="61"/>
      <c r="J75" s="90"/>
      <c r="K75" s="82"/>
      <c r="L75" s="398"/>
      <c r="M75" s="397"/>
      <c r="N75" s="397"/>
      <c r="O75" s="398"/>
    </row>
    <row r="76" spans="1:17" s="52" customFormat="1" ht="14.25" thickBot="1">
      <c r="A76" s="99" t="s">
        <v>433</v>
      </c>
      <c r="B76" s="140">
        <f>B78+B90+B96+B101+B110+B115+B120+B125+B138+B141+B146+B149</f>
        <v>31190.409999999993</v>
      </c>
      <c r="C76" s="140">
        <f>C78+C90+C96+C101+C110+C115+C120+C125+C138+C141+C146+C149</f>
        <v>5711</v>
      </c>
      <c r="D76" s="140">
        <f>D78+D90+D96+D101+D110+D115+D120+D125+D138+D141+D146+D149</f>
        <v>1114.19</v>
      </c>
      <c r="I76" s="61"/>
      <c r="J76" s="90"/>
      <c r="K76" s="82"/>
      <c r="L76" s="398"/>
      <c r="M76" s="397"/>
      <c r="N76" s="397"/>
      <c r="O76" s="398"/>
    </row>
    <row r="77" spans="1:17" s="52" customFormat="1" ht="13.5">
      <c r="A77" s="99"/>
      <c r="B77" s="380"/>
      <c r="C77" s="380"/>
      <c r="D77" s="380"/>
      <c r="I77" s="61"/>
      <c r="J77" s="90"/>
      <c r="K77" s="82"/>
      <c r="L77" s="398"/>
      <c r="M77" s="397"/>
      <c r="N77" s="397"/>
      <c r="O77" s="398"/>
    </row>
    <row r="78" spans="1:17" s="52" customFormat="1" ht="13.5">
      <c r="A78" s="58" t="s">
        <v>710</v>
      </c>
      <c r="B78" s="380">
        <f>SUM(G79:G88)</f>
        <v>29066.309999999998</v>
      </c>
      <c r="C78" s="380">
        <f>SUM(H79:H80)</f>
        <v>2500</v>
      </c>
      <c r="D78" s="380">
        <f>SUM(I79:I80)</f>
        <v>27.289999999999964</v>
      </c>
      <c r="I78" s="61"/>
      <c r="J78" s="90"/>
      <c r="K78" s="82"/>
      <c r="L78" s="398"/>
      <c r="M78" s="397"/>
      <c r="N78" s="397"/>
      <c r="O78" s="398"/>
    </row>
    <row r="79" spans="1:17" s="52" customFormat="1" ht="13.5">
      <c r="B79" s="52" t="s">
        <v>798</v>
      </c>
      <c r="G79" s="52">
        <f t="shared" ref="G79:G88" si="3">SUM(L79:O79)</f>
        <v>2472.71</v>
      </c>
      <c r="H79" s="52">
        <v>2500</v>
      </c>
      <c r="I79" s="61">
        <f t="shared" ref="I79:I88" si="4">H79-G79</f>
        <v>27.289999999999964</v>
      </c>
      <c r="J79" s="90">
        <f>Jan!I79+Feb!I79+Mar!I79</f>
        <v>81.869999999999891</v>
      </c>
      <c r="K79" s="82"/>
      <c r="L79" s="398">
        <v>2472.71</v>
      </c>
      <c r="M79" s="397"/>
      <c r="N79" s="397"/>
      <c r="O79" s="398"/>
    </row>
    <row r="80" spans="1:17" s="52" customFormat="1" ht="13.5">
      <c r="A80" s="58"/>
      <c r="B80" s="52" t="s">
        <v>801</v>
      </c>
      <c r="G80" s="52">
        <f t="shared" si="3"/>
        <v>0</v>
      </c>
      <c r="H80" s="52">
        <v>0</v>
      </c>
      <c r="I80" s="61">
        <f t="shared" si="4"/>
        <v>0</v>
      </c>
      <c r="J80" s="90">
        <f>Jan!I80+Feb!I80+Mar!I80</f>
        <v>0</v>
      </c>
      <c r="K80" s="82"/>
      <c r="L80" s="398"/>
      <c r="M80" s="397"/>
      <c r="N80" s="397"/>
      <c r="O80" s="398"/>
    </row>
    <row r="81" spans="1:17" s="52" customFormat="1" ht="13.5">
      <c r="A81" s="58"/>
      <c r="B81" s="52" t="s">
        <v>421</v>
      </c>
      <c r="G81" s="52">
        <f t="shared" si="3"/>
        <v>23011.02</v>
      </c>
      <c r="H81" s="52">
        <v>5000</v>
      </c>
      <c r="I81" s="61">
        <f t="shared" si="4"/>
        <v>-18011.02</v>
      </c>
      <c r="J81" s="90">
        <f>Jan!I81+Feb!I81+Mar!I81</f>
        <v>-58326.12000000001</v>
      </c>
      <c r="K81" s="82"/>
      <c r="L81" s="398">
        <f>2400+1200+1400+894.85+201+265+2400</f>
        <v>8760.85</v>
      </c>
      <c r="M81" s="397">
        <f>220+209</f>
        <v>429</v>
      </c>
      <c r="N81" s="397"/>
      <c r="O81" s="398">
        <f>(99+289.73+359.87+15.9+950.97+54.31+523.63+16.78+423.9+334.54)+9520.19+1232.35</f>
        <v>13821.17</v>
      </c>
    </row>
    <row r="82" spans="1:17" s="52" customFormat="1" ht="13.5">
      <c r="A82" s="58"/>
      <c r="B82" s="52" t="s">
        <v>888</v>
      </c>
      <c r="G82" s="52">
        <f t="shared" si="3"/>
        <v>2800</v>
      </c>
      <c r="H82" s="52">
        <v>1000</v>
      </c>
      <c r="I82" s="61">
        <f t="shared" si="4"/>
        <v>-1800</v>
      </c>
      <c r="J82" s="90">
        <f>Jan!I82+Feb!I82+Mar!I82</f>
        <v>-2800</v>
      </c>
      <c r="K82" s="82"/>
      <c r="L82" s="398">
        <f>2300+500</f>
        <v>2800</v>
      </c>
      <c r="M82" s="397"/>
      <c r="N82" s="397"/>
      <c r="O82" s="398"/>
      <c r="Q82" s="52" t="s">
        <v>934</v>
      </c>
    </row>
    <row r="83" spans="1:17" s="52" customFormat="1" ht="13.5">
      <c r="A83" s="58"/>
      <c r="B83" s="52" t="s">
        <v>889</v>
      </c>
      <c r="G83" s="52">
        <f t="shared" si="3"/>
        <v>364.46</v>
      </c>
      <c r="H83" s="52">
        <v>50</v>
      </c>
      <c r="I83" s="61">
        <f t="shared" si="4"/>
        <v>-314.45999999999998</v>
      </c>
      <c r="J83" s="90">
        <f>Jan!I83+Feb!I83+Mar!I83</f>
        <v>-264.45999999999998</v>
      </c>
      <c r="K83" s="82"/>
      <c r="L83" s="398"/>
      <c r="M83" s="397"/>
      <c r="N83" s="397">
        <f>91.85+193.67+78.94</f>
        <v>364.46</v>
      </c>
      <c r="O83" s="398"/>
      <c r="Q83" s="52" t="s">
        <v>986</v>
      </c>
    </row>
    <row r="84" spans="1:17" s="52" customFormat="1" ht="13.5">
      <c r="A84" s="58"/>
      <c r="B84" s="52" t="s">
        <v>26</v>
      </c>
      <c r="G84" s="52">
        <f t="shared" si="3"/>
        <v>113.19</v>
      </c>
      <c r="H84" s="52">
        <v>100</v>
      </c>
      <c r="I84" s="61">
        <f t="shared" si="4"/>
        <v>-13.189999999999998</v>
      </c>
      <c r="J84" s="90">
        <f>Jan!I84+Feb!I84+Mar!I84</f>
        <v>99.93</v>
      </c>
      <c r="K84" s="82"/>
      <c r="L84" s="398">
        <v>113.19</v>
      </c>
      <c r="M84" s="397"/>
      <c r="N84" s="397"/>
      <c r="O84" s="398"/>
    </row>
    <row r="85" spans="1:17" s="52" customFormat="1" ht="13.5">
      <c r="A85" s="58"/>
      <c r="B85" s="52" t="s">
        <v>799</v>
      </c>
      <c r="C85" s="52" t="s">
        <v>810</v>
      </c>
      <c r="G85" s="52">
        <f t="shared" si="3"/>
        <v>195.58</v>
      </c>
      <c r="H85" s="52">
        <v>70</v>
      </c>
      <c r="I85" s="61">
        <f t="shared" si="4"/>
        <v>-125.58000000000001</v>
      </c>
      <c r="J85" s="90">
        <f>Jan!I85+Feb!I85+Mar!I85</f>
        <v>-331.49</v>
      </c>
      <c r="K85" s="82"/>
      <c r="L85" s="398">
        <v>195.58</v>
      </c>
      <c r="M85" s="397"/>
      <c r="N85" s="397"/>
      <c r="O85" s="398"/>
    </row>
    <row r="86" spans="1:17" s="52" customFormat="1" ht="13.5">
      <c r="A86" s="58"/>
      <c r="B86" s="52" t="s">
        <v>799</v>
      </c>
      <c r="C86" s="52" t="s">
        <v>811</v>
      </c>
      <c r="G86" s="52">
        <f t="shared" si="3"/>
        <v>16.37</v>
      </c>
      <c r="H86" s="52">
        <v>25</v>
      </c>
      <c r="I86" s="61">
        <f t="shared" si="4"/>
        <v>8.629999999999999</v>
      </c>
      <c r="J86" s="90">
        <f>Jan!I86+Feb!I86+Mar!I86</f>
        <v>25.569999999999997</v>
      </c>
      <c r="K86" s="82"/>
      <c r="L86" s="398">
        <v>16.37</v>
      </c>
      <c r="M86" s="397"/>
      <c r="N86" s="397"/>
      <c r="O86" s="398"/>
    </row>
    <row r="87" spans="1:17" s="52" customFormat="1" ht="13.5">
      <c r="A87" s="58"/>
      <c r="B87" s="52" t="s">
        <v>800</v>
      </c>
      <c r="G87" s="52">
        <f t="shared" si="3"/>
        <v>0</v>
      </c>
      <c r="H87" s="52">
        <v>40</v>
      </c>
      <c r="I87" s="61">
        <f t="shared" si="4"/>
        <v>40</v>
      </c>
      <c r="J87" s="90">
        <f>Jan!I87+Feb!I87+Mar!I87</f>
        <v>-148.32</v>
      </c>
      <c r="K87" s="82"/>
      <c r="L87" s="398"/>
      <c r="M87" s="397"/>
      <c r="N87" s="397"/>
      <c r="O87" s="398"/>
    </row>
    <row r="88" spans="1:17" s="52" customFormat="1" ht="13.5">
      <c r="A88" s="58"/>
      <c r="B88" s="52" t="s">
        <v>802</v>
      </c>
      <c r="C88" s="52" t="s">
        <v>936</v>
      </c>
      <c r="G88" s="52">
        <f t="shared" si="3"/>
        <v>92.98</v>
      </c>
      <c r="H88" s="52">
        <v>100</v>
      </c>
      <c r="I88" s="61">
        <f t="shared" si="4"/>
        <v>7.019999999999996</v>
      </c>
      <c r="J88" s="90">
        <f>Jan!I88+Feb!I88+Mar!I88</f>
        <v>207.01999999999998</v>
      </c>
      <c r="K88" s="82"/>
      <c r="L88" s="398"/>
      <c r="M88" s="397">
        <v>92.98</v>
      </c>
      <c r="N88" s="397"/>
      <c r="O88" s="398"/>
    </row>
    <row r="89" spans="1:17" s="52" customFormat="1" ht="13.5">
      <c r="A89" s="58"/>
      <c r="I89" s="61"/>
      <c r="J89" s="90"/>
      <c r="K89" s="82"/>
      <c r="L89" s="398"/>
      <c r="M89" s="397"/>
      <c r="N89" s="397"/>
      <c r="O89" s="398"/>
    </row>
    <row r="90" spans="1:17" s="52" customFormat="1" ht="13.5">
      <c r="A90" s="58" t="s">
        <v>39</v>
      </c>
      <c r="B90" s="58">
        <f>SUM(G91:G94)</f>
        <v>48.51</v>
      </c>
      <c r="C90" s="58">
        <f>SUM(H91:H94)</f>
        <v>360</v>
      </c>
      <c r="D90" s="58">
        <f>C90-B90</f>
        <v>311.49</v>
      </c>
      <c r="I90" s="61"/>
      <c r="J90" s="90"/>
      <c r="K90" s="82"/>
      <c r="L90" s="398"/>
      <c r="M90" s="397"/>
      <c r="N90" s="397"/>
      <c r="O90" s="398"/>
    </row>
    <row r="91" spans="1:17" s="52" customFormat="1" ht="13.5">
      <c r="B91" s="52" t="s">
        <v>26</v>
      </c>
      <c r="C91" s="52" t="s">
        <v>27</v>
      </c>
      <c r="G91" s="52">
        <v>48.51</v>
      </c>
      <c r="H91" s="52">
        <v>100</v>
      </c>
      <c r="I91" s="61">
        <f>H91-G91</f>
        <v>51.49</v>
      </c>
      <c r="J91" s="90">
        <f>Jan!I91+Feb!I91+Mar!I91</f>
        <v>67.77000000000001</v>
      </c>
      <c r="K91" s="82"/>
      <c r="L91" s="398"/>
      <c r="M91" s="397"/>
      <c r="N91" s="397"/>
      <c r="O91" s="398"/>
    </row>
    <row r="92" spans="1:17" s="52" customFormat="1" ht="13.5">
      <c r="B92" s="52" t="s">
        <v>28</v>
      </c>
      <c r="C92" s="52" t="s">
        <v>29</v>
      </c>
      <c r="G92" s="52">
        <f>SUM(L92:O92)</f>
        <v>0</v>
      </c>
      <c r="H92" s="52">
        <v>40</v>
      </c>
      <c r="I92" s="61">
        <f>H92-G92</f>
        <v>40</v>
      </c>
      <c r="J92" s="90">
        <f>Jan!I92+Feb!I92+Mar!I92</f>
        <v>70.75</v>
      </c>
      <c r="K92" s="82"/>
      <c r="L92" s="398"/>
      <c r="M92" s="397"/>
      <c r="N92" s="397"/>
      <c r="O92" s="398"/>
    </row>
    <row r="93" spans="1:17" s="52" customFormat="1" ht="13.5">
      <c r="B93" s="52" t="s">
        <v>40</v>
      </c>
      <c r="C93" s="52" t="s">
        <v>41</v>
      </c>
      <c r="D93" s="52" t="s">
        <v>321</v>
      </c>
      <c r="G93" s="52">
        <f>SUM(L93:O93)</f>
        <v>0</v>
      </c>
      <c r="H93" s="52">
        <v>100</v>
      </c>
      <c r="I93" s="61">
        <f>H93-G93</f>
        <v>100</v>
      </c>
      <c r="J93" s="90">
        <f>Jan!I93+Feb!I93+Mar!I93</f>
        <v>300</v>
      </c>
      <c r="K93" s="82"/>
      <c r="L93" s="398"/>
      <c r="M93" s="397"/>
      <c r="N93" s="397"/>
      <c r="O93" s="398"/>
    </row>
    <row r="94" spans="1:17" s="52" customFormat="1" ht="13.5">
      <c r="B94" s="52" t="s">
        <v>42</v>
      </c>
      <c r="C94" s="52" t="s">
        <v>43</v>
      </c>
      <c r="D94" s="52" t="s">
        <v>435</v>
      </c>
      <c r="G94" s="52">
        <f>SUM(L94:O94)</f>
        <v>0</v>
      </c>
      <c r="H94" s="52">
        <v>120</v>
      </c>
      <c r="I94" s="61">
        <f>H94-G94</f>
        <v>120</v>
      </c>
      <c r="J94" s="90">
        <f>Jan!I94+Feb!I94+Mar!I94</f>
        <v>360</v>
      </c>
      <c r="K94" s="82"/>
      <c r="L94" s="398"/>
      <c r="M94" s="397"/>
      <c r="N94" s="397"/>
      <c r="O94" s="398"/>
    </row>
    <row r="95" spans="1:17" s="52" customFormat="1" ht="13.5">
      <c r="I95" s="61"/>
      <c r="J95" s="90"/>
      <c r="K95" s="82"/>
      <c r="L95" s="398"/>
      <c r="M95" s="397"/>
      <c r="N95" s="397"/>
      <c r="O95" s="398"/>
    </row>
    <row r="96" spans="1:17" s="52" customFormat="1" ht="13.5">
      <c r="A96" s="58" t="s">
        <v>45</v>
      </c>
      <c r="B96" s="58">
        <f>SUM(G97:G99)</f>
        <v>0</v>
      </c>
      <c r="C96" s="58">
        <f>SUM(H97:H99)</f>
        <v>173</v>
      </c>
      <c r="D96" s="58">
        <f>C96-B96</f>
        <v>173</v>
      </c>
      <c r="I96" s="61"/>
      <c r="J96" s="90"/>
      <c r="K96" s="82"/>
      <c r="L96" s="398"/>
      <c r="M96" s="397"/>
      <c r="N96" s="397"/>
      <c r="O96" s="398"/>
    </row>
    <row r="97" spans="1:17" s="52" customFormat="1" ht="13.5">
      <c r="B97" s="52" t="s">
        <v>46</v>
      </c>
      <c r="D97" s="52" t="s">
        <v>437</v>
      </c>
      <c r="G97" s="52">
        <f>SUM(L97:O97)</f>
        <v>0</v>
      </c>
      <c r="H97" s="52">
        <v>65</v>
      </c>
      <c r="I97" s="61">
        <f>H97-G97</f>
        <v>65</v>
      </c>
      <c r="J97" s="90">
        <f>Jan!I97+Feb!I97+Mar!I97</f>
        <v>-535</v>
      </c>
      <c r="K97" s="82"/>
      <c r="L97" s="398"/>
      <c r="M97" s="397"/>
      <c r="N97" s="397"/>
      <c r="O97" s="398"/>
    </row>
    <row r="98" spans="1:17" s="52" customFormat="1" ht="13.5">
      <c r="B98" s="52" t="s">
        <v>47</v>
      </c>
      <c r="D98" s="52" t="s">
        <v>436</v>
      </c>
      <c r="G98" s="52">
        <f>SUM(L98:O98)</f>
        <v>0</v>
      </c>
      <c r="H98" s="52">
        <v>72</v>
      </c>
      <c r="I98" s="61">
        <f>H98-G98</f>
        <v>72</v>
      </c>
      <c r="J98" s="90">
        <f>Jan!I98+Feb!I98+Mar!I98</f>
        <v>-642</v>
      </c>
      <c r="K98" s="82"/>
      <c r="L98" s="398"/>
      <c r="M98" s="397"/>
      <c r="N98" s="397"/>
      <c r="O98" s="398"/>
    </row>
    <row r="99" spans="1:17" s="52" customFormat="1" ht="13.5">
      <c r="B99" s="52" t="s">
        <v>48</v>
      </c>
      <c r="D99" s="52" t="s">
        <v>445</v>
      </c>
      <c r="G99" s="52">
        <f>SUM(L99:O99)</f>
        <v>0</v>
      </c>
      <c r="H99" s="52">
        <v>36</v>
      </c>
      <c r="I99" s="61">
        <f>H99-G99</f>
        <v>36</v>
      </c>
      <c r="J99" s="90">
        <f>Jan!I99+Feb!I99+Mar!I99</f>
        <v>108</v>
      </c>
      <c r="K99" s="82"/>
      <c r="L99" s="398"/>
      <c r="M99" s="397"/>
      <c r="N99" s="397"/>
      <c r="O99" s="398"/>
    </row>
    <row r="100" spans="1:17" s="52" customFormat="1" ht="13.5">
      <c r="I100" s="61"/>
      <c r="J100" s="90"/>
      <c r="K100" s="82"/>
      <c r="L100" s="398"/>
      <c r="M100" s="397"/>
      <c r="N100" s="397"/>
      <c r="O100" s="398"/>
    </row>
    <row r="101" spans="1:17" s="52" customFormat="1" ht="13.5">
      <c r="A101" s="58" t="s">
        <v>49</v>
      </c>
      <c r="B101" s="58">
        <f>SUM(G102:G108)</f>
        <v>0</v>
      </c>
      <c r="C101" s="58">
        <f>SUM(H102:H108)</f>
        <v>178</v>
      </c>
      <c r="D101" s="58">
        <f>C101-B101</f>
        <v>178</v>
      </c>
      <c r="I101" s="61"/>
      <c r="J101" s="90"/>
      <c r="K101" s="82"/>
      <c r="L101" s="398"/>
      <c r="M101" s="397"/>
      <c r="N101" s="397"/>
      <c r="O101" s="398"/>
    </row>
    <row r="102" spans="1:17" s="52" customFormat="1" ht="13.5">
      <c r="B102" s="52" t="s">
        <v>438</v>
      </c>
      <c r="G102" s="52">
        <f t="shared" ref="G102:G108" si="5">SUM(L102:O102)</f>
        <v>0</v>
      </c>
      <c r="H102" s="52">
        <v>20</v>
      </c>
      <c r="I102" s="61">
        <f t="shared" ref="I102:I108" si="6">H102-G102</f>
        <v>20</v>
      </c>
      <c r="J102" s="90">
        <f>Jan!I102+Feb!I102+Mar!I102</f>
        <v>60</v>
      </c>
      <c r="K102" s="82"/>
      <c r="L102" s="398"/>
      <c r="M102" s="397"/>
      <c r="N102" s="397"/>
      <c r="O102" s="398"/>
    </row>
    <row r="103" spans="1:17" s="52" customFormat="1" ht="13.5">
      <c r="B103" s="52" t="s">
        <v>439</v>
      </c>
      <c r="G103" s="52">
        <f t="shared" si="5"/>
        <v>0</v>
      </c>
      <c r="H103" s="52">
        <v>5</v>
      </c>
      <c r="I103" s="61">
        <f t="shared" si="6"/>
        <v>5</v>
      </c>
      <c r="J103" s="90">
        <f>Jan!I103+Feb!I103+Mar!I103</f>
        <v>15</v>
      </c>
      <c r="K103" s="82"/>
      <c r="L103" s="398"/>
      <c r="M103" s="397"/>
      <c r="N103" s="397"/>
      <c r="O103" s="398"/>
    </row>
    <row r="104" spans="1:17" s="52" customFormat="1" ht="13.5">
      <c r="B104" s="52" t="s">
        <v>303</v>
      </c>
      <c r="G104" s="52">
        <f t="shared" si="5"/>
        <v>0</v>
      </c>
      <c r="H104" s="52">
        <v>65</v>
      </c>
      <c r="I104" s="61">
        <f t="shared" si="6"/>
        <v>65</v>
      </c>
      <c r="J104" s="90">
        <f>Jan!I104+Feb!I104+Mar!I104</f>
        <v>195</v>
      </c>
      <c r="K104" s="82"/>
      <c r="L104" s="398"/>
      <c r="M104" s="397"/>
      <c r="N104" s="397"/>
      <c r="O104" s="398"/>
    </row>
    <row r="105" spans="1:17" s="52" customFormat="1" ht="13.5">
      <c r="B105" s="52" t="s">
        <v>259</v>
      </c>
      <c r="G105" s="52">
        <f t="shared" si="5"/>
        <v>0</v>
      </c>
      <c r="H105" s="52">
        <v>15</v>
      </c>
      <c r="I105" s="61">
        <f t="shared" si="6"/>
        <v>15</v>
      </c>
      <c r="J105" s="90">
        <f>Jan!I105+Feb!I105+Mar!I105</f>
        <v>45</v>
      </c>
      <c r="K105" s="82"/>
      <c r="L105" s="398"/>
      <c r="M105" s="397"/>
      <c r="N105" s="397"/>
      <c r="O105" s="398"/>
    </row>
    <row r="106" spans="1:17" s="52" customFormat="1" ht="13.5">
      <c r="B106" s="52" t="s">
        <v>299</v>
      </c>
      <c r="G106" s="52">
        <f t="shared" si="5"/>
        <v>0</v>
      </c>
      <c r="H106" s="52">
        <v>35</v>
      </c>
      <c r="I106" s="61">
        <f t="shared" si="6"/>
        <v>35</v>
      </c>
      <c r="J106" s="90">
        <f>Jan!I106+Feb!I106+Mar!I106</f>
        <v>105</v>
      </c>
      <c r="K106" s="82"/>
      <c r="L106" s="398"/>
      <c r="M106" s="397"/>
      <c r="N106" s="397"/>
      <c r="O106" s="398"/>
    </row>
    <row r="107" spans="1:17" s="52" customFormat="1" ht="13.5">
      <c r="B107" s="52" t="s">
        <v>440</v>
      </c>
      <c r="G107" s="52">
        <f t="shared" si="5"/>
        <v>0</v>
      </c>
      <c r="H107" s="52">
        <v>26</v>
      </c>
      <c r="I107" s="61">
        <f t="shared" si="6"/>
        <v>26</v>
      </c>
      <c r="J107" s="90">
        <f>Jan!I107+Feb!I107+Mar!I107</f>
        <v>78</v>
      </c>
      <c r="K107" s="82"/>
      <c r="L107" s="398"/>
      <c r="M107" s="397"/>
      <c r="N107" s="397"/>
      <c r="O107" s="398"/>
    </row>
    <row r="108" spans="1:17" s="52" customFormat="1" ht="13.5">
      <c r="B108" s="52" t="s">
        <v>441</v>
      </c>
      <c r="G108" s="52">
        <f t="shared" si="5"/>
        <v>0</v>
      </c>
      <c r="H108" s="52">
        <v>12</v>
      </c>
      <c r="I108" s="61">
        <f t="shared" si="6"/>
        <v>12</v>
      </c>
      <c r="J108" s="90">
        <f>Jan!I108+Feb!I108+Mar!I108</f>
        <v>36</v>
      </c>
      <c r="K108" s="82"/>
      <c r="L108" s="398"/>
      <c r="M108" s="397"/>
      <c r="N108" s="397"/>
      <c r="O108" s="398"/>
    </row>
    <row r="109" spans="1:17" s="52" customFormat="1" ht="13.5">
      <c r="I109" s="61"/>
      <c r="J109" s="90"/>
      <c r="K109" s="82"/>
      <c r="L109" s="398"/>
      <c r="M109" s="397"/>
      <c r="N109" s="397"/>
      <c r="O109" s="398"/>
    </row>
    <row r="110" spans="1:17" s="52" customFormat="1" ht="13.5">
      <c r="A110" s="58" t="s">
        <v>236</v>
      </c>
      <c r="B110" s="58">
        <f>SUM(G111:G113)</f>
        <v>165</v>
      </c>
      <c r="C110" s="58">
        <f>SUM(H111:H113)</f>
        <v>470</v>
      </c>
      <c r="D110" s="58">
        <f>C110-B110</f>
        <v>305</v>
      </c>
      <c r="I110" s="61"/>
      <c r="J110" s="90"/>
      <c r="K110" s="82"/>
      <c r="L110" s="398"/>
      <c r="M110" s="397"/>
      <c r="N110" s="397"/>
      <c r="O110" s="398"/>
    </row>
    <row r="111" spans="1:17" s="52" customFormat="1" ht="13.5">
      <c r="B111" s="52" t="s">
        <v>482</v>
      </c>
      <c r="G111" s="52">
        <f>SUM(L111:O111)</f>
        <v>0</v>
      </c>
      <c r="H111" s="52">
        <v>60</v>
      </c>
      <c r="I111" s="61">
        <f>H111-G111</f>
        <v>60</v>
      </c>
      <c r="J111" s="90">
        <f>Jan!I111+Feb!I111+Mar!I111</f>
        <v>180</v>
      </c>
      <c r="K111" s="82"/>
      <c r="L111" s="398"/>
      <c r="M111" s="397"/>
      <c r="N111" s="397"/>
      <c r="O111" s="398"/>
    </row>
    <row r="112" spans="1:17" s="52" customFormat="1" ht="13.5">
      <c r="B112" s="52" t="s">
        <v>442</v>
      </c>
      <c r="G112" s="52">
        <f>SUM(L112:O112)</f>
        <v>165</v>
      </c>
      <c r="H112" s="52">
        <v>400</v>
      </c>
      <c r="I112" s="61">
        <f>H112-G112</f>
        <v>235</v>
      </c>
      <c r="J112" s="90">
        <f>Jan!I112+Feb!I112+Mar!I112</f>
        <v>1035</v>
      </c>
      <c r="K112" s="82"/>
      <c r="L112" s="398">
        <f>165</f>
        <v>165</v>
      </c>
      <c r="M112" s="397"/>
      <c r="N112" s="429"/>
      <c r="O112" s="398"/>
      <c r="Q112" s="52" t="s">
        <v>987</v>
      </c>
    </row>
    <row r="113" spans="1:17" s="52" customFormat="1" ht="13.5">
      <c r="B113" s="52" t="s">
        <v>258</v>
      </c>
      <c r="G113" s="52">
        <f>SUM(L113:O113)</f>
        <v>0</v>
      </c>
      <c r="H113" s="52">
        <v>10</v>
      </c>
      <c r="I113" s="61">
        <f>H113-G113</f>
        <v>10</v>
      </c>
      <c r="J113" s="90">
        <f>Jan!I113+Feb!I113+Mar!I113</f>
        <v>30</v>
      </c>
      <c r="K113" s="82"/>
      <c r="L113" s="398"/>
      <c r="M113" s="397"/>
      <c r="N113" s="397"/>
      <c r="O113" s="398"/>
    </row>
    <row r="114" spans="1:17" s="52" customFormat="1" ht="13.5">
      <c r="I114" s="61"/>
      <c r="J114" s="90"/>
      <c r="K114" s="82"/>
      <c r="L114" s="398"/>
      <c r="M114" s="397"/>
      <c r="N114" s="397"/>
      <c r="O114" s="398"/>
    </row>
    <row r="115" spans="1:17" s="52" customFormat="1" ht="13.5">
      <c r="A115" s="58" t="s">
        <v>53</v>
      </c>
      <c r="B115" s="58">
        <f>SUM(G116:G118)</f>
        <v>1161.33</v>
      </c>
      <c r="C115" s="58">
        <f>SUM(H116:H118)</f>
        <v>245</v>
      </c>
      <c r="D115" s="58">
        <f>C115-B115</f>
        <v>-916.32999999999993</v>
      </c>
      <c r="I115" s="61"/>
      <c r="J115" s="90"/>
      <c r="K115" s="82"/>
      <c r="L115" s="398"/>
      <c r="M115" s="397"/>
      <c r="N115" s="397"/>
      <c r="O115" s="398"/>
    </row>
    <row r="116" spans="1:17" s="52" customFormat="1" ht="13.5">
      <c r="B116" s="52" t="s">
        <v>443</v>
      </c>
      <c r="G116" s="52">
        <f t="shared" ref="G116:G170" si="7">SUM(L116:O116)</f>
        <v>1116.05</v>
      </c>
      <c r="H116" s="52">
        <v>90</v>
      </c>
      <c r="I116" s="61">
        <f>H116-G116</f>
        <v>-1026.05</v>
      </c>
      <c r="J116" s="90">
        <f>Jan!I116+Feb!I116+Mar!I116</f>
        <v>-889.47</v>
      </c>
      <c r="K116" s="82"/>
      <c r="L116" s="398"/>
      <c r="M116" s="397">
        <f>63.02</f>
        <v>63.02</v>
      </c>
      <c r="N116" s="397">
        <v>1053.03</v>
      </c>
      <c r="O116" s="398"/>
      <c r="Q116" s="52" t="s">
        <v>980</v>
      </c>
    </row>
    <row r="117" spans="1:17" s="52" customFormat="1" ht="13.5">
      <c r="B117" s="52" t="s">
        <v>54</v>
      </c>
      <c r="G117" s="52">
        <f t="shared" si="7"/>
        <v>0</v>
      </c>
      <c r="H117" s="52">
        <v>25</v>
      </c>
      <c r="I117" s="61">
        <f>H117-G117</f>
        <v>25</v>
      </c>
      <c r="J117" s="90">
        <f>Jan!I117+Feb!I117+Mar!I117</f>
        <v>-158.4</v>
      </c>
      <c r="K117" s="82"/>
      <c r="L117" s="398"/>
      <c r="M117" s="397"/>
      <c r="N117" s="397"/>
      <c r="O117" s="398"/>
    </row>
    <row r="118" spans="1:17" s="52" customFormat="1" ht="13.5">
      <c r="B118" s="54" t="s">
        <v>444</v>
      </c>
      <c r="G118" s="52">
        <f t="shared" si="7"/>
        <v>45.28</v>
      </c>
      <c r="H118" s="52">
        <v>130</v>
      </c>
      <c r="I118" s="61">
        <f>H118-G118</f>
        <v>84.72</v>
      </c>
      <c r="J118" s="90">
        <f>Jan!I118+Feb!I118+Mar!I118</f>
        <v>-156.48999999999998</v>
      </c>
      <c r="K118" s="82"/>
      <c r="L118" s="398"/>
      <c r="M118" s="397">
        <v>45.28</v>
      </c>
      <c r="N118" s="397"/>
      <c r="O118" s="398"/>
    </row>
    <row r="119" spans="1:17" s="52" customFormat="1" ht="13.5">
      <c r="I119" s="61"/>
      <c r="J119" s="90"/>
      <c r="K119" s="82"/>
      <c r="L119" s="398"/>
      <c r="M119" s="397"/>
      <c r="N119" s="397"/>
      <c r="O119" s="398"/>
    </row>
    <row r="120" spans="1:17" s="52" customFormat="1" ht="13.5">
      <c r="A120" s="58" t="s">
        <v>59</v>
      </c>
      <c r="B120" s="58">
        <f>SUM(G121:G123)</f>
        <v>85</v>
      </c>
      <c r="C120" s="58">
        <f>SUM(H121:H123)</f>
        <v>415</v>
      </c>
      <c r="D120" s="58">
        <f>C120-B120</f>
        <v>330</v>
      </c>
      <c r="I120" s="61"/>
      <c r="J120" s="90"/>
      <c r="K120" s="82"/>
      <c r="L120" s="398"/>
      <c r="M120" s="397"/>
      <c r="N120" s="397"/>
      <c r="O120" s="398"/>
    </row>
    <row r="121" spans="1:17" s="52" customFormat="1" ht="13.5">
      <c r="B121" s="52" t="s">
        <v>484</v>
      </c>
      <c r="D121" s="52" t="s">
        <v>60</v>
      </c>
      <c r="G121" s="52">
        <f t="shared" si="7"/>
        <v>0</v>
      </c>
      <c r="H121" s="52">
        <v>150</v>
      </c>
      <c r="I121" s="61">
        <f>H121-G121</f>
        <v>150</v>
      </c>
      <c r="J121" s="90">
        <f>Jan!I121+Feb!I121+Mar!I121</f>
        <v>450</v>
      </c>
      <c r="K121" s="82"/>
      <c r="L121" s="398"/>
      <c r="M121" s="397"/>
      <c r="N121" s="397"/>
      <c r="O121" s="398"/>
    </row>
    <row r="122" spans="1:17" s="52" customFormat="1" ht="13.5">
      <c r="A122" s="58"/>
      <c r="B122" s="52" t="s">
        <v>483</v>
      </c>
      <c r="G122" s="52">
        <f t="shared" si="7"/>
        <v>85</v>
      </c>
      <c r="H122" s="52">
        <v>215</v>
      </c>
      <c r="I122" s="61">
        <f>H122-G122</f>
        <v>130</v>
      </c>
      <c r="J122" s="90">
        <f>Jan!I122+Feb!I122+Mar!I122</f>
        <v>305</v>
      </c>
      <c r="K122" s="82"/>
      <c r="L122" s="398">
        <v>85</v>
      </c>
      <c r="M122" s="397"/>
      <c r="N122" s="397"/>
      <c r="O122" s="398"/>
    </row>
    <row r="123" spans="1:17" s="52" customFormat="1" ht="13.5">
      <c r="A123" s="58"/>
      <c r="B123" s="52" t="s">
        <v>468</v>
      </c>
      <c r="G123" s="52">
        <f t="shared" si="7"/>
        <v>0</v>
      </c>
      <c r="H123" s="52">
        <v>50</v>
      </c>
      <c r="I123" s="61">
        <f>H123-G123</f>
        <v>50</v>
      </c>
      <c r="J123" s="90">
        <f>Jan!I123+Feb!I123+Mar!I123</f>
        <v>150</v>
      </c>
      <c r="K123" s="82"/>
      <c r="L123" s="398"/>
      <c r="M123" s="397"/>
      <c r="N123" s="397"/>
      <c r="O123" s="398"/>
    </row>
    <row r="124" spans="1:17" s="52" customFormat="1" ht="13.5">
      <c r="A124" s="58"/>
      <c r="I124" s="61"/>
      <c r="J124" s="90"/>
      <c r="K124" s="82"/>
      <c r="L124" s="398"/>
      <c r="M124" s="397"/>
      <c r="N124" s="397"/>
      <c r="O124" s="398"/>
    </row>
    <row r="125" spans="1:17" s="52" customFormat="1" ht="13.5">
      <c r="A125" s="58" t="s">
        <v>50</v>
      </c>
      <c r="B125" s="58">
        <f>SUM(G126:G136)</f>
        <v>463.26</v>
      </c>
      <c r="C125" s="58">
        <f>SUM(H126:H136)</f>
        <v>740</v>
      </c>
      <c r="D125" s="58">
        <f>C125-B125</f>
        <v>276.74</v>
      </c>
      <c r="I125" s="61"/>
      <c r="J125" s="90"/>
      <c r="K125" s="82"/>
      <c r="L125" s="398"/>
      <c r="M125" s="397"/>
      <c r="N125" s="397"/>
      <c r="O125" s="398"/>
    </row>
    <row r="126" spans="1:17" s="52" customFormat="1" ht="13.5">
      <c r="B126" s="52" t="s">
        <v>51</v>
      </c>
      <c r="G126" s="52">
        <f t="shared" si="7"/>
        <v>0</v>
      </c>
      <c r="H126" s="52">
        <v>100</v>
      </c>
      <c r="I126" s="61">
        <f>H126-G126</f>
        <v>100</v>
      </c>
      <c r="J126" s="90">
        <f>Jan!I126+Feb!I126+Mar!I126</f>
        <v>32</v>
      </c>
      <c r="K126" s="82"/>
      <c r="L126" s="398"/>
      <c r="M126" s="397"/>
      <c r="N126" s="397"/>
      <c r="O126" s="398"/>
    </row>
    <row r="127" spans="1:17" s="52" customFormat="1" ht="14.25" thickBot="1">
      <c r="B127" s="52" t="s">
        <v>453</v>
      </c>
      <c r="G127" s="52">
        <f t="shared" si="7"/>
        <v>234.34999999999997</v>
      </c>
      <c r="H127" s="52">
        <v>500</v>
      </c>
      <c r="I127" s="61">
        <f>H127-G127</f>
        <v>265.65000000000003</v>
      </c>
      <c r="J127" s="90">
        <f>Jan!I127+Feb!I127+Mar!I127</f>
        <v>809.08000000000015</v>
      </c>
      <c r="K127" s="82"/>
      <c r="L127" s="398"/>
      <c r="M127" s="397"/>
      <c r="N127" s="397">
        <f>(58.66+17.03+42.04+81.23)+(6.49+28.9)</f>
        <v>234.34999999999997</v>
      </c>
      <c r="O127" s="398"/>
    </row>
    <row r="128" spans="1:17" s="52" customFormat="1" ht="14.25" thickBot="1">
      <c r="C128" s="52" t="s">
        <v>446</v>
      </c>
      <c r="E128" s="88">
        <f>19.8</f>
        <v>19.8</v>
      </c>
      <c r="I128" s="61"/>
      <c r="J128" s="90"/>
      <c r="K128" s="82"/>
      <c r="L128" s="398"/>
      <c r="M128" s="397"/>
      <c r="N128" s="397"/>
      <c r="O128" s="398"/>
    </row>
    <row r="129" spans="1:17" s="52" customFormat="1" ht="14.25" thickBot="1">
      <c r="C129" s="52" t="s">
        <v>447</v>
      </c>
      <c r="E129" s="88"/>
      <c r="I129" s="61"/>
      <c r="J129" s="90"/>
      <c r="K129" s="82"/>
      <c r="L129" s="398"/>
      <c r="M129" s="397"/>
      <c r="N129" s="397"/>
      <c r="O129" s="398"/>
    </row>
    <row r="130" spans="1:17" s="52" customFormat="1" ht="13.5">
      <c r="B130" s="52" t="s">
        <v>300</v>
      </c>
      <c r="G130" s="52">
        <f t="shared" si="7"/>
        <v>228.91000000000003</v>
      </c>
      <c r="H130" s="52">
        <v>50</v>
      </c>
      <c r="I130" s="61">
        <f>H130-G130</f>
        <v>-178.91000000000003</v>
      </c>
      <c r="J130" s="90">
        <f>Jan!I130+Feb!I130+Mar!I130</f>
        <v>-160.67000000000002</v>
      </c>
      <c r="K130" s="82"/>
      <c r="L130" s="398"/>
      <c r="M130" s="397"/>
      <c r="N130" s="397">
        <f>125.62+103.29</f>
        <v>228.91000000000003</v>
      </c>
      <c r="O130" s="398"/>
      <c r="Q130" s="52" t="s">
        <v>947</v>
      </c>
    </row>
    <row r="131" spans="1:17" s="52" customFormat="1" ht="14.25" thickBot="1">
      <c r="B131" s="52" t="s">
        <v>52</v>
      </c>
      <c r="G131" s="52">
        <f t="shared" si="7"/>
        <v>0</v>
      </c>
      <c r="H131" s="52">
        <v>70</v>
      </c>
      <c r="I131" s="61">
        <f>H131-G131</f>
        <v>70</v>
      </c>
      <c r="J131" s="90">
        <f>Jan!I131+Feb!I131+Mar!I131</f>
        <v>210</v>
      </c>
      <c r="K131" s="82"/>
      <c r="L131" s="398"/>
      <c r="M131" s="397"/>
      <c r="N131" s="397"/>
      <c r="O131" s="398"/>
    </row>
    <row r="132" spans="1:17" s="52" customFormat="1" ht="14.25" thickBot="1">
      <c r="C132" s="259" t="s">
        <v>448</v>
      </c>
      <c r="D132" s="260"/>
      <c r="E132" s="88"/>
      <c r="I132" s="61"/>
      <c r="J132" s="90"/>
      <c r="K132" s="82"/>
      <c r="L132" s="398"/>
      <c r="M132" s="397"/>
      <c r="N132" s="397"/>
      <c r="O132" s="398"/>
    </row>
    <row r="133" spans="1:17" s="52" customFormat="1" ht="14.25" thickBot="1">
      <c r="C133" s="259" t="s">
        <v>449</v>
      </c>
      <c r="D133" s="260"/>
      <c r="E133" s="88"/>
      <c r="I133" s="61"/>
      <c r="J133" s="90"/>
      <c r="K133" s="82"/>
      <c r="L133" s="398"/>
      <c r="M133" s="397"/>
      <c r="N133" s="397"/>
      <c r="O133" s="398"/>
    </row>
    <row r="134" spans="1:17" s="52" customFormat="1" ht="14.25" thickBot="1">
      <c r="C134" s="259" t="s">
        <v>450</v>
      </c>
      <c r="D134" s="260"/>
      <c r="E134" s="88"/>
      <c r="I134" s="61"/>
      <c r="J134" s="90"/>
      <c r="K134" s="82"/>
      <c r="L134" s="398"/>
      <c r="M134" s="397"/>
      <c r="N134" s="397"/>
      <c r="O134" s="398"/>
    </row>
    <row r="135" spans="1:17" s="52" customFormat="1" ht="14.25" thickBot="1">
      <c r="C135" s="259" t="s">
        <v>451</v>
      </c>
      <c r="D135" s="260"/>
      <c r="E135" s="88"/>
      <c r="I135" s="61"/>
      <c r="J135" s="90"/>
      <c r="K135" s="82"/>
      <c r="L135" s="398"/>
      <c r="M135" s="397"/>
      <c r="N135" s="397"/>
      <c r="O135" s="398"/>
    </row>
    <row r="136" spans="1:17" s="52" customFormat="1" ht="13.5">
      <c r="B136" s="52" t="s">
        <v>452</v>
      </c>
      <c r="G136" s="52">
        <f t="shared" si="7"/>
        <v>0</v>
      </c>
      <c r="H136" s="52">
        <v>20</v>
      </c>
      <c r="I136" s="61">
        <f t="shared" ref="I136:I170" si="8">H136-G136</f>
        <v>20</v>
      </c>
      <c r="J136" s="90">
        <f>Jan!I136+Feb!I136+Mar!I136</f>
        <v>60</v>
      </c>
      <c r="K136" s="82"/>
      <c r="L136" s="398"/>
      <c r="M136" s="397"/>
      <c r="N136" s="397"/>
      <c r="O136" s="398"/>
    </row>
    <row r="137" spans="1:17" s="52" customFormat="1" ht="13.5">
      <c r="I137" s="61"/>
      <c r="J137" s="90"/>
      <c r="K137" s="82"/>
      <c r="L137" s="398"/>
      <c r="M137" s="397"/>
      <c r="N137" s="397"/>
      <c r="O137" s="398"/>
    </row>
    <row r="138" spans="1:17" s="52" customFormat="1" ht="13.5">
      <c r="A138" s="58" t="s">
        <v>65</v>
      </c>
      <c r="B138" s="58">
        <f>G139</f>
        <v>0</v>
      </c>
      <c r="C138" s="58">
        <f>H139</f>
        <v>140</v>
      </c>
      <c r="D138" s="58">
        <f>I139</f>
        <v>140</v>
      </c>
      <c r="I138" s="61"/>
      <c r="J138" s="90"/>
      <c r="K138" s="82"/>
      <c r="L138" s="398"/>
      <c r="M138" s="397"/>
      <c r="N138" s="397"/>
      <c r="O138" s="398"/>
    </row>
    <row r="139" spans="1:17" s="52" customFormat="1" ht="13.5">
      <c r="B139" s="52" t="s">
        <v>66</v>
      </c>
      <c r="G139" s="52">
        <f t="shared" si="7"/>
        <v>0</v>
      </c>
      <c r="H139" s="52">
        <v>140</v>
      </c>
      <c r="I139" s="61">
        <f t="shared" si="8"/>
        <v>140</v>
      </c>
      <c r="J139" s="90">
        <f>Jan!I139+Feb!I139+Mar!I139</f>
        <v>420</v>
      </c>
      <c r="K139" s="82"/>
      <c r="L139" s="398"/>
      <c r="M139" s="397"/>
      <c r="N139" s="397"/>
      <c r="O139" s="398"/>
    </row>
    <row r="140" spans="1:17" s="52" customFormat="1" ht="13.5">
      <c r="I140" s="61"/>
      <c r="J140" s="90"/>
      <c r="K140" s="82"/>
      <c r="L140" s="398"/>
      <c r="M140" s="397"/>
      <c r="N140" s="397"/>
      <c r="O140" s="398"/>
    </row>
    <row r="141" spans="1:17" s="52" customFormat="1" ht="13.5">
      <c r="A141" s="58" t="s">
        <v>271</v>
      </c>
      <c r="B141" s="58">
        <f>SUM(G142:G144)</f>
        <v>201</v>
      </c>
      <c r="C141" s="58">
        <f>SUM(H142:H144)</f>
        <v>230</v>
      </c>
      <c r="D141" s="58">
        <f>C141-B141</f>
        <v>29</v>
      </c>
      <c r="I141" s="61"/>
      <c r="J141" s="90"/>
      <c r="K141" s="82"/>
      <c r="L141" s="398"/>
      <c r="M141" s="397"/>
      <c r="N141" s="397"/>
      <c r="O141" s="398"/>
    </row>
    <row r="142" spans="1:17" s="52" customFormat="1" ht="13.5">
      <c r="B142" s="52" t="s">
        <v>266</v>
      </c>
      <c r="G142" s="52">
        <f t="shared" si="7"/>
        <v>201</v>
      </c>
      <c r="H142" s="52">
        <v>100</v>
      </c>
      <c r="I142" s="61">
        <f t="shared" si="8"/>
        <v>-101</v>
      </c>
      <c r="J142" s="90">
        <f>Jan!I142+Feb!I142+Mar!I142</f>
        <v>-180.65</v>
      </c>
      <c r="K142" s="82"/>
      <c r="L142" s="398"/>
      <c r="M142" s="397">
        <f>30.08+20.72+6.95+19.76</f>
        <v>77.510000000000005</v>
      </c>
      <c r="N142" s="397">
        <f>31.13+14.43+37.49+40.44</f>
        <v>123.49000000000001</v>
      </c>
      <c r="O142" s="398"/>
    </row>
    <row r="143" spans="1:17" s="52" customFormat="1" ht="13.5">
      <c r="B143" s="52" t="s">
        <v>454</v>
      </c>
      <c r="G143" s="52">
        <f t="shared" si="7"/>
        <v>0</v>
      </c>
      <c r="H143" s="52">
        <v>100</v>
      </c>
      <c r="I143" s="61">
        <f t="shared" si="8"/>
        <v>100</v>
      </c>
      <c r="J143" s="90">
        <f>Jan!I143+Feb!I143+Mar!I143</f>
        <v>300</v>
      </c>
      <c r="K143" s="82"/>
      <c r="L143" s="398"/>
      <c r="M143" s="397"/>
      <c r="N143" s="397"/>
      <c r="O143" s="398"/>
    </row>
    <row r="144" spans="1:17" s="52" customFormat="1" ht="13.5">
      <c r="B144" s="52" t="s">
        <v>455</v>
      </c>
      <c r="G144" s="52">
        <f t="shared" si="7"/>
        <v>0</v>
      </c>
      <c r="H144" s="52">
        <v>30</v>
      </c>
      <c r="I144" s="61">
        <f t="shared" si="8"/>
        <v>30</v>
      </c>
      <c r="J144" s="90">
        <f>Jan!I144+Feb!I144+Mar!I144</f>
        <v>90</v>
      </c>
      <c r="K144" s="82"/>
      <c r="L144" s="398"/>
      <c r="M144" s="397"/>
      <c r="N144" s="397"/>
      <c r="O144" s="398"/>
    </row>
    <row r="145" spans="1:15" s="52" customFormat="1" ht="13.5">
      <c r="I145" s="61"/>
      <c r="J145" s="90"/>
      <c r="K145" s="82"/>
      <c r="L145" s="398"/>
      <c r="M145" s="397"/>
      <c r="N145" s="397"/>
      <c r="O145" s="398"/>
    </row>
    <row r="146" spans="1:15" s="52" customFormat="1" ht="13.5">
      <c r="A146" s="58" t="s">
        <v>67</v>
      </c>
      <c r="B146" s="58">
        <f>G147</f>
        <v>0</v>
      </c>
      <c r="C146" s="58">
        <f>H147</f>
        <v>10</v>
      </c>
      <c r="D146" s="58">
        <f>C146-B146</f>
        <v>10</v>
      </c>
      <c r="I146" s="61"/>
      <c r="J146" s="90"/>
      <c r="K146" s="82"/>
      <c r="L146" s="398"/>
      <c r="M146" s="397"/>
      <c r="N146" s="397"/>
      <c r="O146" s="398"/>
    </row>
    <row r="147" spans="1:15" s="52" customFormat="1" ht="13.5">
      <c r="B147" s="52" t="s">
        <v>68</v>
      </c>
      <c r="G147" s="52">
        <f t="shared" si="7"/>
        <v>0</v>
      </c>
      <c r="H147" s="52">
        <v>10</v>
      </c>
      <c r="I147" s="61">
        <f t="shared" si="8"/>
        <v>10</v>
      </c>
      <c r="J147" s="90">
        <f>Jan!I147+Feb!I147+Mar!I147</f>
        <v>30</v>
      </c>
      <c r="K147" s="82"/>
      <c r="L147" s="398"/>
      <c r="M147" s="397"/>
      <c r="N147" s="397"/>
      <c r="O147" s="398"/>
    </row>
    <row r="148" spans="1:15" s="52" customFormat="1" ht="13.5">
      <c r="I148" s="61"/>
      <c r="J148" s="90"/>
      <c r="K148" s="82"/>
      <c r="L148" s="398"/>
      <c r="M148" s="397"/>
      <c r="N148" s="397"/>
      <c r="O148" s="398"/>
    </row>
    <row r="149" spans="1:15" s="52" customFormat="1" ht="13.5">
      <c r="A149" s="58" t="s">
        <v>269</v>
      </c>
      <c r="B149" s="58">
        <f>SUM(G150:G151)</f>
        <v>0</v>
      </c>
      <c r="C149" s="58">
        <f>SUM(H150:H151)</f>
        <v>250</v>
      </c>
      <c r="D149" s="58">
        <f>C149-B149</f>
        <v>250</v>
      </c>
      <c r="I149" s="61"/>
      <c r="J149" s="90"/>
      <c r="K149" s="82"/>
      <c r="L149" s="398"/>
      <c r="M149" s="397"/>
      <c r="N149" s="397"/>
      <c r="O149" s="398"/>
    </row>
    <row r="150" spans="1:15" s="52" customFormat="1" ht="13.5">
      <c r="B150" s="52" t="s">
        <v>63</v>
      </c>
      <c r="G150" s="52">
        <f t="shared" si="7"/>
        <v>0</v>
      </c>
      <c r="H150" s="52">
        <v>150</v>
      </c>
      <c r="I150" s="61">
        <f t="shared" si="8"/>
        <v>150</v>
      </c>
      <c r="J150" s="90">
        <f>Jan!I150+Feb!I150+Mar!I150</f>
        <v>450</v>
      </c>
      <c r="K150" s="82"/>
      <c r="L150" s="398"/>
      <c r="M150" s="397"/>
      <c r="N150" s="397"/>
      <c r="O150" s="398"/>
    </row>
    <row r="151" spans="1:15" s="52" customFormat="1" ht="13.5">
      <c r="B151" s="52" t="s">
        <v>64</v>
      </c>
      <c r="D151" s="52" t="s">
        <v>270</v>
      </c>
      <c r="G151" s="52">
        <f t="shared" si="7"/>
        <v>0</v>
      </c>
      <c r="H151" s="52">
        <v>100</v>
      </c>
      <c r="I151" s="61">
        <f t="shared" si="8"/>
        <v>100</v>
      </c>
      <c r="J151" s="90">
        <f>Jan!I151+Feb!I151+Mar!I151</f>
        <v>92.990000000000009</v>
      </c>
      <c r="K151" s="87"/>
      <c r="L151" s="398"/>
      <c r="M151" s="397"/>
      <c r="N151" s="397"/>
      <c r="O151" s="398"/>
    </row>
    <row r="152" spans="1:15" s="52" customFormat="1" ht="13.5">
      <c r="I152" s="61"/>
      <c r="J152" s="90"/>
      <c r="K152" s="87"/>
      <c r="L152" s="398"/>
      <c r="M152" s="397"/>
      <c r="N152" s="397"/>
      <c r="O152" s="398"/>
    </row>
    <row r="153" spans="1:15" ht="13.5">
      <c r="A153" s="52"/>
      <c r="B153" s="52"/>
      <c r="C153" s="52"/>
      <c r="D153" s="52"/>
      <c r="E153" s="52"/>
      <c r="F153" s="52"/>
      <c r="G153" s="52"/>
      <c r="H153" s="52"/>
      <c r="I153" s="61"/>
      <c r="J153" s="90"/>
      <c r="L153" s="398"/>
      <c r="M153" s="397"/>
      <c r="N153" s="397"/>
      <c r="O153" s="398"/>
    </row>
    <row r="154" spans="1:15" ht="13.5">
      <c r="A154" s="58" t="s">
        <v>459</v>
      </c>
      <c r="B154" s="52"/>
      <c r="C154" s="52"/>
      <c r="D154" s="52"/>
      <c r="E154" s="52"/>
      <c r="F154" s="52"/>
      <c r="G154" s="52"/>
      <c r="H154" s="52"/>
      <c r="I154" s="61"/>
      <c r="J154" s="90"/>
      <c r="L154" s="398"/>
      <c r="M154" s="397"/>
      <c r="N154" s="397"/>
      <c r="O154" s="398"/>
    </row>
    <row r="155" spans="1:15" ht="13.5">
      <c r="A155" s="52"/>
      <c r="B155" s="52">
        <f>SUM(G156:G170)</f>
        <v>0</v>
      </c>
      <c r="C155" s="52">
        <f>SUM(H156:H170)</f>
        <v>610</v>
      </c>
      <c r="D155" s="58">
        <f>C155-B155</f>
        <v>610</v>
      </c>
      <c r="E155" s="52"/>
      <c r="F155" s="52"/>
      <c r="G155" s="52"/>
      <c r="H155" s="52"/>
      <c r="I155" s="61"/>
      <c r="J155" s="90"/>
      <c r="L155" s="398"/>
      <c r="M155" s="397"/>
      <c r="N155" s="397"/>
      <c r="O155" s="398"/>
    </row>
    <row r="156" spans="1:15" ht="13.5">
      <c r="A156" s="58" t="s">
        <v>461</v>
      </c>
      <c r="B156" s="52"/>
      <c r="C156" s="52"/>
      <c r="D156" s="52"/>
      <c r="E156" s="52"/>
      <c r="F156" s="52"/>
      <c r="G156" s="52"/>
      <c r="H156" s="52"/>
      <c r="I156" s="61"/>
      <c r="J156" s="90"/>
      <c r="L156" s="398"/>
      <c r="M156" s="397"/>
      <c r="N156" s="397"/>
      <c r="O156" s="398"/>
    </row>
    <row r="157" spans="1:15" ht="14.25" thickBot="1">
      <c r="A157" s="52"/>
      <c r="B157" s="52" t="s">
        <v>267</v>
      </c>
      <c r="C157" s="52"/>
      <c r="D157" s="52"/>
      <c r="E157" s="52"/>
      <c r="F157" s="52"/>
      <c r="G157" s="52">
        <f t="shared" si="7"/>
        <v>0</v>
      </c>
      <c r="H157" s="52">
        <v>100</v>
      </c>
      <c r="I157" s="61">
        <f t="shared" si="8"/>
        <v>100</v>
      </c>
      <c r="J157" s="90">
        <f>Jan!I157+Feb!I157+Mar!I157</f>
        <v>300</v>
      </c>
      <c r="L157" s="398"/>
      <c r="M157" s="397"/>
      <c r="N157" s="397"/>
      <c r="O157" s="398"/>
    </row>
    <row r="158" spans="1:15" ht="14.25" thickBot="1">
      <c r="A158" s="88">
        <f>SUM(G157:G161)</f>
        <v>0</v>
      </c>
      <c r="B158" s="52" t="s">
        <v>268</v>
      </c>
      <c r="C158" s="52"/>
      <c r="D158" s="52"/>
      <c r="E158" s="52"/>
      <c r="F158" s="52"/>
      <c r="G158" s="52">
        <f t="shared" si="7"/>
        <v>0</v>
      </c>
      <c r="H158" s="52">
        <v>100</v>
      </c>
      <c r="I158" s="61">
        <f t="shared" si="8"/>
        <v>100</v>
      </c>
      <c r="J158" s="90">
        <f>Jan!I158+Feb!I158+Mar!I158</f>
        <v>300</v>
      </c>
      <c r="L158" s="398"/>
      <c r="M158" s="397"/>
      <c r="N158" s="397"/>
      <c r="O158" s="398"/>
    </row>
    <row r="159" spans="1:15" ht="13.5">
      <c r="A159" s="52"/>
      <c r="B159" s="52" t="s">
        <v>61</v>
      </c>
      <c r="C159" s="52"/>
      <c r="D159" s="52"/>
      <c r="E159" s="52"/>
      <c r="F159" s="52"/>
      <c r="G159" s="52">
        <f t="shared" si="7"/>
        <v>0</v>
      </c>
      <c r="H159" s="52">
        <v>30</v>
      </c>
      <c r="I159" s="61">
        <f t="shared" si="8"/>
        <v>30</v>
      </c>
      <c r="J159" s="90">
        <f>Jan!I159+Feb!I159+Mar!I159</f>
        <v>90</v>
      </c>
      <c r="L159" s="398"/>
      <c r="M159" s="397"/>
      <c r="N159" s="397"/>
      <c r="O159" s="398"/>
    </row>
    <row r="160" spans="1:15" ht="13.5">
      <c r="A160" s="52"/>
      <c r="B160" s="52" t="s">
        <v>62</v>
      </c>
      <c r="C160" s="52"/>
      <c r="D160" s="52"/>
      <c r="E160" s="52"/>
      <c r="F160" s="52"/>
      <c r="G160" s="52">
        <f t="shared" si="7"/>
        <v>0</v>
      </c>
      <c r="H160" s="52">
        <v>50</v>
      </c>
      <c r="I160" s="61">
        <f>H160-G160</f>
        <v>50</v>
      </c>
      <c r="J160" s="90">
        <f>Jan!I160+Feb!I160+Mar!I160</f>
        <v>75</v>
      </c>
      <c r="L160" s="398"/>
      <c r="M160" s="397"/>
      <c r="N160" s="397"/>
      <c r="O160" s="398"/>
    </row>
    <row r="161" spans="1:15" ht="13.5">
      <c r="A161" s="52"/>
      <c r="B161" s="52" t="s">
        <v>486</v>
      </c>
      <c r="C161" s="52"/>
      <c r="D161" s="52"/>
      <c r="E161" s="52"/>
      <c r="F161" s="52"/>
      <c r="G161" s="52">
        <f t="shared" si="7"/>
        <v>0</v>
      </c>
      <c r="H161" s="52">
        <v>10</v>
      </c>
      <c r="I161" s="61">
        <f>H161-G161</f>
        <v>10</v>
      </c>
      <c r="J161" s="90">
        <f>Jan!I161+Feb!I161+Mar!I161</f>
        <v>30</v>
      </c>
      <c r="L161" s="398"/>
      <c r="M161" s="397"/>
      <c r="N161" s="397"/>
      <c r="O161" s="398"/>
    </row>
    <row r="162" spans="1:15" ht="13.5">
      <c r="A162" s="52"/>
      <c r="B162" s="52"/>
      <c r="C162" s="52"/>
      <c r="D162" s="52"/>
      <c r="E162" s="52"/>
      <c r="F162" s="52"/>
      <c r="G162" s="52"/>
      <c r="H162" s="52"/>
      <c r="I162" s="61"/>
      <c r="J162" s="90"/>
      <c r="L162" s="398"/>
      <c r="M162" s="397"/>
      <c r="N162" s="397"/>
      <c r="O162" s="398"/>
    </row>
    <row r="163" spans="1:15" ht="13.5">
      <c r="A163" s="58" t="s">
        <v>460</v>
      </c>
      <c r="B163" s="52"/>
      <c r="C163" s="52"/>
      <c r="D163" s="52"/>
      <c r="E163" s="52"/>
      <c r="F163" s="52"/>
      <c r="G163" s="52"/>
      <c r="H163" s="52"/>
      <c r="I163" s="61"/>
      <c r="J163" s="90"/>
      <c r="L163" s="398"/>
      <c r="M163" s="397"/>
      <c r="N163" s="397"/>
      <c r="O163" s="398"/>
    </row>
    <row r="164" spans="1:15" ht="14.25" thickBot="1">
      <c r="A164" s="52"/>
      <c r="B164" s="52" t="s">
        <v>456</v>
      </c>
      <c r="C164" s="52"/>
      <c r="D164" s="52"/>
      <c r="E164" s="52"/>
      <c r="F164" s="52"/>
      <c r="G164" s="52">
        <f t="shared" si="7"/>
        <v>0</v>
      </c>
      <c r="H164" s="52">
        <v>30</v>
      </c>
      <c r="I164" s="61">
        <f t="shared" si="8"/>
        <v>30</v>
      </c>
      <c r="J164" s="90">
        <f>Jan!I164+Feb!I164+Mar!I164</f>
        <v>56.83</v>
      </c>
      <c r="L164" s="398"/>
      <c r="M164" s="397"/>
      <c r="N164" s="397"/>
      <c r="O164" s="398"/>
    </row>
    <row r="165" spans="1:15" ht="14.25" thickBot="1">
      <c r="A165" s="88">
        <f>SUM(G164:G168)</f>
        <v>0</v>
      </c>
      <c r="B165" s="52" t="s">
        <v>457</v>
      </c>
      <c r="C165" s="52"/>
      <c r="D165" s="52"/>
      <c r="E165" s="52"/>
      <c r="F165" s="52"/>
      <c r="G165" s="52">
        <f t="shared" si="7"/>
        <v>0</v>
      </c>
      <c r="H165" s="52">
        <v>30</v>
      </c>
      <c r="I165" s="61">
        <f t="shared" si="8"/>
        <v>30</v>
      </c>
      <c r="J165" s="90">
        <f>Jan!I165+Feb!I165+Mar!I165</f>
        <v>80</v>
      </c>
      <c r="L165" s="398"/>
      <c r="M165" s="397"/>
      <c r="N165" s="397"/>
      <c r="O165" s="398"/>
    </row>
    <row r="166" spans="1:15" ht="13.5">
      <c r="A166" s="52"/>
      <c r="B166" s="52" t="s">
        <v>462</v>
      </c>
      <c r="C166" s="52"/>
      <c r="D166" s="52"/>
      <c r="E166" s="52"/>
      <c r="F166" s="52"/>
      <c r="G166" s="52">
        <f t="shared" si="7"/>
        <v>0</v>
      </c>
      <c r="H166" s="52">
        <v>30</v>
      </c>
      <c r="I166" s="61">
        <f t="shared" si="8"/>
        <v>30</v>
      </c>
      <c r="J166" s="90">
        <f>Jan!I166+Feb!I166+Mar!I166</f>
        <v>90</v>
      </c>
      <c r="L166" s="398"/>
      <c r="M166" s="397"/>
      <c r="N166" s="397"/>
      <c r="O166" s="398"/>
    </row>
    <row r="167" spans="1:15" ht="13.5">
      <c r="A167" s="52"/>
      <c r="B167" s="52" t="s">
        <v>458</v>
      </c>
      <c r="C167" s="52"/>
      <c r="D167" s="52"/>
      <c r="E167" s="52"/>
      <c r="F167" s="52"/>
      <c r="G167" s="52">
        <f t="shared" si="7"/>
        <v>0</v>
      </c>
      <c r="H167" s="52">
        <v>30</v>
      </c>
      <c r="I167" s="61">
        <f t="shared" si="8"/>
        <v>30</v>
      </c>
      <c r="J167" s="90">
        <f>Jan!I167+Feb!I167+Mar!I167</f>
        <v>90</v>
      </c>
      <c r="L167" s="398"/>
      <c r="M167" s="397"/>
      <c r="N167" s="397"/>
      <c r="O167" s="398"/>
    </row>
    <row r="168" spans="1:15" ht="13.5">
      <c r="A168" s="52"/>
      <c r="B168" s="52" t="s">
        <v>485</v>
      </c>
      <c r="C168" s="52"/>
      <c r="D168" s="52"/>
      <c r="E168" s="52"/>
      <c r="F168" s="52"/>
      <c r="G168" s="52">
        <f t="shared" si="7"/>
        <v>0</v>
      </c>
      <c r="H168" s="52">
        <v>100</v>
      </c>
      <c r="I168" s="61">
        <f t="shared" si="8"/>
        <v>100</v>
      </c>
      <c r="J168" s="90">
        <f>Jan!I168+Feb!I168+Mar!I168</f>
        <v>300</v>
      </c>
      <c r="L168" s="398"/>
      <c r="M168" s="397"/>
      <c r="N168" s="397"/>
      <c r="O168" s="398"/>
    </row>
    <row r="169" spans="1:15" ht="13.5">
      <c r="A169" s="52"/>
      <c r="B169" s="52"/>
      <c r="C169" s="52"/>
      <c r="D169" s="52"/>
      <c r="E169" s="52"/>
      <c r="F169" s="52"/>
      <c r="G169" s="52"/>
      <c r="H169" s="52"/>
      <c r="I169" s="61"/>
      <c r="J169" s="90"/>
      <c r="L169" s="398"/>
      <c r="M169" s="397"/>
      <c r="N169" s="397"/>
      <c r="O169" s="398"/>
    </row>
    <row r="170" spans="1:15" ht="13.5">
      <c r="A170" s="58" t="s">
        <v>272</v>
      </c>
      <c r="B170" s="52"/>
      <c r="C170" s="52"/>
      <c r="D170" s="52"/>
      <c r="E170" s="52"/>
      <c r="F170" s="52"/>
      <c r="G170" s="52">
        <f t="shared" si="7"/>
        <v>0</v>
      </c>
      <c r="H170" s="52">
        <v>100</v>
      </c>
      <c r="I170" s="61">
        <f t="shared" si="8"/>
        <v>100</v>
      </c>
      <c r="J170" s="90">
        <f>Jan!I170+Feb!I170+Mar!I170</f>
        <v>300</v>
      </c>
      <c r="L170" s="398"/>
      <c r="M170" s="397"/>
      <c r="N170" s="397"/>
      <c r="O170" s="398"/>
    </row>
  </sheetData>
  <sheetProtection selectLockedCells="1" selectUnlockedCells="1"/>
  <pageMargins left="0.75" right="0.75" top="1" bottom="1" header="0.51180555555555551" footer="0.51180555555555551"/>
  <pageSetup firstPageNumber="0" orientation="portrait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0"/>
  <sheetViews>
    <sheetView zoomScale="90" zoomScaleNormal="90" workbookViewId="0">
      <selection activeCell="L94" sqref="L94"/>
    </sheetView>
  </sheetViews>
  <sheetFormatPr defaultColWidth="9" defaultRowHeight="15.75"/>
  <cols>
    <col min="1" max="1" width="24.42578125" style="74" customWidth="1"/>
    <col min="2" max="2" width="18" style="65" customWidth="1"/>
    <col min="3" max="3" width="17.140625" style="65" customWidth="1"/>
    <col min="4" max="5" width="16.5703125" style="65" customWidth="1"/>
    <col min="6" max="6" width="15.28515625" style="65" customWidth="1"/>
    <col min="7" max="7" width="13.5703125" style="65" customWidth="1"/>
    <col min="8" max="8" width="13.85546875" style="65" customWidth="1"/>
    <col min="9" max="10" width="14" style="65" customWidth="1"/>
    <col min="11" max="11" width="2.28515625" style="80" customWidth="1"/>
    <col min="12" max="12" width="11.5703125" style="65" customWidth="1"/>
    <col min="13" max="13" width="11.85546875" style="65" customWidth="1"/>
    <col min="14" max="15" width="11.5703125" style="65" customWidth="1"/>
    <col min="16" max="16" width="1.7109375" style="65" customWidth="1"/>
    <col min="17" max="17" width="11.7109375" style="65" customWidth="1"/>
    <col min="18" max="18" width="11.5703125" style="65" customWidth="1"/>
    <col min="19" max="16384" width="9" style="65"/>
  </cols>
  <sheetData>
    <row r="1" spans="1:17">
      <c r="A1" s="71" t="s">
        <v>182</v>
      </c>
      <c r="B1" s="72">
        <v>2015</v>
      </c>
      <c r="C1" s="72"/>
      <c r="L1" s="73" t="s">
        <v>492</v>
      </c>
    </row>
    <row r="2" spans="1:17">
      <c r="A2" s="71" t="s">
        <v>171</v>
      </c>
      <c r="B2" s="73" t="s">
        <v>9</v>
      </c>
      <c r="C2" s="73"/>
      <c r="M2" s="73" t="s">
        <v>1036</v>
      </c>
      <c r="Q2"/>
    </row>
    <row r="3" spans="1:17">
      <c r="M3" s="73" t="s">
        <v>1037</v>
      </c>
      <c r="O3" s="75"/>
      <c r="Q3"/>
    </row>
    <row r="4" spans="1:17">
      <c r="A4" s="71" t="s">
        <v>4</v>
      </c>
      <c r="B4" s="76">
        <f>SUM(G5:G8)</f>
        <v>19290.239999999998</v>
      </c>
      <c r="C4" s="76"/>
      <c r="F4" s="93"/>
      <c r="G4" s="65" t="s">
        <v>31</v>
      </c>
      <c r="L4" s="77"/>
      <c r="M4" s="73" t="s">
        <v>1038</v>
      </c>
      <c r="O4" s="75"/>
      <c r="Q4"/>
    </row>
    <row r="5" spans="1:17" ht="12.75">
      <c r="A5" s="65" t="s">
        <v>24</v>
      </c>
      <c r="B5" s="121">
        <v>2982.22</v>
      </c>
      <c r="C5" s="122">
        <v>899.27</v>
      </c>
      <c r="D5" s="65">
        <v>1444.2</v>
      </c>
      <c r="F5" s="93"/>
      <c r="G5" s="121">
        <f>SUM(B5:E5)</f>
        <v>5325.69</v>
      </c>
      <c r="H5" s="77"/>
      <c r="I5" s="77"/>
      <c r="J5" s="77"/>
      <c r="K5" s="81"/>
      <c r="L5" s="77"/>
      <c r="O5" s="75"/>
      <c r="Q5"/>
    </row>
    <row r="6" spans="1:17" ht="12.75">
      <c r="A6" s="65" t="s">
        <v>230</v>
      </c>
      <c r="B6" s="65">
        <v>1881.84</v>
      </c>
      <c r="C6" s="75"/>
      <c r="F6" s="93"/>
      <c r="G6" s="121">
        <f>SUM(B6:E6)</f>
        <v>1881.84</v>
      </c>
      <c r="H6" s="77"/>
      <c r="I6" s="77"/>
      <c r="J6" s="77"/>
      <c r="K6" s="81"/>
      <c r="L6" s="77"/>
      <c r="O6" s="75"/>
    </row>
    <row r="7" spans="1:17" ht="12.75">
      <c r="A7" s="65" t="s">
        <v>964</v>
      </c>
      <c r="B7" s="65">
        <v>6309.71</v>
      </c>
      <c r="D7" s="65">
        <v>5773</v>
      </c>
      <c r="F7" s="93"/>
      <c r="G7" s="121">
        <f>SUM(B7:E7)</f>
        <v>12082.71</v>
      </c>
      <c r="H7" s="77" t="s">
        <v>1278</v>
      </c>
      <c r="I7" s="77"/>
      <c r="J7" s="77"/>
      <c r="K7" s="81"/>
      <c r="L7" s="77"/>
      <c r="O7" s="75"/>
    </row>
    <row r="8" spans="1:17">
      <c r="F8" s="93"/>
      <c r="G8" s="121"/>
      <c r="H8" s="77"/>
      <c r="I8" s="77"/>
      <c r="J8" s="77"/>
      <c r="K8" s="81"/>
      <c r="P8" s="75"/>
    </row>
    <row r="9" spans="1:17" ht="13.5">
      <c r="A9" s="58"/>
      <c r="B9" s="62"/>
      <c r="C9" s="52"/>
      <c r="D9" s="52"/>
      <c r="E9" s="52"/>
      <c r="F9" s="261"/>
      <c r="G9" s="55"/>
      <c r="H9" s="52"/>
      <c r="I9" s="61" t="s">
        <v>34</v>
      </c>
      <c r="J9" s="90" t="s">
        <v>280</v>
      </c>
      <c r="M9" s="52"/>
    </row>
    <row r="10" spans="1:17" s="52" customFormat="1" ht="13.5">
      <c r="A10" s="58"/>
      <c r="B10" s="62"/>
      <c r="F10" s="261"/>
      <c r="G10" s="55" t="s">
        <v>234</v>
      </c>
      <c r="H10" s="52" t="s">
        <v>38</v>
      </c>
      <c r="I10" s="63" t="s">
        <v>37</v>
      </c>
      <c r="J10" s="91" t="s">
        <v>37</v>
      </c>
      <c r="K10" s="82"/>
    </row>
    <row r="11" spans="1:17" s="52" customFormat="1" ht="13.5">
      <c r="A11" s="58" t="s">
        <v>275</v>
      </c>
      <c r="B11" s="262">
        <f>G11</f>
        <v>550</v>
      </c>
      <c r="D11" s="52" t="s">
        <v>277</v>
      </c>
      <c r="E11" s="52">
        <f>G11/B4</f>
        <v>2.851182774294151E-2</v>
      </c>
      <c r="F11" s="261"/>
      <c r="G11" s="53">
        <f>Tithe!D9</f>
        <v>550</v>
      </c>
      <c r="H11" s="52">
        <v>1200</v>
      </c>
      <c r="I11" s="64">
        <f>H11-G11</f>
        <v>650</v>
      </c>
      <c r="J11" s="92">
        <f>Jan!I11+Feb!I11+Mar!I11+Apr!I11</f>
        <v>1700</v>
      </c>
      <c r="K11" s="83"/>
    </row>
    <row r="12" spans="1:17" s="52" customFormat="1" ht="13.5">
      <c r="I12" s="64"/>
      <c r="J12" s="92"/>
      <c r="K12" s="84"/>
      <c r="L12" s="269" t="s">
        <v>493</v>
      </c>
    </row>
    <row r="13" spans="1:17" s="52" customFormat="1" ht="13.5">
      <c r="A13" s="58" t="s">
        <v>465</v>
      </c>
      <c r="B13" s="262">
        <f>SUM(G14:G20)</f>
        <v>0</v>
      </c>
      <c r="F13" s="261"/>
      <c r="G13" s="55"/>
      <c r="I13" s="64"/>
      <c r="J13" s="92"/>
      <c r="K13" s="84"/>
    </row>
    <row r="14" spans="1:17" s="52" customFormat="1" ht="13.5">
      <c r="B14" s="58" t="s">
        <v>385</v>
      </c>
      <c r="E14" s="52" t="s">
        <v>466</v>
      </c>
      <c r="F14" s="261"/>
      <c r="G14" s="53"/>
      <c r="H14" s="52">
        <v>800</v>
      </c>
      <c r="I14" s="64">
        <f t="shared" ref="I14:I20" si="0">H14-G14</f>
        <v>800</v>
      </c>
      <c r="J14" s="92">
        <f>Jan!I14+Feb!I14+Mar!I14+Apr!I14</f>
        <v>3200</v>
      </c>
      <c r="K14" s="84"/>
    </row>
    <row r="15" spans="1:17" s="52" customFormat="1" ht="13.5">
      <c r="B15" s="58" t="s">
        <v>261</v>
      </c>
      <c r="E15" s="52" t="s">
        <v>466</v>
      </c>
      <c r="F15" s="261"/>
      <c r="G15" s="53"/>
      <c r="H15" s="52">
        <v>200</v>
      </c>
      <c r="I15" s="64">
        <f t="shared" si="0"/>
        <v>200</v>
      </c>
      <c r="J15" s="92">
        <f>Jan!I15+Feb!I15+Mar!I15+Apr!I15</f>
        <v>800</v>
      </c>
      <c r="K15" s="84"/>
    </row>
    <row r="16" spans="1:17" s="52" customFormat="1" ht="13.5">
      <c r="B16" s="58" t="s">
        <v>292</v>
      </c>
      <c r="E16" s="52" t="s">
        <v>466</v>
      </c>
      <c r="F16" s="261"/>
      <c r="G16" s="53"/>
      <c r="H16" s="52">
        <v>300</v>
      </c>
      <c r="I16" s="64">
        <f t="shared" si="0"/>
        <v>300</v>
      </c>
      <c r="J16" s="92">
        <f>Jan!I16+Feb!I16+Mar!I16+Apr!I16</f>
        <v>1200</v>
      </c>
      <c r="K16" s="84"/>
    </row>
    <row r="17" spans="1:12" s="52" customFormat="1" ht="13.5">
      <c r="B17" s="58" t="s">
        <v>464</v>
      </c>
      <c r="E17" s="52" t="s">
        <v>466</v>
      </c>
      <c r="F17" s="261"/>
      <c r="G17" s="53"/>
      <c r="H17" s="52">
        <v>200</v>
      </c>
      <c r="I17" s="64">
        <f t="shared" si="0"/>
        <v>200</v>
      </c>
      <c r="J17" s="92">
        <f>Jan!I17+Feb!I17+Mar!I17+Apr!I17</f>
        <v>800</v>
      </c>
      <c r="K17" s="84"/>
    </row>
    <row r="18" spans="1:12" s="52" customFormat="1" ht="15.95" customHeight="1">
      <c r="B18" s="58" t="s">
        <v>263</v>
      </c>
      <c r="E18" s="52" t="s">
        <v>466</v>
      </c>
      <c r="F18" s="261"/>
      <c r="G18" s="53"/>
      <c r="H18" s="52">
        <v>50</v>
      </c>
      <c r="I18" s="64">
        <f t="shared" si="0"/>
        <v>50</v>
      </c>
      <c r="J18" s="92">
        <f>Jan!I18+Feb!I18+Mar!I18+Apr!I18</f>
        <v>200</v>
      </c>
      <c r="K18" s="84"/>
    </row>
    <row r="19" spans="1:12" s="52" customFormat="1" ht="15.95" customHeight="1">
      <c r="B19" s="58" t="s">
        <v>262</v>
      </c>
      <c r="E19" s="52" t="s">
        <v>467</v>
      </c>
      <c r="F19" s="261"/>
      <c r="G19" s="53"/>
      <c r="H19" s="52">
        <v>200</v>
      </c>
      <c r="I19" s="64">
        <f t="shared" si="0"/>
        <v>200</v>
      </c>
      <c r="J19" s="92">
        <f>Jan!I19+Feb!I19+Mar!I19+Apr!I19</f>
        <v>800</v>
      </c>
      <c r="K19" s="84"/>
    </row>
    <row r="20" spans="1:12" s="52" customFormat="1" ht="15.95" customHeight="1">
      <c r="B20" s="58" t="s">
        <v>293</v>
      </c>
      <c r="E20" s="52" t="s">
        <v>467</v>
      </c>
      <c r="G20" s="53"/>
      <c r="H20" s="52">
        <v>300</v>
      </c>
      <c r="I20" s="64">
        <f t="shared" si="0"/>
        <v>300</v>
      </c>
      <c r="J20" s="92">
        <f>Jan!I20+Feb!I20+Mar!I20+Apr!I20</f>
        <v>1200</v>
      </c>
      <c r="K20" s="84"/>
    </row>
    <row r="21" spans="1:12" s="52" customFormat="1" ht="15.95" customHeight="1">
      <c r="A21" s="58"/>
      <c r="F21" s="261"/>
      <c r="G21" s="53"/>
      <c r="I21" s="64"/>
      <c r="J21" s="92"/>
      <c r="K21" s="84"/>
      <c r="L21" s="58" t="s">
        <v>494</v>
      </c>
    </row>
    <row r="22" spans="1:12" s="52" customFormat="1" ht="15.95" customHeight="1">
      <c r="A22" s="58" t="s">
        <v>278</v>
      </c>
      <c r="B22" s="263">
        <f>G22</f>
        <v>0</v>
      </c>
      <c r="F22" s="261"/>
      <c r="G22" s="53"/>
      <c r="H22" s="52">
        <v>700</v>
      </c>
      <c r="I22" s="64">
        <f>H22-G22</f>
        <v>700</v>
      </c>
      <c r="J22" s="92">
        <f>Jan!I22+Feb!I22+Mar!I22+Apr!I22</f>
        <v>2800</v>
      </c>
      <c r="K22" s="84"/>
    </row>
    <row r="23" spans="1:12" s="52" customFormat="1" ht="15.95" customHeight="1">
      <c r="A23" s="58" t="s">
        <v>416</v>
      </c>
      <c r="B23" s="62" t="s">
        <v>415</v>
      </c>
      <c r="E23" s="52" t="s">
        <v>467</v>
      </c>
      <c r="F23" s="261"/>
      <c r="G23" s="53"/>
      <c r="I23" s="64"/>
      <c r="J23" s="92"/>
      <c r="K23" s="84"/>
    </row>
    <row r="24" spans="1:12" s="52" customFormat="1" ht="15.95" customHeight="1">
      <c r="A24" s="58" t="s">
        <v>279</v>
      </c>
      <c r="B24" s="262">
        <f>SUM(G25:G26)</f>
        <v>0</v>
      </c>
      <c r="F24" s="261"/>
      <c r="G24" s="53"/>
      <c r="I24" s="64"/>
      <c r="J24" s="92"/>
      <c r="K24" s="84"/>
    </row>
    <row r="25" spans="1:12" s="52" customFormat="1" ht="15.95" customHeight="1">
      <c r="B25" s="58" t="s">
        <v>255</v>
      </c>
      <c r="E25" s="52" t="s">
        <v>467</v>
      </c>
      <c r="F25" s="261"/>
      <c r="G25" s="53">
        <v>0</v>
      </c>
      <c r="H25" s="52">
        <v>500</v>
      </c>
      <c r="I25" s="64">
        <f>H25-G25</f>
        <v>500</v>
      </c>
      <c r="J25" s="92">
        <f>Jan!I25+Feb!I25+Mar!I25+Apr!I25</f>
        <v>2000</v>
      </c>
      <c r="K25" s="84"/>
    </row>
    <row r="26" spans="1:12" s="52" customFormat="1" ht="12.75" customHeight="1">
      <c r="B26" s="58" t="s">
        <v>265</v>
      </c>
      <c r="E26" s="52" t="s">
        <v>466</v>
      </c>
      <c r="F26" s="261"/>
      <c r="G26" s="53">
        <v>0</v>
      </c>
      <c r="H26" s="52">
        <v>300</v>
      </c>
      <c r="I26" s="64">
        <f>H26-G26</f>
        <v>300</v>
      </c>
      <c r="J26" s="95">
        <f>Jan!I26+Feb!I26+Mar!I26+Apr!I26</f>
        <v>1200</v>
      </c>
      <c r="K26" s="84"/>
    </row>
    <row r="27" spans="1:12" s="52" customFormat="1" ht="12.75" customHeight="1">
      <c r="A27" s="58"/>
      <c r="F27" s="261"/>
      <c r="G27" s="66"/>
      <c r="H27" s="66"/>
      <c r="I27" s="68"/>
      <c r="J27" s="79"/>
      <c r="K27" s="79"/>
    </row>
    <row r="28" spans="1:12" s="52" customFormat="1" ht="12.75" customHeight="1" thickBot="1">
      <c r="A28" s="58"/>
      <c r="B28" s="58"/>
      <c r="F28" s="261"/>
      <c r="G28" s="67">
        <f>SUM(G14:G26)</f>
        <v>0</v>
      </c>
      <c r="H28" s="67">
        <f>SUM(H11:H26)</f>
        <v>4750</v>
      </c>
      <c r="I28" s="67">
        <f>SUM(I11:I26)</f>
        <v>4200</v>
      </c>
      <c r="J28" s="67">
        <f>SUM(J12:J26)</f>
        <v>14200</v>
      </c>
      <c r="K28" s="85"/>
    </row>
    <row r="29" spans="1:12" s="52" customFormat="1" ht="12.75" customHeight="1" thickTop="1" thickBot="1">
      <c r="H29" s="56"/>
      <c r="I29" s="56"/>
      <c r="J29" s="56"/>
      <c r="K29" s="85"/>
      <c r="L29" s="58" t="s">
        <v>495</v>
      </c>
    </row>
    <row r="30" spans="1:12" s="52" customFormat="1" ht="12.75" customHeight="1" thickBot="1">
      <c r="A30" s="58" t="s">
        <v>283</v>
      </c>
      <c r="B30" s="58"/>
      <c r="F30" s="261"/>
      <c r="G30" s="88"/>
      <c r="H30" s="56"/>
      <c r="I30" s="56"/>
      <c r="J30" s="56"/>
      <c r="K30" s="85"/>
      <c r="L30" s="52" t="s">
        <v>973</v>
      </c>
    </row>
    <row r="31" spans="1:12" s="52" customFormat="1" ht="12.75" customHeight="1">
      <c r="A31" s="99" t="s">
        <v>276</v>
      </c>
      <c r="B31" s="58"/>
      <c r="F31" s="261"/>
      <c r="G31" s="266">
        <f>B4-G11-G28+G30</f>
        <v>18740.239999999998</v>
      </c>
      <c r="H31" s="56"/>
      <c r="I31" s="56"/>
      <c r="J31" s="56"/>
      <c r="K31" s="85"/>
      <c r="L31" s="56" t="s">
        <v>974</v>
      </c>
    </row>
    <row r="32" spans="1:12" s="52" customFormat="1" ht="12.75" customHeight="1">
      <c r="A32" s="52" t="s">
        <v>478</v>
      </c>
      <c r="B32" s="99"/>
      <c r="C32" s="54"/>
      <c r="D32" s="54"/>
      <c r="E32" s="54"/>
      <c r="F32" s="265"/>
      <c r="G32" s="267">
        <f>G46</f>
        <v>37872.660000000003</v>
      </c>
      <c r="H32" s="56"/>
      <c r="I32" s="56"/>
      <c r="J32" s="56"/>
      <c r="K32" s="85"/>
      <c r="L32" s="56" t="s">
        <v>989</v>
      </c>
    </row>
    <row r="33" spans="1:18" s="52" customFormat="1" ht="12.75" customHeight="1">
      <c r="A33" s="58" t="s">
        <v>558</v>
      </c>
      <c r="B33" s="58"/>
      <c r="F33" s="261"/>
      <c r="G33" s="78">
        <f>G31-G32-M42-N42</f>
        <v>-19132.420000000006</v>
      </c>
      <c r="H33" s="56"/>
      <c r="I33" s="56"/>
      <c r="J33" s="56"/>
      <c r="K33" s="85"/>
      <c r="L33" s="56"/>
    </row>
    <row r="34" spans="1:18" s="52" customFormat="1" ht="12.75" customHeight="1">
      <c r="H34" s="56"/>
      <c r="I34" s="56"/>
      <c r="J34" s="56"/>
      <c r="K34" s="85"/>
      <c r="L34" s="56"/>
    </row>
    <row r="35" spans="1:18" s="52" customFormat="1" ht="12.75" customHeight="1">
      <c r="A35" s="58" t="s">
        <v>469</v>
      </c>
      <c r="B35" s="58"/>
      <c r="E35" s="52">
        <f>B47</f>
        <v>1000.65</v>
      </c>
      <c r="F35" s="261"/>
      <c r="G35" s="128"/>
      <c r="H35" s="56"/>
      <c r="I35" s="56"/>
      <c r="J35" s="56"/>
      <c r="K35" s="85"/>
      <c r="L35" s="56"/>
    </row>
    <row r="36" spans="1:18" s="52" customFormat="1" ht="12.75" customHeight="1">
      <c r="A36" s="58" t="s">
        <v>433</v>
      </c>
      <c r="B36" s="58"/>
      <c r="E36" s="52">
        <f>B76</f>
        <v>36872.010000000009</v>
      </c>
      <c r="F36" s="261"/>
      <c r="G36" s="78"/>
      <c r="H36" s="56"/>
      <c r="I36" s="56"/>
      <c r="J36" s="56"/>
      <c r="K36" s="85"/>
      <c r="L36" s="56"/>
    </row>
    <row r="37" spans="1:18" s="52" customFormat="1" ht="13.5">
      <c r="A37" s="58"/>
      <c r="B37" s="58" t="s">
        <v>470</v>
      </c>
      <c r="D37" s="52">
        <f>B101+B110</f>
        <v>4685.41</v>
      </c>
      <c r="F37" s="261"/>
      <c r="G37" s="78"/>
      <c r="H37" s="56"/>
      <c r="I37" s="56"/>
      <c r="J37" s="56"/>
      <c r="K37" s="85"/>
      <c r="L37" s="56"/>
    </row>
    <row r="38" spans="1:18" s="52" customFormat="1" ht="14.25" thickBot="1">
      <c r="A38" s="58"/>
      <c r="B38" s="58" t="s">
        <v>471</v>
      </c>
      <c r="D38" s="52">
        <f>B90</f>
        <v>574.77</v>
      </c>
      <c r="F38" s="261"/>
      <c r="G38" s="78"/>
      <c r="H38" s="56"/>
      <c r="I38" s="56"/>
      <c r="J38" s="56"/>
      <c r="K38" s="85"/>
      <c r="L38" s="56"/>
    </row>
    <row r="39" spans="1:18" s="52" customFormat="1" ht="14.25" thickBot="1">
      <c r="A39" s="58"/>
      <c r="B39" s="58" t="s">
        <v>472</v>
      </c>
      <c r="D39" s="52">
        <f>B96</f>
        <v>0</v>
      </c>
      <c r="F39" s="261"/>
      <c r="G39" s="89"/>
      <c r="H39" s="56"/>
      <c r="I39" s="56"/>
      <c r="J39" s="56"/>
      <c r="K39" s="85"/>
      <c r="L39" s="56">
        <f>SUM(L46:O46)</f>
        <v>37872.660000000003</v>
      </c>
    </row>
    <row r="40" spans="1:18" s="52" customFormat="1" ht="13.5">
      <c r="A40" s="58"/>
      <c r="B40" s="58" t="s">
        <v>473</v>
      </c>
      <c r="D40" s="52">
        <f>B115</f>
        <v>1625.11</v>
      </c>
      <c r="F40" s="261"/>
      <c r="G40" s="98"/>
      <c r="H40" s="56"/>
      <c r="I40" s="56"/>
      <c r="J40" s="56"/>
      <c r="K40" s="85"/>
      <c r="L40" s="56"/>
    </row>
    <row r="41" spans="1:18" s="52" customFormat="1" ht="13.5">
      <c r="A41" s="99"/>
      <c r="B41" s="58" t="s">
        <v>474</v>
      </c>
      <c r="D41" s="52">
        <f>B120</f>
        <v>170</v>
      </c>
      <c r="F41" s="261"/>
      <c r="G41" s="98"/>
      <c r="H41" s="56"/>
      <c r="I41" s="56"/>
      <c r="J41" s="56"/>
      <c r="K41" s="85"/>
      <c r="L41" s="56"/>
      <c r="M41" s="52">
        <f>M46+M44+M43+M42</f>
        <v>3846.1099999999988</v>
      </c>
      <c r="N41" s="52">
        <f>N46+N44+N43+N42</f>
        <v>3760.9899999999993</v>
      </c>
      <c r="O41" s="52">
        <f>O46+O44+O43+O42</f>
        <v>8916.4</v>
      </c>
    </row>
    <row r="42" spans="1:18" s="52" customFormat="1" ht="13.5">
      <c r="B42" s="58" t="s">
        <v>475</v>
      </c>
      <c r="C42" s="59"/>
      <c r="D42" s="59">
        <f>B138</f>
        <v>110.66</v>
      </c>
      <c r="F42" s="261"/>
      <c r="G42" s="98"/>
      <c r="H42" s="56"/>
      <c r="I42" s="56"/>
      <c r="J42" s="56"/>
      <c r="K42" s="85"/>
      <c r="L42" s="52" t="s">
        <v>324</v>
      </c>
      <c r="Q42" s="52" t="s">
        <v>805</v>
      </c>
      <c r="R42" s="52">
        <v>2900.43</v>
      </c>
    </row>
    <row r="43" spans="1:18" s="52" customFormat="1" ht="13.5">
      <c r="B43" s="58" t="s">
        <v>476</v>
      </c>
      <c r="D43" s="52">
        <f>B125+B141+B146+B149</f>
        <v>1563.9399999999998</v>
      </c>
      <c r="F43" s="261"/>
      <c r="I43" s="61"/>
      <c r="J43" s="90" t="s">
        <v>280</v>
      </c>
      <c r="K43" s="82"/>
      <c r="Q43" s="52" t="s">
        <v>948</v>
      </c>
      <c r="R43" s="52">
        <v>860.56</v>
      </c>
    </row>
    <row r="44" spans="1:18" s="52" customFormat="1" ht="13.5">
      <c r="A44" s="58" t="s">
        <v>477</v>
      </c>
      <c r="E44" s="52">
        <f>B155</f>
        <v>0</v>
      </c>
      <c r="F44" s="261"/>
      <c r="G44" s="55"/>
      <c r="I44" s="61" t="s">
        <v>34</v>
      </c>
      <c r="J44" s="90" t="s">
        <v>281</v>
      </c>
      <c r="K44" s="82"/>
      <c r="R44" s="52">
        <f>SUM(R42:R43)</f>
        <v>3760.99</v>
      </c>
    </row>
    <row r="45" spans="1:18" s="52" customFormat="1" ht="13.5">
      <c r="A45" s="58"/>
      <c r="F45" s="261"/>
      <c r="G45" s="55" t="s">
        <v>234</v>
      </c>
      <c r="H45" s="52" t="s">
        <v>38</v>
      </c>
      <c r="I45" s="63" t="s">
        <v>37</v>
      </c>
      <c r="J45" s="91" t="s">
        <v>282</v>
      </c>
      <c r="K45" s="83"/>
      <c r="L45" s="391" t="s">
        <v>235</v>
      </c>
      <c r="M45" s="392" t="s">
        <v>497</v>
      </c>
      <c r="N45" s="392" t="s">
        <v>982</v>
      </c>
      <c r="O45" s="392" t="s">
        <v>806</v>
      </c>
    </row>
    <row r="46" spans="1:18" s="52" customFormat="1" ht="14.25" thickBot="1">
      <c r="D46"/>
      <c r="E46" s="264"/>
      <c r="F46" s="261"/>
      <c r="G46" s="94">
        <f>SUM(G48:G170)</f>
        <v>37872.660000000003</v>
      </c>
      <c r="H46" s="94">
        <f>SUM(H48:H170)</f>
        <v>14050</v>
      </c>
      <c r="I46" s="94">
        <f>H46-G46</f>
        <v>-23822.660000000003</v>
      </c>
      <c r="J46" s="94">
        <f>SUM(J48:J170)</f>
        <v>-79329.190000000031</v>
      </c>
      <c r="K46" s="86"/>
      <c r="L46" s="393">
        <f>SUM(L49:L170)</f>
        <v>21349.160000000003</v>
      </c>
      <c r="M46" s="394">
        <f>SUM(M49:M170)</f>
        <v>3846.1099999999988</v>
      </c>
      <c r="N46" s="395">
        <f>SUM(N49:N170)</f>
        <v>3760.9899999999993</v>
      </c>
      <c r="O46" s="395">
        <f>SUM(O49:O170)</f>
        <v>8916.4</v>
      </c>
      <c r="R46" s="52">
        <f>R44-N41</f>
        <v>0</v>
      </c>
    </row>
    <row r="47" spans="1:18" s="52" customFormat="1" ht="14.25" thickBot="1">
      <c r="A47" s="99" t="s">
        <v>434</v>
      </c>
      <c r="B47" s="259">
        <f>B48+B61+B65</f>
        <v>1000.65</v>
      </c>
      <c r="C47" s="259">
        <f>C48+C61+C65</f>
        <v>1344</v>
      </c>
      <c r="D47" s="88">
        <f>D48+D61+D65</f>
        <v>343.34999999999991</v>
      </c>
      <c r="I47" s="61"/>
      <c r="J47" s="90"/>
      <c r="K47" s="82"/>
      <c r="L47" s="396"/>
      <c r="M47" s="397"/>
      <c r="N47" s="397"/>
      <c r="O47" s="398"/>
    </row>
    <row r="48" spans="1:18" s="52" customFormat="1" ht="13.5">
      <c r="A48" s="58" t="s">
        <v>419</v>
      </c>
      <c r="B48" s="58">
        <f>SUM(G49:G57)</f>
        <v>504</v>
      </c>
      <c r="C48" s="58">
        <f>SUM(H49:H57)</f>
        <v>864</v>
      </c>
      <c r="D48" s="58">
        <f>SUM(I49:I57)</f>
        <v>359.99999999999989</v>
      </c>
      <c r="I48" s="61"/>
      <c r="J48" s="90"/>
      <c r="K48" s="82"/>
      <c r="L48" s="396"/>
      <c r="M48" s="397"/>
      <c r="N48" s="397"/>
      <c r="O48" s="398"/>
    </row>
    <row r="49" spans="1:15" s="52" customFormat="1" ht="13.5">
      <c r="B49" s="52" t="s">
        <v>327</v>
      </c>
      <c r="G49" s="52">
        <f>SUM(L49:O49)</f>
        <v>0</v>
      </c>
      <c r="H49" s="52">
        <v>0</v>
      </c>
      <c r="I49" s="61">
        <f t="shared" ref="I49:I57" si="1">H49-G49</f>
        <v>0</v>
      </c>
      <c r="J49" s="90">
        <f>Jan!I49+Feb!I49+Mar!I49+Apr!I49</f>
        <v>0</v>
      </c>
      <c r="K49" s="82"/>
      <c r="L49" s="396"/>
      <c r="M49" s="397"/>
      <c r="N49" s="397"/>
      <c r="O49" s="398"/>
    </row>
    <row r="50" spans="1:15" s="52" customFormat="1" ht="13.5">
      <c r="A50" s="58"/>
      <c r="B50" s="52" t="s">
        <v>421</v>
      </c>
      <c r="G50" s="52">
        <f t="shared" ref="G50:G113" si="2">SUM(L50:O50)</f>
        <v>0</v>
      </c>
      <c r="H50" s="52">
        <v>100</v>
      </c>
      <c r="I50" s="61">
        <f t="shared" si="1"/>
        <v>100</v>
      </c>
      <c r="J50" s="90">
        <f>Jan!I50+Feb!I50+Mar!I50+Apr!I50</f>
        <v>400</v>
      </c>
      <c r="K50" s="82"/>
      <c r="L50" s="396"/>
      <c r="M50" s="397"/>
      <c r="N50" s="397"/>
      <c r="O50" s="398"/>
    </row>
    <row r="51" spans="1:15" s="52" customFormat="1" ht="13.5">
      <c r="A51" s="58"/>
      <c r="B51" s="52" t="s">
        <v>422</v>
      </c>
      <c r="G51" s="52">
        <f t="shared" si="2"/>
        <v>0</v>
      </c>
      <c r="H51" s="52">
        <v>100</v>
      </c>
      <c r="I51" s="61">
        <f t="shared" si="1"/>
        <v>100</v>
      </c>
      <c r="J51" s="90">
        <f>Jan!I51+Feb!I51+Mar!I51+Apr!I51</f>
        <v>400</v>
      </c>
      <c r="K51" s="82"/>
      <c r="L51" s="396"/>
      <c r="M51" s="397"/>
      <c r="N51" s="397"/>
      <c r="O51" s="398"/>
    </row>
    <row r="52" spans="1:15" s="52" customFormat="1" ht="13.5">
      <c r="A52" s="58"/>
      <c r="B52" s="52" t="s">
        <v>420</v>
      </c>
      <c r="G52" s="52">
        <f t="shared" si="2"/>
        <v>0</v>
      </c>
      <c r="H52" s="52">
        <v>100</v>
      </c>
      <c r="I52" s="61">
        <f t="shared" si="1"/>
        <v>100</v>
      </c>
      <c r="J52" s="90">
        <f>Jan!I52+Feb!I52+Mar!I52+Apr!I52</f>
        <v>400</v>
      </c>
      <c r="K52" s="82"/>
      <c r="L52" s="396"/>
      <c r="M52" s="397"/>
      <c r="N52" s="397"/>
      <c r="O52" s="398"/>
    </row>
    <row r="53" spans="1:15" s="52" customFormat="1" ht="13.5">
      <c r="A53" s="58"/>
      <c r="B53" s="52" t="s">
        <v>463</v>
      </c>
      <c r="G53" s="52">
        <f t="shared" si="2"/>
        <v>564</v>
      </c>
      <c r="H53" s="52">
        <v>564</v>
      </c>
      <c r="I53" s="61">
        <f t="shared" si="1"/>
        <v>0</v>
      </c>
      <c r="J53" s="90">
        <f>Jan!I53+Feb!I53+Mar!I53+Apr!I53</f>
        <v>0</v>
      </c>
      <c r="K53" s="82"/>
      <c r="L53" s="396">
        <v>564</v>
      </c>
      <c r="M53" s="397"/>
      <c r="N53" s="397"/>
      <c r="O53" s="398"/>
    </row>
    <row r="54" spans="1:15" s="52" customFormat="1" ht="13.5">
      <c r="A54" s="58"/>
      <c r="B54" s="52" t="s">
        <v>429</v>
      </c>
      <c r="G54" s="52">
        <f t="shared" si="2"/>
        <v>0</v>
      </c>
      <c r="H54" s="52">
        <v>60</v>
      </c>
      <c r="I54" s="61">
        <f t="shared" si="1"/>
        <v>60</v>
      </c>
      <c r="J54" s="90">
        <f>Jan!I54+Feb!I54+Mar!I54+Apr!I54</f>
        <v>-388</v>
      </c>
      <c r="K54" s="82"/>
      <c r="L54" s="396"/>
      <c r="M54" s="397"/>
      <c r="N54" s="397"/>
      <c r="O54" s="398"/>
    </row>
    <row r="55" spans="1:15" s="52" customFormat="1" ht="13.5">
      <c r="A55" s="58"/>
      <c r="B55" s="52" t="s">
        <v>328</v>
      </c>
      <c r="G55" s="52">
        <f t="shared" si="2"/>
        <v>1694.15</v>
      </c>
      <c r="H55" s="52">
        <f>1636.68+50.81</f>
        <v>1687.49</v>
      </c>
      <c r="I55" s="61">
        <f t="shared" si="1"/>
        <v>-6.6600000000000819</v>
      </c>
      <c r="J55" s="90">
        <f>Jan!I55+Feb!I55+Mar!I55+Apr!I55</f>
        <v>-26.640000000000327</v>
      </c>
      <c r="K55" s="82"/>
      <c r="L55" s="398">
        <v>1694.15</v>
      </c>
      <c r="M55" s="397"/>
      <c r="N55" s="397"/>
      <c r="O55" s="398"/>
    </row>
    <row r="56" spans="1:15" s="52" customFormat="1" ht="13.5">
      <c r="A56" s="58"/>
      <c r="B56" s="52" t="s">
        <v>384</v>
      </c>
      <c r="G56" s="52">
        <f t="shared" si="2"/>
        <v>305.85000000000002</v>
      </c>
      <c r="H56" s="52">
        <v>312.51</v>
      </c>
      <c r="I56" s="61">
        <f t="shared" si="1"/>
        <v>6.6599999999999682</v>
      </c>
      <c r="J56" s="90">
        <f>Jan!I56+Feb!I56+Mar!I56+Apr!I56</f>
        <v>26.639999999999873</v>
      </c>
      <c r="K56" s="82"/>
      <c r="L56" s="398">
        <v>305.85000000000002</v>
      </c>
      <c r="M56" s="397"/>
      <c r="N56" s="397"/>
      <c r="O56" s="398"/>
    </row>
    <row r="57" spans="1:15" s="52" customFormat="1" ht="13.5">
      <c r="A57" s="58"/>
      <c r="B57" s="52" t="s">
        <v>350</v>
      </c>
      <c r="G57" s="52">
        <f t="shared" si="2"/>
        <v>-2060</v>
      </c>
      <c r="H57" s="52">
        <v>-2060</v>
      </c>
      <c r="I57" s="61">
        <f t="shared" si="1"/>
        <v>0</v>
      </c>
      <c r="J57" s="90">
        <f>Jan!I57+Feb!I57+Mar!I57+Apr!I57</f>
        <v>0</v>
      </c>
      <c r="K57" s="82"/>
      <c r="L57" s="398">
        <v>-2060</v>
      </c>
      <c r="M57" s="397"/>
      <c r="N57" s="397"/>
      <c r="O57" s="398"/>
    </row>
    <row r="58" spans="1:15" s="52" customFormat="1" ht="13.5">
      <c r="A58" s="58"/>
      <c r="I58" s="61"/>
      <c r="J58" s="90"/>
      <c r="K58" s="82"/>
      <c r="L58" s="398"/>
      <c r="M58" s="397"/>
      <c r="N58" s="397"/>
      <c r="O58" s="398"/>
    </row>
    <row r="59" spans="1:15" s="52" customFormat="1" ht="13.5">
      <c r="A59" s="58"/>
      <c r="I59" s="61"/>
      <c r="J59" s="90"/>
      <c r="K59" s="82"/>
      <c r="L59" s="398"/>
      <c r="M59" s="397"/>
      <c r="N59" s="397"/>
      <c r="O59" s="398"/>
    </row>
    <row r="60" spans="1:15" s="52" customFormat="1" ht="13.5">
      <c r="A60" s="58" t="s">
        <v>427</v>
      </c>
      <c r="I60" s="61"/>
      <c r="J60" s="90"/>
      <c r="K60" s="82"/>
      <c r="L60" s="398"/>
      <c r="M60" s="397"/>
      <c r="N60" s="397"/>
      <c r="O60" s="398"/>
    </row>
    <row r="61" spans="1:15" s="52" customFormat="1" ht="13.5">
      <c r="A61" s="58"/>
      <c r="B61" s="58">
        <f>SUM(G62:G63)</f>
        <v>170.15</v>
      </c>
      <c r="C61" s="58">
        <f>SUM(H62:H63)</f>
        <v>170</v>
      </c>
      <c r="D61" s="58">
        <f>C61-B61</f>
        <v>-0.15000000000000568</v>
      </c>
      <c r="I61" s="61"/>
      <c r="J61" s="90"/>
      <c r="K61" s="82"/>
      <c r="L61" s="398"/>
      <c r="M61" s="397"/>
      <c r="N61" s="397"/>
      <c r="O61" s="398"/>
    </row>
    <row r="62" spans="1:15" s="52" customFormat="1" ht="13.5">
      <c r="A62" s="58"/>
      <c r="B62" s="52" t="s">
        <v>431</v>
      </c>
      <c r="G62" s="52">
        <f t="shared" si="2"/>
        <v>99.17</v>
      </c>
      <c r="H62" s="52">
        <v>70</v>
      </c>
      <c r="I62" s="61">
        <f t="shared" ref="I62:I131" si="3">H62-G62</f>
        <v>-29.17</v>
      </c>
      <c r="J62" s="90">
        <f>Jan!I62+Feb!I62+Mar!I62+Apr!I62</f>
        <v>-30.280000000000015</v>
      </c>
      <c r="K62" s="82"/>
      <c r="L62" s="398"/>
      <c r="M62" s="397">
        <v>99.17</v>
      </c>
      <c r="N62" s="397"/>
      <c r="O62" s="398"/>
    </row>
    <row r="63" spans="1:15" s="52" customFormat="1" ht="13.5">
      <c r="A63" s="58"/>
      <c r="B63" s="52" t="s">
        <v>432</v>
      </c>
      <c r="D63" s="65"/>
      <c r="G63" s="52">
        <f t="shared" si="2"/>
        <v>70.98</v>
      </c>
      <c r="H63" s="52">
        <v>100</v>
      </c>
      <c r="I63" s="61">
        <f t="shared" si="3"/>
        <v>29.019999999999996</v>
      </c>
      <c r="J63" s="90">
        <f>Jan!I63+Feb!I63+Mar!I63+Apr!I63</f>
        <v>36.72999999999999</v>
      </c>
      <c r="K63" s="82"/>
      <c r="L63" s="398"/>
      <c r="M63" s="397">
        <v>70.98</v>
      </c>
      <c r="N63" s="397"/>
      <c r="O63" s="398"/>
    </row>
    <row r="64" spans="1:15" s="52" customFormat="1" ht="13.5">
      <c r="A64" s="58"/>
      <c r="I64" s="61"/>
      <c r="J64" s="90"/>
      <c r="K64" s="82"/>
      <c r="L64" s="398"/>
      <c r="M64" s="397"/>
      <c r="N64" s="397"/>
      <c r="O64" s="398"/>
    </row>
    <row r="65" spans="1:15" s="52" customFormat="1" ht="13.5">
      <c r="A65" s="58" t="s">
        <v>428</v>
      </c>
      <c r="B65" s="58">
        <f>SUM(G66:G74)</f>
        <v>326.5</v>
      </c>
      <c r="C65" s="58">
        <f>SUM(H66:H74)</f>
        <v>310</v>
      </c>
      <c r="D65" s="58">
        <f>C65-B65</f>
        <v>-16.5</v>
      </c>
      <c r="I65" s="61"/>
      <c r="J65" s="90"/>
      <c r="K65" s="82"/>
      <c r="L65" s="398"/>
      <c r="M65" s="397"/>
      <c r="N65" s="397"/>
      <c r="O65" s="398"/>
    </row>
    <row r="66" spans="1:15" s="52" customFormat="1" ht="13.5">
      <c r="B66" s="52" t="s">
        <v>55</v>
      </c>
      <c r="G66" s="52">
        <f t="shared" si="2"/>
        <v>31.509999999999998</v>
      </c>
      <c r="H66" s="52">
        <v>60</v>
      </c>
      <c r="I66" s="61">
        <f t="shared" si="3"/>
        <v>28.490000000000002</v>
      </c>
      <c r="J66" s="90">
        <f>Jan!I66+Feb!I66+Mar!I66+Apr!I66</f>
        <v>112.08000000000001</v>
      </c>
      <c r="K66" s="82"/>
      <c r="L66" s="398"/>
      <c r="M66" s="397">
        <f>23.02</f>
        <v>23.02</v>
      </c>
      <c r="N66" s="397">
        <v>8.49</v>
      </c>
      <c r="O66" s="398"/>
    </row>
    <row r="67" spans="1:15" s="52" customFormat="1" ht="13.5">
      <c r="B67" s="52" t="s">
        <v>56</v>
      </c>
      <c r="D67" s="52" t="s">
        <v>57</v>
      </c>
      <c r="G67" s="52">
        <f t="shared" si="2"/>
        <v>134.55000000000001</v>
      </c>
      <c r="H67" s="52">
        <v>140</v>
      </c>
      <c r="I67" s="61">
        <f t="shared" si="3"/>
        <v>5.4499999999999886</v>
      </c>
      <c r="J67" s="90">
        <f>Jan!I67+Feb!I67+Mar!I67+Apr!I67</f>
        <v>200.2</v>
      </c>
      <c r="K67" s="82"/>
      <c r="L67" s="398"/>
      <c r="M67" s="397">
        <f>42.45+42.85+20</f>
        <v>105.30000000000001</v>
      </c>
      <c r="N67" s="397">
        <f>27.25+2</f>
        <v>29.25</v>
      </c>
      <c r="O67" s="398"/>
    </row>
    <row r="68" spans="1:15" s="52" customFormat="1" ht="13.5">
      <c r="I68" s="61"/>
      <c r="J68" s="90"/>
      <c r="K68" s="82"/>
      <c r="L68" s="398"/>
      <c r="M68" s="397"/>
      <c r="N68" s="397"/>
      <c r="O68" s="398"/>
    </row>
    <row r="69" spans="1:15" s="52" customFormat="1" ht="13.5">
      <c r="A69" s="58" t="s">
        <v>423</v>
      </c>
      <c r="I69" s="61"/>
      <c r="J69" s="90"/>
      <c r="K69" s="82"/>
      <c r="L69" s="398"/>
      <c r="M69" s="397"/>
      <c r="N69" s="397"/>
      <c r="O69" s="398"/>
    </row>
    <row r="70" spans="1:15" s="52" customFormat="1" ht="13.5">
      <c r="B70" s="52" t="s">
        <v>424</v>
      </c>
      <c r="G70" s="52">
        <f t="shared" si="2"/>
        <v>61.4</v>
      </c>
      <c r="H70" s="52">
        <v>25</v>
      </c>
      <c r="I70" s="61">
        <f t="shared" si="3"/>
        <v>-36.4</v>
      </c>
      <c r="J70" s="90">
        <f>Jan!I70+Feb!I70+Mar!I70+Apr!I70</f>
        <v>28.6</v>
      </c>
      <c r="K70" s="82"/>
      <c r="L70" s="398"/>
      <c r="M70" s="397">
        <f>23.32+38.08</f>
        <v>61.4</v>
      </c>
      <c r="N70" s="397"/>
      <c r="O70" s="398"/>
    </row>
    <row r="71" spans="1:15" s="52" customFormat="1" ht="13.5">
      <c r="A71" s="58"/>
      <c r="B71" s="52" t="s">
        <v>425</v>
      </c>
      <c r="G71" s="52">
        <f t="shared" si="2"/>
        <v>-1</v>
      </c>
      <c r="H71" s="52">
        <v>30</v>
      </c>
      <c r="I71" s="61">
        <f t="shared" si="3"/>
        <v>31</v>
      </c>
      <c r="J71" s="90">
        <f>Jan!I71+Feb!I71+Mar!I71+Apr!I71</f>
        <v>10.510000000000005</v>
      </c>
      <c r="K71" s="82"/>
      <c r="L71" s="398">
        <v>-750</v>
      </c>
      <c r="M71" s="397">
        <f>749</f>
        <v>749</v>
      </c>
      <c r="N71" s="397"/>
      <c r="O71" s="398"/>
    </row>
    <row r="72" spans="1:15" s="52" customFormat="1" ht="13.5">
      <c r="A72" s="58"/>
      <c r="B72" s="52" t="s">
        <v>580</v>
      </c>
      <c r="G72" s="52">
        <f t="shared" si="2"/>
        <v>0</v>
      </c>
      <c r="H72" s="52">
        <v>20</v>
      </c>
      <c r="I72" s="61">
        <f t="shared" si="3"/>
        <v>20</v>
      </c>
      <c r="J72" s="90">
        <f>Jan!I72+Feb!I72+Mar!I72+Apr!I72</f>
        <v>80</v>
      </c>
      <c r="K72" s="82"/>
      <c r="L72" s="398"/>
      <c r="M72" s="397"/>
      <c r="N72" s="397"/>
      <c r="O72" s="398"/>
    </row>
    <row r="73" spans="1:15" s="52" customFormat="1" ht="13.5">
      <c r="A73" s="58"/>
      <c r="I73" s="61"/>
      <c r="J73" s="90"/>
      <c r="K73" s="82"/>
      <c r="L73" s="398"/>
      <c r="M73" s="397"/>
      <c r="N73" s="397"/>
      <c r="O73" s="398"/>
    </row>
    <row r="74" spans="1:15" s="52" customFormat="1" ht="13.5">
      <c r="A74" s="58" t="s">
        <v>426</v>
      </c>
      <c r="B74" s="52" t="s">
        <v>58</v>
      </c>
      <c r="G74" s="52">
        <f t="shared" si="2"/>
        <v>100.03999999999999</v>
      </c>
      <c r="H74" s="52">
        <v>35</v>
      </c>
      <c r="I74" s="61">
        <f t="shared" si="3"/>
        <v>-65.039999999999992</v>
      </c>
      <c r="J74" s="90">
        <f>Jan!I74+Feb!I74+Mar!I74+Apr!I74</f>
        <v>-30.759999999999991</v>
      </c>
      <c r="K74" s="82"/>
      <c r="L74" s="398"/>
      <c r="M74" s="397">
        <f>2.29+6.93+3+13.95+4.55+5.64+4.86+5.49+14.21</f>
        <v>60.92</v>
      </c>
      <c r="N74" s="397">
        <f>2.41+5.02+7.68+8.7+8.95+4.4+1.96</f>
        <v>39.119999999999997</v>
      </c>
      <c r="O74" s="398"/>
    </row>
    <row r="75" spans="1:15" s="52" customFormat="1" ht="14.25" thickBot="1">
      <c r="A75" s="58"/>
      <c r="I75" s="61"/>
      <c r="J75" s="90"/>
      <c r="K75" s="82"/>
      <c r="L75" s="398"/>
      <c r="M75" s="397"/>
      <c r="N75" s="397"/>
      <c r="O75" s="398"/>
    </row>
    <row r="76" spans="1:15" s="52" customFormat="1" ht="14.25" thickBot="1">
      <c r="A76" s="99" t="s">
        <v>433</v>
      </c>
      <c r="B76" s="140">
        <f>B78+B90+B96+B101+B110+B115+B120+B125+B138+B141+B146+B149</f>
        <v>36872.010000000009</v>
      </c>
      <c r="C76" s="140">
        <f>C78+C90+C96+C101+C110+C115+C120+C125+C138+C141+C146+C149</f>
        <v>5711</v>
      </c>
      <c r="D76" s="140">
        <f>D78+D90+D96+D101+D110+D115+D120+D125+D138+D141+D146+D149</f>
        <v>-5491.5999999999995</v>
      </c>
      <c r="I76" s="61"/>
      <c r="J76" s="90"/>
      <c r="K76" s="82"/>
      <c r="L76" s="398"/>
      <c r="M76" s="397"/>
      <c r="N76" s="397"/>
      <c r="O76" s="398"/>
    </row>
    <row r="77" spans="1:15" s="52" customFormat="1" ht="13.5">
      <c r="A77" s="99"/>
      <c r="B77" s="380"/>
      <c r="C77" s="380"/>
      <c r="D77" s="380"/>
      <c r="I77" s="61"/>
      <c r="J77" s="90"/>
      <c r="K77" s="82"/>
      <c r="L77" s="398"/>
      <c r="M77" s="397"/>
      <c r="N77" s="397"/>
      <c r="O77" s="398"/>
    </row>
    <row r="78" spans="1:15" s="52" customFormat="1" ht="13.5">
      <c r="A78" s="58" t="s">
        <v>710</v>
      </c>
      <c r="B78" s="380">
        <f>SUM(G79:G88)</f>
        <v>28142.120000000003</v>
      </c>
      <c r="C78" s="380">
        <f>SUM(H79:H80)</f>
        <v>2500</v>
      </c>
      <c r="D78" s="380">
        <f>SUM(I79:I80)</f>
        <v>27.289999999999964</v>
      </c>
      <c r="I78" s="61"/>
      <c r="J78" s="90"/>
      <c r="K78" s="82"/>
      <c r="L78" s="398"/>
      <c r="M78" s="397"/>
      <c r="N78" s="397"/>
      <c r="O78" s="398"/>
    </row>
    <row r="79" spans="1:15" s="52" customFormat="1" ht="13.5">
      <c r="B79" s="52" t="s">
        <v>798</v>
      </c>
      <c r="G79" s="52">
        <f t="shared" si="2"/>
        <v>2472.71</v>
      </c>
      <c r="H79" s="52">
        <v>2500</v>
      </c>
      <c r="I79" s="61">
        <f t="shared" si="3"/>
        <v>27.289999999999964</v>
      </c>
      <c r="J79" s="90">
        <f>Jan!I79+Feb!I79+Mar!I79+Apr!I79</f>
        <v>109.15999999999985</v>
      </c>
      <c r="K79" s="82"/>
      <c r="L79" s="398">
        <v>2472.71</v>
      </c>
      <c r="M79" s="397"/>
      <c r="N79" s="397"/>
      <c r="O79" s="398"/>
    </row>
    <row r="80" spans="1:15" s="52" customFormat="1" ht="13.5">
      <c r="A80" s="58"/>
      <c r="B80" s="52" t="s">
        <v>801</v>
      </c>
      <c r="G80" s="52">
        <f t="shared" si="2"/>
        <v>0</v>
      </c>
      <c r="H80" s="52">
        <v>0</v>
      </c>
      <c r="I80" s="61">
        <f t="shared" si="3"/>
        <v>0</v>
      </c>
      <c r="J80" s="90">
        <f>Jan!I80+Feb!I80+Mar!I80+Apr!I80</f>
        <v>0</v>
      </c>
      <c r="K80" s="82"/>
      <c r="L80" s="398"/>
      <c r="M80" s="397"/>
      <c r="N80" s="397"/>
      <c r="O80" s="398"/>
    </row>
    <row r="81" spans="1:17" s="52" customFormat="1" ht="13.5">
      <c r="A81" s="58"/>
      <c r="B81" s="52" t="s">
        <v>421</v>
      </c>
      <c r="G81" s="52">
        <f t="shared" si="2"/>
        <v>20623.88</v>
      </c>
      <c r="H81" s="52">
        <v>5000</v>
      </c>
      <c r="I81" s="61">
        <f t="shared" si="3"/>
        <v>-15623.880000000001</v>
      </c>
      <c r="J81" s="90">
        <f>Jan!I81+Feb!I81+Mar!I81+Apr!I81</f>
        <v>-73950.000000000015</v>
      </c>
      <c r="K81" s="82"/>
      <c r="L81" s="398">
        <f>2400+2000+364+131+198.5+30.4+3600+4000+266+1500+313+350+500</f>
        <v>15652.9</v>
      </c>
      <c r="M81" s="397">
        <f>275.26+103.4+495.55+186.1-32.49</f>
        <v>1027.82</v>
      </c>
      <c r="N81" s="397"/>
      <c r="O81" s="398">
        <f>359.87+289.73+99+15.9+950.97+54.31+523.63+16.78+334.54+423.9+146.63+3.98-165.96+303.5+12.58+259.23+764.6+62.08-512.11</f>
        <v>3943.1600000000003</v>
      </c>
    </row>
    <row r="82" spans="1:17" s="52" customFormat="1" ht="13.5">
      <c r="A82" s="58"/>
      <c r="B82" s="52" t="s">
        <v>888</v>
      </c>
      <c r="G82" s="52">
        <f t="shared" si="2"/>
        <v>4822.75</v>
      </c>
      <c r="H82" s="52">
        <v>1000</v>
      </c>
      <c r="I82" s="61">
        <f t="shared" si="3"/>
        <v>-3822.75</v>
      </c>
      <c r="J82" s="90">
        <f>Jan!I82+Feb!I82+Mar!I82+Apr!I82</f>
        <v>-6622.75</v>
      </c>
      <c r="K82" s="82"/>
      <c r="L82" s="398"/>
      <c r="M82" s="397"/>
      <c r="N82" s="397"/>
      <c r="O82" s="398">
        <f>1174+3648.75</f>
        <v>4822.75</v>
      </c>
      <c r="Q82" s="52" t="s">
        <v>995</v>
      </c>
    </row>
    <row r="83" spans="1:17" s="52" customFormat="1" ht="13.5">
      <c r="A83" s="58"/>
      <c r="B83" s="52" t="s">
        <v>889</v>
      </c>
      <c r="G83" s="52">
        <f t="shared" si="2"/>
        <v>28.990000000000009</v>
      </c>
      <c r="H83" s="52">
        <v>50</v>
      </c>
      <c r="I83" s="61">
        <f t="shared" si="3"/>
        <v>21.009999999999991</v>
      </c>
      <c r="J83" s="90">
        <f>Jan!I83+Feb!I83+Mar!I83+Apr!I83</f>
        <v>-243.45</v>
      </c>
      <c r="K83" s="82"/>
      <c r="L83" s="398"/>
      <c r="M83" s="397"/>
      <c r="N83" s="397">
        <f>129.84-100.85</f>
        <v>28.990000000000009</v>
      </c>
      <c r="O83" s="398"/>
      <c r="Q83" s="52" t="s">
        <v>985</v>
      </c>
    </row>
    <row r="84" spans="1:17" s="52" customFormat="1" ht="13.5">
      <c r="A84" s="58"/>
      <c r="B84" s="52" t="s">
        <v>26</v>
      </c>
      <c r="G84" s="52">
        <f t="shared" si="2"/>
        <v>52.21</v>
      </c>
      <c r="H84" s="52">
        <v>100</v>
      </c>
      <c r="I84" s="61">
        <f t="shared" si="3"/>
        <v>47.79</v>
      </c>
      <c r="J84" s="90">
        <f>Jan!I84+Feb!I84+Mar!I84+Apr!I84</f>
        <v>147.72</v>
      </c>
      <c r="K84" s="82"/>
      <c r="L84" s="398">
        <v>52.21</v>
      </c>
      <c r="M84" s="397"/>
      <c r="N84" s="397"/>
      <c r="O84" s="398"/>
    </row>
    <row r="85" spans="1:17" s="52" customFormat="1" ht="13.5">
      <c r="A85" s="58"/>
      <c r="B85" s="52" t="s">
        <v>799</v>
      </c>
      <c r="C85" s="52" t="s">
        <v>810</v>
      </c>
      <c r="G85" s="52">
        <f t="shared" si="2"/>
        <v>117.2</v>
      </c>
      <c r="H85" s="52">
        <v>70</v>
      </c>
      <c r="I85" s="61">
        <f t="shared" si="3"/>
        <v>-47.2</v>
      </c>
      <c r="J85" s="90">
        <f>Jan!I85+Feb!I85+Mar!I85+Apr!I85</f>
        <v>-378.69</v>
      </c>
      <c r="K85" s="82"/>
      <c r="L85" s="398">
        <v>117.2</v>
      </c>
      <c r="M85" s="397"/>
      <c r="N85" s="397"/>
      <c r="O85" s="398"/>
    </row>
    <row r="86" spans="1:17" s="52" customFormat="1" ht="13.5">
      <c r="A86" s="58"/>
      <c r="B86" s="52" t="s">
        <v>799</v>
      </c>
      <c r="C86" s="52" t="s">
        <v>811</v>
      </c>
      <c r="G86" s="52">
        <f t="shared" si="2"/>
        <v>24.38</v>
      </c>
      <c r="H86" s="52">
        <v>25</v>
      </c>
      <c r="I86" s="61">
        <f t="shared" si="3"/>
        <v>0.62000000000000099</v>
      </c>
      <c r="J86" s="90">
        <f>Jan!I86+Feb!I86+Mar!I86+Apr!I86</f>
        <v>26.189999999999998</v>
      </c>
      <c r="K86" s="82"/>
      <c r="L86" s="398">
        <v>24.38</v>
      </c>
      <c r="M86" s="397"/>
      <c r="N86" s="397"/>
      <c r="O86" s="398"/>
    </row>
    <row r="87" spans="1:17" s="52" customFormat="1" ht="13.5">
      <c r="A87" s="58"/>
      <c r="B87" s="52" t="s">
        <v>800</v>
      </c>
      <c r="G87" s="52">
        <f t="shared" si="2"/>
        <v>0</v>
      </c>
      <c r="H87" s="52">
        <v>40</v>
      </c>
      <c r="I87" s="61">
        <f t="shared" si="3"/>
        <v>40</v>
      </c>
      <c r="J87" s="90">
        <f>Jan!I87+Feb!I87+Mar!I87+Apr!I87</f>
        <v>-108.32</v>
      </c>
      <c r="K87" s="82"/>
      <c r="L87" s="398"/>
      <c r="M87" s="397"/>
      <c r="N87" s="397"/>
      <c r="O87" s="398"/>
    </row>
    <row r="88" spans="1:17" s="52" customFormat="1" ht="13.5">
      <c r="A88" s="58"/>
      <c r="B88" s="52" t="s">
        <v>802</v>
      </c>
      <c r="G88" s="52">
        <f t="shared" si="2"/>
        <v>0</v>
      </c>
      <c r="H88" s="52">
        <v>100</v>
      </c>
      <c r="I88" s="61">
        <f t="shared" si="3"/>
        <v>100</v>
      </c>
      <c r="J88" s="90">
        <f>Jan!I88+Feb!I88+Mar!I88+Apr!I88</f>
        <v>307.02</v>
      </c>
      <c r="K88" s="82"/>
      <c r="L88" s="398"/>
      <c r="M88" s="397"/>
      <c r="N88" s="397"/>
      <c r="O88" s="398"/>
    </row>
    <row r="89" spans="1:17" s="52" customFormat="1" ht="13.5">
      <c r="I89" s="61"/>
      <c r="J89" s="90"/>
      <c r="K89" s="82"/>
      <c r="L89" s="398"/>
      <c r="M89" s="397"/>
      <c r="N89" s="397"/>
      <c r="O89" s="398"/>
    </row>
    <row r="90" spans="1:17" s="52" customFormat="1" ht="13.5">
      <c r="A90" s="58" t="s">
        <v>39</v>
      </c>
      <c r="B90" s="58">
        <f>SUM(G91:G94)</f>
        <v>574.77</v>
      </c>
      <c r="C90" s="58">
        <f>SUM(H91:H94)</f>
        <v>360</v>
      </c>
      <c r="D90" s="58">
        <f>C90-B90</f>
        <v>-214.76999999999998</v>
      </c>
      <c r="I90" s="61"/>
      <c r="J90" s="90"/>
      <c r="K90" s="82"/>
      <c r="L90" s="398"/>
      <c r="M90" s="397"/>
      <c r="N90" s="397"/>
      <c r="O90" s="398"/>
    </row>
    <row r="91" spans="1:17" s="52" customFormat="1" ht="13.5">
      <c r="B91" s="52" t="s">
        <v>26</v>
      </c>
      <c r="C91" s="52" t="s">
        <v>27</v>
      </c>
      <c r="G91" s="52">
        <f t="shared" si="2"/>
        <v>74.569999999999993</v>
      </c>
      <c r="H91" s="52">
        <v>100</v>
      </c>
      <c r="I91" s="61">
        <f t="shared" si="3"/>
        <v>25.430000000000007</v>
      </c>
      <c r="J91" s="90">
        <f>Jan!I91+Feb!I91+Mar!I91+Apr!I91</f>
        <v>93.200000000000017</v>
      </c>
      <c r="K91" s="82"/>
      <c r="L91" s="398">
        <v>74.569999999999993</v>
      </c>
      <c r="M91" s="397"/>
      <c r="N91" s="397"/>
      <c r="O91" s="398"/>
    </row>
    <row r="92" spans="1:17" s="52" customFormat="1" ht="13.5">
      <c r="B92" s="52" t="s">
        <v>28</v>
      </c>
      <c r="C92" s="52" t="s">
        <v>29</v>
      </c>
      <c r="G92" s="52">
        <f t="shared" si="2"/>
        <v>0</v>
      </c>
      <c r="H92" s="52">
        <v>40</v>
      </c>
      <c r="I92" s="61">
        <f t="shared" si="3"/>
        <v>40</v>
      </c>
      <c r="J92" s="90">
        <f>Jan!I92+Feb!I92+Mar!I92+Apr!I92</f>
        <v>110.75</v>
      </c>
      <c r="K92" s="82"/>
      <c r="L92" s="398"/>
      <c r="M92" s="397"/>
      <c r="N92" s="397"/>
      <c r="O92" s="398"/>
    </row>
    <row r="93" spans="1:17" s="52" customFormat="1" ht="13.5">
      <c r="B93" s="52" t="s">
        <v>40</v>
      </c>
      <c r="C93" s="52" t="s">
        <v>41</v>
      </c>
      <c r="D93" s="52" t="s">
        <v>321</v>
      </c>
      <c r="G93" s="52">
        <f t="shared" si="2"/>
        <v>0</v>
      </c>
      <c r="H93" s="52">
        <v>100</v>
      </c>
      <c r="I93" s="61">
        <f t="shared" si="3"/>
        <v>100</v>
      </c>
      <c r="J93" s="90">
        <f>Jan!I93+Feb!I93+Mar!I93+Apr!I93</f>
        <v>400</v>
      </c>
      <c r="K93" s="82"/>
      <c r="L93" s="398"/>
      <c r="M93" s="397"/>
      <c r="N93" s="397"/>
      <c r="O93" s="398"/>
    </row>
    <row r="94" spans="1:17" s="52" customFormat="1" ht="13.5">
      <c r="B94" s="52" t="s">
        <v>42</v>
      </c>
      <c r="C94" s="52" t="s">
        <v>43</v>
      </c>
      <c r="D94" s="52" t="s">
        <v>435</v>
      </c>
      <c r="G94" s="52">
        <f t="shared" si="2"/>
        <v>500.2</v>
      </c>
      <c r="H94" s="52">
        <v>120</v>
      </c>
      <c r="I94" s="61">
        <f t="shared" si="3"/>
        <v>-380.2</v>
      </c>
      <c r="J94" s="90">
        <f>Jan!I94+Feb!I94+Mar!I94+Apr!I94</f>
        <v>-20.199999999999989</v>
      </c>
      <c r="K94" s="82"/>
      <c r="L94" s="398">
        <v>500.2</v>
      </c>
      <c r="M94" s="397"/>
      <c r="N94" s="397"/>
      <c r="O94" s="398"/>
    </row>
    <row r="95" spans="1:17" s="52" customFormat="1" ht="13.5">
      <c r="I95" s="61"/>
      <c r="J95" s="90"/>
      <c r="K95" s="82"/>
      <c r="L95" s="398"/>
      <c r="M95" s="397"/>
      <c r="N95" s="397"/>
      <c r="O95" s="398"/>
    </row>
    <row r="96" spans="1:17" s="52" customFormat="1" ht="13.5">
      <c r="A96" s="58" t="s">
        <v>45</v>
      </c>
      <c r="B96" s="58">
        <f>SUM(G97:G99)</f>
        <v>0</v>
      </c>
      <c r="C96" s="58">
        <f>SUM(H97:H99)</f>
        <v>173</v>
      </c>
      <c r="D96" s="58">
        <f>C96-B96</f>
        <v>173</v>
      </c>
      <c r="I96" s="61"/>
      <c r="J96" s="90"/>
      <c r="K96" s="82"/>
      <c r="L96" s="398"/>
      <c r="M96" s="397"/>
      <c r="N96" s="397"/>
      <c r="O96" s="398"/>
    </row>
    <row r="97" spans="1:17" s="52" customFormat="1" ht="13.5">
      <c r="B97" s="52" t="s">
        <v>46</v>
      </c>
      <c r="D97" s="52" t="s">
        <v>437</v>
      </c>
      <c r="G97" s="52">
        <f t="shared" si="2"/>
        <v>0</v>
      </c>
      <c r="H97" s="52">
        <v>65</v>
      </c>
      <c r="I97" s="61">
        <f t="shared" si="3"/>
        <v>65</v>
      </c>
      <c r="J97" s="90">
        <f>Jan!I97+Feb!I97+Mar!I97+Apr!I97</f>
        <v>-470</v>
      </c>
      <c r="K97" s="82"/>
      <c r="L97" s="398"/>
      <c r="M97" s="397"/>
      <c r="N97" s="397"/>
      <c r="O97" s="398"/>
    </row>
    <row r="98" spans="1:17" s="52" customFormat="1" ht="13.5">
      <c r="B98" s="52" t="s">
        <v>47</v>
      </c>
      <c r="D98" s="52" t="s">
        <v>436</v>
      </c>
      <c r="G98" s="52">
        <f t="shared" si="2"/>
        <v>0</v>
      </c>
      <c r="H98" s="52">
        <v>72</v>
      </c>
      <c r="I98" s="61">
        <f t="shared" si="3"/>
        <v>72</v>
      </c>
      <c r="J98" s="90">
        <f>Jan!I98+Feb!I98+Mar!I98+Apr!I98</f>
        <v>-570</v>
      </c>
      <c r="K98" s="82"/>
      <c r="L98" s="398"/>
      <c r="M98" s="397"/>
      <c r="N98" s="397"/>
      <c r="O98" s="398"/>
    </row>
    <row r="99" spans="1:17" s="52" customFormat="1" ht="13.5">
      <c r="B99" s="52" t="s">
        <v>48</v>
      </c>
      <c r="D99" s="52" t="s">
        <v>445</v>
      </c>
      <c r="G99" s="52">
        <f t="shared" si="2"/>
        <v>0</v>
      </c>
      <c r="H99" s="52">
        <v>36</v>
      </c>
      <c r="I99" s="61">
        <f t="shared" si="3"/>
        <v>36</v>
      </c>
      <c r="J99" s="90">
        <f>Jan!I99+Feb!I99+Mar!I99+Apr!I99</f>
        <v>144</v>
      </c>
      <c r="K99" s="82"/>
      <c r="L99" s="398"/>
      <c r="M99" s="397"/>
      <c r="N99" s="397"/>
      <c r="O99" s="398"/>
    </row>
    <row r="100" spans="1:17" s="52" customFormat="1" ht="13.5">
      <c r="I100" s="61"/>
      <c r="J100" s="90"/>
      <c r="K100" s="82"/>
      <c r="L100" s="398"/>
      <c r="M100" s="397"/>
      <c r="N100" s="397"/>
      <c r="O100" s="398"/>
    </row>
    <row r="101" spans="1:17" s="52" customFormat="1" ht="13.5">
      <c r="A101" s="58" t="s">
        <v>49</v>
      </c>
      <c r="B101" s="58">
        <f>SUM(G102:G108)</f>
        <v>4685.41</v>
      </c>
      <c r="C101" s="58">
        <f>SUM(H102:H108)</f>
        <v>178</v>
      </c>
      <c r="D101" s="58">
        <f>C101-B101</f>
        <v>-4507.41</v>
      </c>
      <c r="I101" s="61"/>
      <c r="J101" s="90"/>
      <c r="K101" s="82"/>
      <c r="L101" s="398"/>
      <c r="M101" s="397"/>
      <c r="N101" s="397"/>
      <c r="O101" s="398"/>
    </row>
    <row r="102" spans="1:17" s="52" customFormat="1" ht="13.5">
      <c r="B102" s="52" t="s">
        <v>438</v>
      </c>
      <c r="G102" s="52">
        <f t="shared" si="2"/>
        <v>3910.5199999999995</v>
      </c>
      <c r="H102" s="52">
        <v>20</v>
      </c>
      <c r="I102" s="61">
        <f t="shared" si="3"/>
        <v>-3890.5199999999995</v>
      </c>
      <c r="J102" s="90">
        <f>Jan!I102+Feb!I102+Mar!I102+Apr!I102</f>
        <v>-3830.5199999999995</v>
      </c>
      <c r="K102" s="82"/>
      <c r="L102" s="398">
        <v>1264</v>
      </c>
      <c r="M102" s="397"/>
      <c r="N102" s="397">
        <f>55.83+2440.2</f>
        <v>2496.0299999999997</v>
      </c>
      <c r="O102" s="398">
        <v>150.49</v>
      </c>
      <c r="Q102" s="52" t="s">
        <v>1187</v>
      </c>
    </row>
    <row r="103" spans="1:17" s="52" customFormat="1" ht="13.5">
      <c r="B103" s="52" t="s">
        <v>439</v>
      </c>
      <c r="G103" s="52">
        <f t="shared" si="2"/>
        <v>62.82</v>
      </c>
      <c r="H103" s="52">
        <v>5</v>
      </c>
      <c r="I103" s="61">
        <f t="shared" si="3"/>
        <v>-57.82</v>
      </c>
      <c r="J103" s="90">
        <f>Jan!I103+Feb!I103+Mar!I103+Apr!I103</f>
        <v>-42.82</v>
      </c>
      <c r="K103" s="82"/>
      <c r="L103" s="398"/>
      <c r="M103" s="397"/>
      <c r="N103" s="397">
        <v>62.82</v>
      </c>
      <c r="O103" s="398"/>
    </row>
    <row r="104" spans="1:17" s="52" customFormat="1" ht="13.5">
      <c r="B104" s="52" t="s">
        <v>303</v>
      </c>
      <c r="G104" s="52">
        <f t="shared" si="2"/>
        <v>268.74</v>
      </c>
      <c r="H104" s="52">
        <v>65</v>
      </c>
      <c r="I104" s="61">
        <f t="shared" si="3"/>
        <v>-203.74</v>
      </c>
      <c r="J104" s="90">
        <f>Jan!I104+Feb!I104+Mar!I104+Apr!I104</f>
        <v>-8.7400000000000091</v>
      </c>
      <c r="K104" s="82"/>
      <c r="L104" s="398">
        <f>60+80+40</f>
        <v>180</v>
      </c>
      <c r="M104" s="397"/>
      <c r="N104" s="397">
        <v>88.74</v>
      </c>
      <c r="O104" s="398"/>
      <c r="Q104" s="52" t="s">
        <v>1028</v>
      </c>
    </row>
    <row r="105" spans="1:17" s="52" customFormat="1" ht="13.5">
      <c r="B105" s="52" t="s">
        <v>259</v>
      </c>
      <c r="G105" s="52">
        <f t="shared" si="2"/>
        <v>0</v>
      </c>
      <c r="H105" s="52">
        <v>15</v>
      </c>
      <c r="I105" s="61">
        <f t="shared" si="3"/>
        <v>15</v>
      </c>
      <c r="J105" s="90">
        <f>Jan!I105+Feb!I105+Mar!I105+Apr!I105</f>
        <v>60</v>
      </c>
      <c r="K105" s="82"/>
      <c r="L105" s="398"/>
      <c r="M105" s="397"/>
      <c r="N105" s="397"/>
      <c r="O105" s="398"/>
    </row>
    <row r="106" spans="1:17" s="52" customFormat="1" ht="13.5">
      <c r="B106" s="52" t="s">
        <v>299</v>
      </c>
      <c r="G106" s="52">
        <f t="shared" si="2"/>
        <v>26.34</v>
      </c>
      <c r="H106" s="52">
        <v>35</v>
      </c>
      <c r="I106" s="61">
        <f t="shared" si="3"/>
        <v>8.66</v>
      </c>
      <c r="J106" s="90">
        <f>Jan!I106+Feb!I106+Mar!I106+Apr!I106</f>
        <v>113.66</v>
      </c>
      <c r="K106" s="82"/>
      <c r="L106" s="398"/>
      <c r="M106" s="397">
        <f>14.98+11.36</f>
        <v>26.34</v>
      </c>
      <c r="N106" s="397"/>
      <c r="O106" s="398"/>
      <c r="Q106" s="52" t="s">
        <v>946</v>
      </c>
    </row>
    <row r="107" spans="1:17" s="52" customFormat="1" ht="13.5">
      <c r="B107" s="52" t="s">
        <v>440</v>
      </c>
      <c r="G107" s="52">
        <f t="shared" si="2"/>
        <v>271</v>
      </c>
      <c r="H107" s="52">
        <v>26</v>
      </c>
      <c r="I107" s="61">
        <f t="shared" si="3"/>
        <v>-245</v>
      </c>
      <c r="J107" s="90">
        <f>Jan!I107+Feb!I107+Mar!I107+Apr!I107</f>
        <v>-167</v>
      </c>
      <c r="K107" s="82"/>
      <c r="L107" s="398">
        <v>271</v>
      </c>
      <c r="M107" s="397"/>
      <c r="N107" s="397"/>
      <c r="O107" s="398"/>
    </row>
    <row r="108" spans="1:17" s="52" customFormat="1" ht="13.5">
      <c r="B108" s="52" t="s">
        <v>441</v>
      </c>
      <c r="G108" s="52">
        <f t="shared" si="2"/>
        <v>145.99</v>
      </c>
      <c r="H108" s="52">
        <v>12</v>
      </c>
      <c r="I108" s="61">
        <f t="shared" si="3"/>
        <v>-133.99</v>
      </c>
      <c r="J108" s="90">
        <f>Jan!I108+Feb!I108+Mar!I108+Apr!I108</f>
        <v>-97.990000000000009</v>
      </c>
      <c r="K108" s="82"/>
      <c r="L108" s="398">
        <v>145.99</v>
      </c>
      <c r="M108" s="397"/>
      <c r="N108" s="397"/>
      <c r="O108" s="398"/>
    </row>
    <row r="109" spans="1:17" s="52" customFormat="1" ht="13.5">
      <c r="I109" s="61"/>
      <c r="J109" s="90"/>
      <c r="K109" s="82"/>
      <c r="L109" s="398"/>
      <c r="M109" s="397"/>
      <c r="N109" s="397"/>
      <c r="O109" s="398"/>
    </row>
    <row r="110" spans="1:17" s="52" customFormat="1" ht="13.5">
      <c r="A110" s="58" t="s">
        <v>236</v>
      </c>
      <c r="B110" s="58">
        <f>SUM(G111:G113)</f>
        <v>0</v>
      </c>
      <c r="C110" s="58">
        <f>SUM(H111:H113)</f>
        <v>470</v>
      </c>
      <c r="D110" s="58">
        <f>C110-B110</f>
        <v>470</v>
      </c>
      <c r="I110" s="61"/>
      <c r="J110" s="90"/>
      <c r="K110" s="82"/>
      <c r="L110" s="398"/>
      <c r="M110" s="397"/>
      <c r="N110" s="397"/>
      <c r="O110" s="398"/>
    </row>
    <row r="111" spans="1:17" s="52" customFormat="1" ht="13.5">
      <c r="B111" s="52" t="s">
        <v>482</v>
      </c>
      <c r="G111" s="52">
        <f t="shared" si="2"/>
        <v>0</v>
      </c>
      <c r="H111" s="52">
        <v>60</v>
      </c>
      <c r="I111" s="61">
        <f t="shared" si="3"/>
        <v>60</v>
      </c>
      <c r="J111" s="90">
        <f>Jan!I111+Feb!I111+Mar!I111+Apr!I111</f>
        <v>240</v>
      </c>
      <c r="K111" s="82"/>
      <c r="L111" s="398"/>
      <c r="M111" s="397"/>
      <c r="N111" s="397"/>
      <c r="O111" s="398"/>
    </row>
    <row r="112" spans="1:17" s="52" customFormat="1" ht="13.5">
      <c r="B112" s="52" t="s">
        <v>442</v>
      </c>
      <c r="G112" s="52">
        <f t="shared" si="2"/>
        <v>0</v>
      </c>
      <c r="H112" s="52">
        <v>400</v>
      </c>
      <c r="I112" s="61">
        <f t="shared" si="3"/>
        <v>400</v>
      </c>
      <c r="J112" s="90">
        <f>Jan!I112+Feb!I112+Mar!I112+Apr!I112</f>
        <v>1435</v>
      </c>
      <c r="K112" s="82"/>
      <c r="L112" s="398"/>
      <c r="M112" s="397"/>
      <c r="N112" s="397"/>
      <c r="O112" s="398"/>
    </row>
    <row r="113" spans="1:17" s="52" customFormat="1" ht="13.5">
      <c r="B113" s="52" t="s">
        <v>258</v>
      </c>
      <c r="G113" s="52">
        <f t="shared" si="2"/>
        <v>0</v>
      </c>
      <c r="H113" s="52">
        <v>10</v>
      </c>
      <c r="I113" s="61">
        <f t="shared" si="3"/>
        <v>10</v>
      </c>
      <c r="J113" s="90">
        <f>Jan!I113+Feb!I113+Mar!I113+Apr!I113</f>
        <v>40</v>
      </c>
      <c r="K113" s="82"/>
      <c r="L113" s="398"/>
      <c r="M113" s="397"/>
      <c r="N113" s="397"/>
      <c r="O113" s="398"/>
    </row>
    <row r="114" spans="1:17" s="52" customFormat="1" ht="13.5">
      <c r="I114" s="61"/>
      <c r="J114" s="90"/>
      <c r="K114" s="82"/>
      <c r="L114" s="398"/>
      <c r="M114" s="397"/>
      <c r="N114" s="397"/>
      <c r="O114" s="398"/>
    </row>
    <row r="115" spans="1:17" s="52" customFormat="1" ht="13.5">
      <c r="A115" s="58" t="s">
        <v>53</v>
      </c>
      <c r="B115" s="58">
        <f>SUM(G116:G118)</f>
        <v>1625.11</v>
      </c>
      <c r="C115" s="58">
        <f>SUM(H116:H118)</f>
        <v>245</v>
      </c>
      <c r="D115" s="58">
        <f>C115-B115</f>
        <v>-1380.11</v>
      </c>
      <c r="I115" s="61"/>
      <c r="J115" s="90"/>
      <c r="K115" s="82"/>
      <c r="L115" s="398"/>
      <c r="M115" s="397"/>
      <c r="N115" s="397"/>
      <c r="O115" s="398"/>
    </row>
    <row r="116" spans="1:17" s="52" customFormat="1" ht="13.5">
      <c r="B116" s="52" t="s">
        <v>443</v>
      </c>
      <c r="G116" s="52">
        <f t="shared" ref="G116:G170" si="4">SUM(L116:O116)</f>
        <v>1437.08</v>
      </c>
      <c r="H116" s="52">
        <v>90</v>
      </c>
      <c r="I116" s="61">
        <f t="shared" si="3"/>
        <v>-1347.08</v>
      </c>
      <c r="J116" s="90">
        <f>Jan!I116+Feb!I116+Mar!I116+Apr!I116</f>
        <v>-2236.5500000000002</v>
      </c>
      <c r="K116" s="82"/>
      <c r="L116" s="398"/>
      <c r="M116" s="397">
        <f>35+1282.36</f>
        <v>1317.36</v>
      </c>
      <c r="N116" s="397">
        <v>119.72</v>
      </c>
      <c r="O116" s="398"/>
      <c r="Q116" s="52" t="s">
        <v>981</v>
      </c>
    </row>
    <row r="117" spans="1:17" s="52" customFormat="1" ht="13.5">
      <c r="B117" s="52" t="s">
        <v>54</v>
      </c>
      <c r="G117" s="52">
        <f t="shared" si="4"/>
        <v>0</v>
      </c>
      <c r="H117" s="52">
        <v>25</v>
      </c>
      <c r="I117" s="61">
        <f t="shared" si="3"/>
        <v>25</v>
      </c>
      <c r="J117" s="90">
        <f>Jan!I117+Feb!I117+Mar!I117+Apr!I117</f>
        <v>-133.4</v>
      </c>
      <c r="K117" s="82"/>
      <c r="L117" s="398"/>
      <c r="M117" s="397"/>
      <c r="N117" s="397"/>
      <c r="O117" s="398"/>
    </row>
    <row r="118" spans="1:17" s="52" customFormat="1" ht="13.5">
      <c r="B118" s="54" t="s">
        <v>444</v>
      </c>
      <c r="G118" s="52">
        <f t="shared" si="4"/>
        <v>188.03</v>
      </c>
      <c r="H118" s="52">
        <v>130</v>
      </c>
      <c r="I118" s="61">
        <f t="shared" si="3"/>
        <v>-58.03</v>
      </c>
      <c r="J118" s="90">
        <f>Jan!I118+Feb!I118+Mar!I118+Apr!I118</f>
        <v>-214.51999999999998</v>
      </c>
      <c r="K118" s="82"/>
      <c r="L118" s="398"/>
      <c r="M118" s="397">
        <f>33.55+47.34</f>
        <v>80.89</v>
      </c>
      <c r="N118" s="397">
        <f>35.46+32+20.3+19.38</f>
        <v>107.14</v>
      </c>
      <c r="O118" s="398"/>
    </row>
    <row r="119" spans="1:17" s="52" customFormat="1" ht="13.5">
      <c r="I119" s="61"/>
      <c r="J119" s="90"/>
      <c r="K119" s="82"/>
      <c r="L119" s="398"/>
      <c r="M119" s="397"/>
      <c r="N119" s="397"/>
      <c r="O119" s="398"/>
    </row>
    <row r="120" spans="1:17" s="52" customFormat="1" ht="13.5">
      <c r="A120" s="58" t="s">
        <v>59</v>
      </c>
      <c r="B120" s="58">
        <f>SUM(G121:G123)</f>
        <v>170</v>
      </c>
      <c r="C120" s="58">
        <f>SUM(H121:H123)</f>
        <v>415</v>
      </c>
      <c r="D120" s="58">
        <f>C120-B120</f>
        <v>245</v>
      </c>
      <c r="I120" s="61"/>
      <c r="J120" s="90"/>
      <c r="K120" s="82"/>
      <c r="L120" s="398"/>
      <c r="M120" s="397"/>
      <c r="N120" s="397"/>
      <c r="O120" s="398"/>
    </row>
    <row r="121" spans="1:17" s="52" customFormat="1" ht="13.5">
      <c r="B121" s="52" t="s">
        <v>484</v>
      </c>
      <c r="D121" s="52" t="s">
        <v>60</v>
      </c>
      <c r="G121" s="52">
        <f t="shared" si="4"/>
        <v>0</v>
      </c>
      <c r="H121" s="52">
        <v>150</v>
      </c>
      <c r="I121" s="61">
        <f t="shared" si="3"/>
        <v>150</v>
      </c>
      <c r="J121" s="90">
        <f>Jan!I121+Feb!I121+Mar!I121+Apr!I121</f>
        <v>600</v>
      </c>
      <c r="K121" s="82"/>
      <c r="L121" s="398"/>
      <c r="M121" s="397"/>
      <c r="N121" s="397"/>
      <c r="O121" s="398"/>
    </row>
    <row r="122" spans="1:17" s="52" customFormat="1" ht="13.5">
      <c r="A122" s="58"/>
      <c r="B122" s="52" t="s">
        <v>483</v>
      </c>
      <c r="G122" s="52">
        <f t="shared" si="4"/>
        <v>170</v>
      </c>
      <c r="H122" s="52">
        <v>215</v>
      </c>
      <c r="I122" s="61">
        <f t="shared" si="3"/>
        <v>45</v>
      </c>
      <c r="J122" s="90">
        <f>Jan!I122+Feb!I122+Mar!I122+Apr!I122</f>
        <v>350</v>
      </c>
      <c r="K122" s="82"/>
      <c r="L122" s="398">
        <v>170</v>
      </c>
      <c r="M122" s="397"/>
      <c r="N122" s="397"/>
      <c r="O122" s="398"/>
    </row>
    <row r="123" spans="1:17" s="52" customFormat="1" ht="13.5">
      <c r="A123" s="58"/>
      <c r="B123" s="52" t="s">
        <v>468</v>
      </c>
      <c r="G123" s="52">
        <f t="shared" si="4"/>
        <v>0</v>
      </c>
      <c r="H123" s="52">
        <v>50</v>
      </c>
      <c r="I123" s="61">
        <f t="shared" si="3"/>
        <v>50</v>
      </c>
      <c r="J123" s="90">
        <f>Jan!I123+Feb!I123+Mar!I123+Apr!I123</f>
        <v>200</v>
      </c>
      <c r="K123" s="82"/>
      <c r="L123" s="398"/>
      <c r="M123" s="397"/>
      <c r="N123" s="397"/>
      <c r="O123" s="398"/>
    </row>
    <row r="124" spans="1:17" s="52" customFormat="1" ht="13.5">
      <c r="A124" s="58"/>
      <c r="I124" s="61"/>
      <c r="J124" s="90"/>
      <c r="K124" s="82"/>
      <c r="L124" s="398"/>
      <c r="M124" s="397"/>
      <c r="N124" s="397"/>
      <c r="O124" s="398"/>
    </row>
    <row r="125" spans="1:17" s="52" customFormat="1" ht="13.5">
      <c r="A125" s="58" t="s">
        <v>50</v>
      </c>
      <c r="B125" s="58">
        <f>SUM(G126:G136)</f>
        <v>1313.01</v>
      </c>
      <c r="C125" s="58">
        <f>SUM(H126:H136)</f>
        <v>740</v>
      </c>
      <c r="D125" s="58">
        <f>C125-B125</f>
        <v>-573.01</v>
      </c>
      <c r="I125" s="61"/>
      <c r="J125" s="90"/>
      <c r="K125" s="82"/>
      <c r="L125" s="398"/>
      <c r="M125" s="397"/>
      <c r="N125" s="397"/>
      <c r="O125" s="398"/>
    </row>
    <row r="126" spans="1:17" s="52" customFormat="1" ht="13.5">
      <c r="B126" s="52" t="s">
        <v>51</v>
      </c>
      <c r="G126" s="52">
        <f t="shared" si="4"/>
        <v>670</v>
      </c>
      <c r="H126" s="52">
        <v>100</v>
      </c>
      <c r="I126" s="61">
        <f t="shared" si="3"/>
        <v>-570</v>
      </c>
      <c r="J126" s="90">
        <f>Jan!I126+Feb!I126+Mar!I126+Apr!I126</f>
        <v>-538</v>
      </c>
      <c r="K126" s="82"/>
      <c r="L126" s="398">
        <f>750+100-180</f>
        <v>670</v>
      </c>
      <c r="M126" s="397"/>
      <c r="N126" s="397"/>
      <c r="O126" s="398"/>
      <c r="Q126" s="52" t="s">
        <v>1019</v>
      </c>
    </row>
    <row r="127" spans="1:17" s="52" customFormat="1" ht="14.25" thickBot="1">
      <c r="B127" s="52" t="s">
        <v>453</v>
      </c>
      <c r="G127" s="52">
        <f t="shared" si="4"/>
        <v>257.93999999999994</v>
      </c>
      <c r="H127" s="52">
        <v>500</v>
      </c>
      <c r="I127" s="61">
        <f t="shared" si="3"/>
        <v>242.06000000000006</v>
      </c>
      <c r="J127" s="90">
        <f>Jan!I127+Feb!I127+Mar!I127+Apr!I127</f>
        <v>1051.1400000000003</v>
      </c>
      <c r="K127" s="82"/>
      <c r="L127" s="398"/>
      <c r="M127" s="397">
        <v>44.72</v>
      </c>
      <c r="N127" s="397">
        <f>19.08+41.14+34.56+(29.26+32.73+50.46+5.99)</f>
        <v>213.21999999999997</v>
      </c>
      <c r="O127" s="398"/>
    </row>
    <row r="128" spans="1:17" s="52" customFormat="1" ht="14.25" thickBot="1">
      <c r="C128" s="52" t="s">
        <v>446</v>
      </c>
      <c r="E128" s="88">
        <f>Jan!F140+Feb!F141+Mar!F141+Apr!F141+May!F141+Jun!F141+July!F141+Aug!F141+Sep!F141+Oct!F141+Nov!F141+Dec!F141</f>
        <v>0</v>
      </c>
      <c r="I128" s="61"/>
      <c r="J128" s="90"/>
      <c r="K128" s="82"/>
      <c r="L128" s="398"/>
      <c r="M128" s="397"/>
      <c r="N128" s="397"/>
      <c r="O128" s="398"/>
    </row>
    <row r="129" spans="1:17" s="52" customFormat="1" ht="14.25" thickBot="1">
      <c r="C129" s="52" t="s">
        <v>447</v>
      </c>
      <c r="E129" s="88">
        <f>Jan!F141+Feb!F142+Mar!F142+Apr!F142+May!F142+Jun!F142+July!F142+Aug!F142+Sep!F142+Oct!F142+Nov!F142+Dec!F142</f>
        <v>0</v>
      </c>
      <c r="I129" s="61"/>
      <c r="J129" s="90"/>
      <c r="K129" s="82"/>
      <c r="L129" s="398"/>
      <c r="M129" s="397"/>
      <c r="N129" s="397"/>
      <c r="O129" s="398"/>
    </row>
    <row r="130" spans="1:17" s="52" customFormat="1" ht="13.5">
      <c r="B130" s="52" t="s">
        <v>300</v>
      </c>
      <c r="G130" s="52">
        <f t="shared" si="4"/>
        <v>293.39999999999998</v>
      </c>
      <c r="H130" s="52">
        <v>50</v>
      </c>
      <c r="I130" s="61">
        <f t="shared" si="3"/>
        <v>-243.39999999999998</v>
      </c>
      <c r="J130" s="90">
        <f>Jan!I130+Feb!I130+Mar!I130+Apr!I130</f>
        <v>-404.07</v>
      </c>
      <c r="K130" s="82"/>
      <c r="L130" s="398"/>
      <c r="M130" s="397"/>
      <c r="N130" s="397">
        <f>33.38+153.19+106.83</f>
        <v>293.39999999999998</v>
      </c>
      <c r="O130" s="398"/>
    </row>
    <row r="131" spans="1:17" s="52" customFormat="1" ht="14.25" thickBot="1">
      <c r="B131" s="52" t="s">
        <v>52</v>
      </c>
      <c r="G131" s="52">
        <f t="shared" si="4"/>
        <v>91.669999999999987</v>
      </c>
      <c r="H131" s="52">
        <v>70</v>
      </c>
      <c r="I131" s="61">
        <f t="shared" si="3"/>
        <v>-21.669999999999987</v>
      </c>
      <c r="J131" s="90">
        <f>Jan!I131+Feb!I131+Mar!I131+Apr!I131</f>
        <v>188.33</v>
      </c>
      <c r="K131" s="82"/>
      <c r="L131" s="398"/>
      <c r="M131" s="397">
        <f>23.48+12.99-14.99</f>
        <v>21.479999999999997</v>
      </c>
      <c r="N131" s="397">
        <v>70.19</v>
      </c>
      <c r="O131" s="398"/>
    </row>
    <row r="132" spans="1:17" s="52" customFormat="1" ht="14.25" thickBot="1">
      <c r="C132" s="259" t="s">
        <v>448</v>
      </c>
      <c r="D132" s="260"/>
      <c r="E132" s="88">
        <f>21.48+70.19</f>
        <v>91.67</v>
      </c>
      <c r="I132" s="61"/>
      <c r="J132" s="90"/>
      <c r="K132" s="82"/>
      <c r="L132" s="398"/>
      <c r="M132" s="397"/>
      <c r="N132" s="397"/>
      <c r="O132" s="398"/>
    </row>
    <row r="133" spans="1:17" s="52" customFormat="1" ht="14.25" thickBot="1">
      <c r="C133" s="259" t="s">
        <v>449</v>
      </c>
      <c r="D133" s="260"/>
      <c r="E133" s="88"/>
      <c r="I133" s="61"/>
      <c r="J133" s="90"/>
      <c r="K133" s="82"/>
      <c r="L133" s="398"/>
      <c r="M133" s="397"/>
      <c r="N133" s="397"/>
      <c r="O133" s="398"/>
    </row>
    <row r="134" spans="1:17" s="52" customFormat="1" ht="14.25" thickBot="1">
      <c r="C134" s="259" t="s">
        <v>450</v>
      </c>
      <c r="D134" s="260"/>
      <c r="E134" s="88"/>
      <c r="I134" s="61"/>
      <c r="J134" s="90"/>
      <c r="K134" s="82"/>
      <c r="L134" s="398"/>
      <c r="M134" s="397"/>
      <c r="N134" s="397"/>
      <c r="O134" s="398"/>
    </row>
    <row r="135" spans="1:17" s="52" customFormat="1" ht="14.25" thickBot="1">
      <c r="C135" s="259" t="s">
        <v>451</v>
      </c>
      <c r="D135" s="260"/>
      <c r="E135" s="88"/>
      <c r="I135" s="61"/>
      <c r="J135" s="90"/>
      <c r="K135" s="82"/>
      <c r="L135" s="398"/>
      <c r="M135" s="397"/>
      <c r="N135" s="397"/>
      <c r="O135" s="398"/>
    </row>
    <row r="136" spans="1:17" s="52" customFormat="1" ht="13.5">
      <c r="B136" s="52" t="s">
        <v>452</v>
      </c>
      <c r="G136" s="52">
        <f t="shared" si="4"/>
        <v>0</v>
      </c>
      <c r="H136" s="52">
        <v>20</v>
      </c>
      <c r="I136" s="61">
        <f t="shared" ref="I136:I151" si="5">H136-G136</f>
        <v>20</v>
      </c>
      <c r="J136" s="90">
        <f>Jan!I136+Feb!I136+Mar!I136+Apr!I136</f>
        <v>80</v>
      </c>
      <c r="K136" s="82"/>
      <c r="L136" s="398"/>
      <c r="M136" s="397"/>
      <c r="N136" s="397"/>
      <c r="O136" s="398"/>
    </row>
    <row r="137" spans="1:17" s="52" customFormat="1" ht="13.5">
      <c r="I137" s="61"/>
      <c r="J137" s="90"/>
      <c r="K137" s="82"/>
      <c r="L137" s="398"/>
      <c r="M137" s="397"/>
      <c r="N137" s="397"/>
      <c r="O137" s="398"/>
    </row>
    <row r="138" spans="1:17" s="52" customFormat="1" ht="13.5">
      <c r="A138" s="58" t="s">
        <v>65</v>
      </c>
      <c r="B138" s="58">
        <f>G139</f>
        <v>110.66</v>
      </c>
      <c r="C138" s="58">
        <f>H139</f>
        <v>140</v>
      </c>
      <c r="D138" s="58">
        <f>I139</f>
        <v>29.340000000000003</v>
      </c>
      <c r="I138" s="61"/>
      <c r="J138" s="90"/>
      <c r="K138" s="82"/>
      <c r="L138" s="398"/>
      <c r="M138" s="397"/>
      <c r="N138" s="397"/>
      <c r="O138" s="398"/>
    </row>
    <row r="139" spans="1:17" s="52" customFormat="1" ht="13.5">
      <c r="B139" s="52" t="s">
        <v>66</v>
      </c>
      <c r="G139" s="52">
        <f t="shared" si="4"/>
        <v>110.66</v>
      </c>
      <c r="H139" s="52">
        <v>140</v>
      </c>
      <c r="I139" s="61">
        <f t="shared" si="5"/>
        <v>29.340000000000003</v>
      </c>
      <c r="J139" s="90">
        <f>Jan!I139+Feb!I139+Mar!I139+Apr!I139</f>
        <v>449.34000000000003</v>
      </c>
      <c r="K139" s="82"/>
      <c r="L139" s="398"/>
      <c r="M139" s="397">
        <f>15.66+95</f>
        <v>110.66</v>
      </c>
      <c r="N139" s="397"/>
      <c r="O139" s="398"/>
      <c r="Q139" s="52" t="s">
        <v>945</v>
      </c>
    </row>
    <row r="140" spans="1:17" s="52" customFormat="1" ht="13.5">
      <c r="I140" s="61"/>
      <c r="J140" s="90"/>
      <c r="K140" s="82"/>
      <c r="L140" s="398"/>
      <c r="M140" s="397"/>
      <c r="N140" s="397"/>
      <c r="O140" s="398"/>
    </row>
    <row r="141" spans="1:17" s="52" customFormat="1" ht="13.5">
      <c r="A141" s="58" t="s">
        <v>271</v>
      </c>
      <c r="B141" s="58">
        <f>SUM(G142:G144)</f>
        <v>248.82999999999998</v>
      </c>
      <c r="C141" s="58">
        <f>SUM(H142:H144)</f>
        <v>230</v>
      </c>
      <c r="D141" s="58">
        <f>C141-B141</f>
        <v>-18.829999999999984</v>
      </c>
      <c r="I141" s="61"/>
      <c r="J141" s="90"/>
      <c r="K141" s="82"/>
      <c r="L141" s="398"/>
      <c r="M141" s="397"/>
      <c r="N141" s="397"/>
      <c r="O141" s="398"/>
    </row>
    <row r="142" spans="1:17" s="52" customFormat="1" ht="13.5">
      <c r="B142" s="52" t="s">
        <v>266</v>
      </c>
      <c r="G142" s="52">
        <f t="shared" si="4"/>
        <v>248.82999999999998</v>
      </c>
      <c r="H142" s="52">
        <v>100</v>
      </c>
      <c r="I142" s="61">
        <f t="shared" si="5"/>
        <v>-148.82999999999998</v>
      </c>
      <c r="J142" s="90">
        <f>Jan!I142+Feb!I142+Mar!I142+Apr!I142</f>
        <v>-329.48</v>
      </c>
      <c r="K142" s="82"/>
      <c r="L142" s="398"/>
      <c r="M142" s="397">
        <f>44.95</f>
        <v>44.95</v>
      </c>
      <c r="N142" s="397">
        <f>73+20.85+37+(17.63+36.46+18.94)</f>
        <v>203.88</v>
      </c>
      <c r="O142" s="398"/>
      <c r="Q142" s="52" t="s">
        <v>983</v>
      </c>
    </row>
    <row r="143" spans="1:17" s="52" customFormat="1" ht="13.5">
      <c r="B143" s="52" t="s">
        <v>454</v>
      </c>
      <c r="G143" s="52">
        <f t="shared" si="4"/>
        <v>0</v>
      </c>
      <c r="H143" s="52">
        <v>100</v>
      </c>
      <c r="I143" s="61">
        <f t="shared" si="5"/>
        <v>100</v>
      </c>
      <c r="J143" s="90">
        <f>Jan!I143+Feb!I143+Mar!I143+Apr!I143</f>
        <v>400</v>
      </c>
      <c r="K143" s="82"/>
      <c r="L143" s="398"/>
      <c r="M143" s="397"/>
      <c r="N143" s="397"/>
      <c r="O143" s="398"/>
    </row>
    <row r="144" spans="1:17" s="52" customFormat="1" ht="13.5">
      <c r="B144" s="52" t="s">
        <v>455</v>
      </c>
      <c r="G144" s="52">
        <f t="shared" si="4"/>
        <v>0</v>
      </c>
      <c r="H144" s="52">
        <v>30</v>
      </c>
      <c r="I144" s="61">
        <f t="shared" si="5"/>
        <v>30</v>
      </c>
      <c r="J144" s="90">
        <f>Jan!I144+Feb!I144+Mar!I144+Apr!I144</f>
        <v>120</v>
      </c>
      <c r="K144" s="82"/>
      <c r="L144" s="398"/>
      <c r="M144" s="397"/>
      <c r="N144" s="397"/>
      <c r="O144" s="398"/>
    </row>
    <row r="145" spans="1:15" s="52" customFormat="1" ht="13.5">
      <c r="I145" s="61"/>
      <c r="J145" s="90"/>
      <c r="K145" s="82"/>
      <c r="L145" s="398"/>
      <c r="M145" s="397"/>
      <c r="N145" s="397"/>
      <c r="O145" s="398"/>
    </row>
    <row r="146" spans="1:15" s="52" customFormat="1" ht="13.5">
      <c r="A146" s="58" t="s">
        <v>67</v>
      </c>
      <c r="B146" s="58">
        <f>G147</f>
        <v>2.1</v>
      </c>
      <c r="C146" s="58">
        <f>H147</f>
        <v>10</v>
      </c>
      <c r="D146" s="58">
        <f>C146-B146</f>
        <v>7.9</v>
      </c>
      <c r="I146" s="61"/>
      <c r="J146" s="90"/>
      <c r="K146" s="82"/>
      <c r="L146" s="398"/>
      <c r="M146" s="397"/>
      <c r="N146" s="397"/>
      <c r="O146" s="398"/>
    </row>
    <row r="147" spans="1:15" s="52" customFormat="1" ht="13.5">
      <c r="B147" s="52" t="s">
        <v>68</v>
      </c>
      <c r="G147" s="52">
        <f t="shared" si="4"/>
        <v>2.1</v>
      </c>
      <c r="H147" s="52">
        <v>10</v>
      </c>
      <c r="I147" s="61">
        <f t="shared" si="5"/>
        <v>7.9</v>
      </c>
      <c r="J147" s="90">
        <f>Jan!I147+Feb!I147+Mar!I147+Apr!I147</f>
        <v>37.9</v>
      </c>
      <c r="K147" s="82"/>
      <c r="L147" s="398"/>
      <c r="M147" s="397">
        <f>1.05*2</f>
        <v>2.1</v>
      </c>
      <c r="N147" s="397"/>
      <c r="O147" s="398"/>
    </row>
    <row r="148" spans="1:15" s="52" customFormat="1" ht="13.5">
      <c r="I148" s="61"/>
      <c r="J148" s="90"/>
      <c r="K148" s="82"/>
      <c r="L148" s="398"/>
      <c r="M148" s="397"/>
      <c r="N148" s="397"/>
      <c r="O148" s="398"/>
    </row>
    <row r="149" spans="1:15" s="52" customFormat="1" ht="13.5">
      <c r="A149" s="58" t="s">
        <v>269</v>
      </c>
      <c r="B149" s="58">
        <f>SUM(G150:G151)</f>
        <v>0</v>
      </c>
      <c r="C149" s="58">
        <f>SUM(H150:H151)</f>
        <v>250</v>
      </c>
      <c r="D149" s="58">
        <f>C149-B149</f>
        <v>250</v>
      </c>
      <c r="I149" s="61"/>
      <c r="J149" s="90"/>
      <c r="K149" s="82"/>
      <c r="L149" s="398"/>
      <c r="M149" s="397"/>
      <c r="N149" s="397"/>
      <c r="O149" s="398"/>
    </row>
    <row r="150" spans="1:15" s="52" customFormat="1" ht="13.5">
      <c r="B150" s="52" t="s">
        <v>63</v>
      </c>
      <c r="G150" s="52">
        <f t="shared" si="4"/>
        <v>0</v>
      </c>
      <c r="H150" s="52">
        <v>150</v>
      </c>
      <c r="I150" s="61">
        <f t="shared" si="5"/>
        <v>150</v>
      </c>
      <c r="J150" s="90">
        <f>Jan!I150+Feb!I150+Mar!I150+Apr!I150</f>
        <v>600</v>
      </c>
      <c r="K150" s="82"/>
      <c r="L150" s="398"/>
      <c r="M150" s="397"/>
      <c r="N150" s="397"/>
      <c r="O150" s="398"/>
    </row>
    <row r="151" spans="1:15" s="52" customFormat="1" ht="13.5">
      <c r="B151" s="52" t="s">
        <v>64</v>
      </c>
      <c r="D151" s="52" t="s">
        <v>270</v>
      </c>
      <c r="G151" s="52">
        <f t="shared" si="4"/>
        <v>0</v>
      </c>
      <c r="H151" s="52">
        <v>100</v>
      </c>
      <c r="I151" s="61">
        <f t="shared" si="5"/>
        <v>100</v>
      </c>
      <c r="J151" s="90">
        <f>Jan!I151+Feb!I151+Mar!I151+Apr!I151</f>
        <v>192.99</v>
      </c>
      <c r="K151" s="87"/>
      <c r="L151" s="398"/>
      <c r="M151" s="397"/>
      <c r="N151" s="397"/>
      <c r="O151" s="398"/>
    </row>
    <row r="152" spans="1:15" s="52" customFormat="1" ht="13.5">
      <c r="I152" s="61"/>
      <c r="J152" s="90"/>
      <c r="K152" s="87"/>
      <c r="L152" s="398"/>
      <c r="M152" s="397"/>
      <c r="N152" s="397"/>
      <c r="O152" s="398"/>
    </row>
    <row r="153" spans="1:15" ht="13.5">
      <c r="A153" s="52"/>
      <c r="B153" s="52"/>
      <c r="C153" s="52"/>
      <c r="D153" s="52"/>
      <c r="E153" s="52"/>
      <c r="F153" s="52"/>
      <c r="G153" s="52"/>
      <c r="H153" s="52"/>
      <c r="I153" s="61"/>
      <c r="J153" s="90"/>
      <c r="L153" s="398"/>
      <c r="M153" s="397"/>
      <c r="N153" s="397"/>
      <c r="O153" s="398"/>
    </row>
    <row r="154" spans="1:15" ht="13.5">
      <c r="A154" s="58" t="s">
        <v>459</v>
      </c>
      <c r="B154" s="52"/>
      <c r="C154" s="52"/>
      <c r="D154" s="52"/>
      <c r="E154" s="52"/>
      <c r="F154" s="52"/>
      <c r="G154" s="52"/>
      <c r="H154" s="52"/>
      <c r="I154" s="61"/>
      <c r="J154" s="90"/>
      <c r="L154" s="398"/>
      <c r="M154" s="397"/>
      <c r="N154" s="397"/>
      <c r="O154" s="398"/>
    </row>
    <row r="155" spans="1:15" ht="13.5">
      <c r="A155" s="52"/>
      <c r="B155" s="52">
        <f>SUM(G156:G170)</f>
        <v>0</v>
      </c>
      <c r="C155" s="52">
        <f>SUM(H156:H170)</f>
        <v>610</v>
      </c>
      <c r="D155" s="58">
        <f>C155-B155</f>
        <v>610</v>
      </c>
      <c r="E155" s="52"/>
      <c r="F155" s="52"/>
      <c r="G155" s="52"/>
      <c r="H155" s="52"/>
      <c r="I155" s="61"/>
      <c r="J155" s="90"/>
      <c r="L155" s="398"/>
      <c r="M155" s="397"/>
      <c r="N155" s="397"/>
      <c r="O155" s="398"/>
    </row>
    <row r="156" spans="1:15" ht="13.5">
      <c r="A156" s="58" t="s">
        <v>461</v>
      </c>
      <c r="B156" s="52"/>
      <c r="C156" s="52"/>
      <c r="D156" s="52"/>
      <c r="E156" s="52"/>
      <c r="F156" s="52"/>
      <c r="G156" s="52"/>
      <c r="H156" s="52"/>
      <c r="I156" s="61"/>
      <c r="J156" s="90"/>
      <c r="L156" s="398"/>
      <c r="M156" s="397"/>
      <c r="N156" s="397"/>
      <c r="O156" s="398"/>
    </row>
    <row r="157" spans="1:15" ht="14.25" thickBot="1">
      <c r="A157" s="52"/>
      <c r="B157" s="52" t="s">
        <v>267</v>
      </c>
      <c r="C157" s="52"/>
      <c r="D157" s="52"/>
      <c r="E157" s="52"/>
      <c r="F157" s="52"/>
      <c r="G157" s="52">
        <f t="shared" si="4"/>
        <v>0</v>
      </c>
      <c r="H157" s="52">
        <v>100</v>
      </c>
      <c r="I157" s="61">
        <f t="shared" ref="I157:I170" si="6">H157-G157</f>
        <v>100</v>
      </c>
      <c r="J157" s="90">
        <f>Jan!I157+Feb!I157+Mar!I157+Apr!I157</f>
        <v>400</v>
      </c>
      <c r="L157" s="398"/>
      <c r="M157" s="397"/>
      <c r="N157" s="397"/>
      <c r="O157" s="398"/>
    </row>
    <row r="158" spans="1:15" ht="14.25" thickBot="1">
      <c r="A158" s="88">
        <f>SUM(G157:G161)</f>
        <v>0</v>
      </c>
      <c r="B158" s="52" t="s">
        <v>268</v>
      </c>
      <c r="C158" s="52"/>
      <c r="D158" s="52"/>
      <c r="E158" s="52"/>
      <c r="F158" s="52"/>
      <c r="G158" s="52">
        <f t="shared" si="4"/>
        <v>0</v>
      </c>
      <c r="H158" s="52">
        <v>100</v>
      </c>
      <c r="I158" s="61">
        <f t="shared" si="6"/>
        <v>100</v>
      </c>
      <c r="J158" s="90">
        <f>Jan!I158+Feb!I158+Mar!I158+Apr!I158</f>
        <v>400</v>
      </c>
      <c r="L158" s="398"/>
      <c r="M158" s="397"/>
      <c r="N158" s="397"/>
      <c r="O158" s="398"/>
    </row>
    <row r="159" spans="1:15" ht="13.5">
      <c r="A159" s="52"/>
      <c r="B159" s="52" t="s">
        <v>61</v>
      </c>
      <c r="C159" s="52"/>
      <c r="D159" s="52"/>
      <c r="E159" s="52"/>
      <c r="F159" s="52"/>
      <c r="G159" s="52">
        <f t="shared" si="4"/>
        <v>0</v>
      </c>
      <c r="H159" s="52">
        <v>30</v>
      </c>
      <c r="I159" s="61">
        <f t="shared" si="6"/>
        <v>30</v>
      </c>
      <c r="J159" s="90">
        <f>Jan!I159+Feb!I159+Mar!I159+Apr!I159</f>
        <v>120</v>
      </c>
      <c r="L159" s="398"/>
      <c r="M159" s="397"/>
      <c r="N159" s="397"/>
      <c r="O159" s="398"/>
    </row>
    <row r="160" spans="1:15" ht="13.5">
      <c r="A160" s="52"/>
      <c r="B160" s="52" t="s">
        <v>62</v>
      </c>
      <c r="C160" s="52"/>
      <c r="D160" s="52"/>
      <c r="E160" s="52"/>
      <c r="F160" s="52"/>
      <c r="G160" s="52">
        <f t="shared" si="4"/>
        <v>0</v>
      </c>
      <c r="H160" s="52">
        <v>50</v>
      </c>
      <c r="I160" s="61">
        <f t="shared" si="6"/>
        <v>50</v>
      </c>
      <c r="J160" s="90">
        <f>Jan!I160+Feb!I160+Mar!I160+Apr!I160</f>
        <v>125</v>
      </c>
      <c r="L160" s="398"/>
      <c r="M160" s="397"/>
      <c r="N160" s="397"/>
      <c r="O160" s="398"/>
    </row>
    <row r="161" spans="1:15" ht="13.5">
      <c r="A161" s="52"/>
      <c r="B161" s="52" t="s">
        <v>486</v>
      </c>
      <c r="C161" s="52"/>
      <c r="D161" s="52"/>
      <c r="E161" s="52"/>
      <c r="F161" s="52"/>
      <c r="G161" s="52">
        <f t="shared" si="4"/>
        <v>0</v>
      </c>
      <c r="H161" s="52">
        <v>10</v>
      </c>
      <c r="I161" s="61">
        <f t="shared" si="6"/>
        <v>10</v>
      </c>
      <c r="J161" s="90">
        <f>Jan!I161+Feb!I161+Mar!I161+Apr!I161</f>
        <v>40</v>
      </c>
      <c r="L161" s="398"/>
      <c r="M161" s="397"/>
      <c r="N161" s="397"/>
      <c r="O161" s="398"/>
    </row>
    <row r="162" spans="1:15" ht="13.5">
      <c r="A162" s="52"/>
      <c r="B162" s="52"/>
      <c r="C162" s="52"/>
      <c r="D162" s="52"/>
      <c r="E162" s="52"/>
      <c r="F162" s="52"/>
      <c r="G162" s="52"/>
      <c r="H162" s="52"/>
      <c r="I162" s="61"/>
      <c r="J162" s="90"/>
      <c r="L162" s="398"/>
      <c r="M162" s="397"/>
      <c r="N162" s="397"/>
      <c r="O162" s="398"/>
    </row>
    <row r="163" spans="1:15" ht="13.5">
      <c r="A163" s="58" t="s">
        <v>460</v>
      </c>
      <c r="B163" s="52"/>
      <c r="C163" s="52"/>
      <c r="D163" s="52"/>
      <c r="E163" s="52"/>
      <c r="F163" s="52"/>
      <c r="G163" s="52"/>
      <c r="H163" s="52"/>
      <c r="I163" s="61"/>
      <c r="J163" s="90"/>
      <c r="L163" s="398"/>
      <c r="M163" s="397"/>
      <c r="N163" s="397"/>
      <c r="O163" s="398"/>
    </row>
    <row r="164" spans="1:15" ht="14.25" thickBot="1">
      <c r="A164" s="52"/>
      <c r="B164" s="52" t="s">
        <v>456</v>
      </c>
      <c r="C164" s="52"/>
      <c r="D164" s="52"/>
      <c r="E164" s="52"/>
      <c r="F164" s="52"/>
      <c r="G164" s="52">
        <f t="shared" si="4"/>
        <v>0</v>
      </c>
      <c r="H164" s="52">
        <v>30</v>
      </c>
      <c r="I164" s="61">
        <f t="shared" si="6"/>
        <v>30</v>
      </c>
      <c r="J164" s="90">
        <f>Jan!I164+Feb!I164+Mar!I164+Apr!I164</f>
        <v>86.83</v>
      </c>
      <c r="L164" s="398"/>
      <c r="M164" s="397"/>
      <c r="N164" s="397"/>
      <c r="O164" s="398"/>
    </row>
    <row r="165" spans="1:15" ht="14.25" thickBot="1">
      <c r="A165" s="88">
        <f>SUM(G164:G168)</f>
        <v>0</v>
      </c>
      <c r="B165" s="52" t="s">
        <v>457</v>
      </c>
      <c r="C165" s="52"/>
      <c r="D165" s="52"/>
      <c r="E165" s="52"/>
      <c r="F165" s="52"/>
      <c r="G165" s="52">
        <f t="shared" si="4"/>
        <v>0</v>
      </c>
      <c r="H165" s="52">
        <v>30</v>
      </c>
      <c r="I165" s="61">
        <f t="shared" si="6"/>
        <v>30</v>
      </c>
      <c r="J165" s="90">
        <f>Jan!I165+Feb!I165+Mar!I165+Apr!I165</f>
        <v>110</v>
      </c>
      <c r="L165" s="398"/>
      <c r="M165" s="397"/>
      <c r="N165" s="397"/>
      <c r="O165" s="398"/>
    </row>
    <row r="166" spans="1:15" ht="13.5">
      <c r="A166" s="52"/>
      <c r="B166" s="52" t="s">
        <v>462</v>
      </c>
      <c r="C166" s="52"/>
      <c r="D166" s="52"/>
      <c r="E166" s="52"/>
      <c r="F166" s="52"/>
      <c r="G166" s="52">
        <f t="shared" si="4"/>
        <v>0</v>
      </c>
      <c r="H166" s="52">
        <v>30</v>
      </c>
      <c r="I166" s="61">
        <f t="shared" si="6"/>
        <v>30</v>
      </c>
      <c r="J166" s="90">
        <f>Jan!I166+Feb!I166+Mar!I166+Apr!I166</f>
        <v>120</v>
      </c>
      <c r="L166" s="398"/>
      <c r="M166" s="397"/>
      <c r="N166" s="397"/>
      <c r="O166" s="398"/>
    </row>
    <row r="167" spans="1:15" ht="13.5">
      <c r="A167" s="52"/>
      <c r="B167" s="52" t="s">
        <v>458</v>
      </c>
      <c r="C167" s="52"/>
      <c r="D167" s="52"/>
      <c r="E167" s="52"/>
      <c r="F167" s="52"/>
      <c r="G167" s="52">
        <f t="shared" si="4"/>
        <v>0</v>
      </c>
      <c r="H167" s="52">
        <v>30</v>
      </c>
      <c r="I167" s="61">
        <f t="shared" si="6"/>
        <v>30</v>
      </c>
      <c r="J167" s="90">
        <f>Jan!I167+Feb!I167+Mar!I167+Apr!I167</f>
        <v>120</v>
      </c>
      <c r="L167" s="398"/>
      <c r="M167" s="397"/>
      <c r="N167" s="397"/>
      <c r="O167" s="398"/>
    </row>
    <row r="168" spans="1:15" ht="13.5">
      <c r="A168" s="52"/>
      <c r="B168" s="52" t="s">
        <v>485</v>
      </c>
      <c r="C168" s="52"/>
      <c r="D168" s="52"/>
      <c r="E168" s="52"/>
      <c r="F168" s="52"/>
      <c r="G168" s="52">
        <f t="shared" si="4"/>
        <v>0</v>
      </c>
      <c r="H168" s="52">
        <v>100</v>
      </c>
      <c r="I168" s="61">
        <f t="shared" si="6"/>
        <v>100</v>
      </c>
      <c r="J168" s="90">
        <f>Jan!I168+Feb!I168+Mar!I168+Apr!I168</f>
        <v>400</v>
      </c>
      <c r="L168" s="398"/>
      <c r="M168" s="397"/>
      <c r="N168" s="397"/>
      <c r="O168" s="398"/>
    </row>
    <row r="169" spans="1:15" ht="13.5">
      <c r="A169" s="52"/>
      <c r="B169" s="52"/>
      <c r="C169" s="52"/>
      <c r="D169" s="52"/>
      <c r="E169" s="52"/>
      <c r="F169" s="52"/>
      <c r="G169" s="52"/>
      <c r="H169" s="52"/>
      <c r="I169" s="61"/>
      <c r="J169" s="90"/>
      <c r="L169" s="398"/>
      <c r="M169" s="397"/>
      <c r="N169" s="397"/>
      <c r="O169" s="398"/>
    </row>
    <row r="170" spans="1:15" ht="13.5">
      <c r="A170" s="58" t="s">
        <v>272</v>
      </c>
      <c r="B170" s="52"/>
      <c r="C170" s="52"/>
      <c r="D170" s="52"/>
      <c r="E170" s="52"/>
      <c r="F170" s="52"/>
      <c r="G170" s="52">
        <f t="shared" si="4"/>
        <v>0</v>
      </c>
      <c r="H170" s="52">
        <v>100</v>
      </c>
      <c r="I170" s="61">
        <f t="shared" si="6"/>
        <v>100</v>
      </c>
      <c r="J170" s="90">
        <f>Jan!I170+Feb!I170+Mar!I170+Apr!I170</f>
        <v>400</v>
      </c>
      <c r="L170" s="398"/>
      <c r="M170" s="397"/>
      <c r="N170" s="397"/>
      <c r="O170" s="398"/>
    </row>
  </sheetData>
  <sheetProtection selectLockedCells="1" selectUnlockedCells="1"/>
  <pageMargins left="0.75" right="0.75" top="1" bottom="1" header="0.51180555555555551" footer="0.51180555555555551"/>
  <pageSetup firstPageNumber="0" orientation="portrait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0"/>
  <sheetViews>
    <sheetView topLeftCell="A90" zoomScale="86" zoomScaleNormal="86" workbookViewId="0">
      <selection activeCell="Q123" sqref="Q123"/>
    </sheetView>
  </sheetViews>
  <sheetFormatPr defaultColWidth="9" defaultRowHeight="14.25"/>
  <cols>
    <col min="1" max="1" width="24.42578125" style="144" customWidth="1"/>
    <col min="2" max="2" width="18" style="144" customWidth="1"/>
    <col min="3" max="3" width="17.140625" style="144" customWidth="1"/>
    <col min="4" max="5" width="16.5703125" style="144" customWidth="1"/>
    <col min="6" max="6" width="15.28515625" style="144" customWidth="1"/>
    <col min="7" max="7" width="13.5703125" style="144" customWidth="1"/>
    <col min="8" max="8" width="13.85546875" style="144" customWidth="1"/>
    <col min="9" max="10" width="14" style="144" customWidth="1"/>
    <col min="11" max="11" width="2.28515625" style="145" customWidth="1"/>
    <col min="12" max="12" width="11.5703125" style="144" customWidth="1"/>
    <col min="13" max="13" width="11.85546875" style="144" customWidth="1"/>
    <col min="14" max="15" width="11.5703125" style="144" customWidth="1"/>
    <col min="16" max="16" width="1.7109375" style="144" customWidth="1"/>
    <col min="17" max="17" width="11.7109375" style="144" customWidth="1"/>
    <col min="18" max="18" width="11.5703125" style="144" customWidth="1"/>
    <col min="19" max="16384" width="9" style="144"/>
  </cols>
  <sheetData>
    <row r="1" spans="1:16">
      <c r="A1" s="142" t="s">
        <v>182</v>
      </c>
      <c r="B1" s="143">
        <v>2015</v>
      </c>
      <c r="C1" s="143"/>
      <c r="L1" s="73" t="s">
        <v>492</v>
      </c>
      <c r="M1" s="65"/>
    </row>
    <row r="2" spans="1:16">
      <c r="A2" s="142" t="s">
        <v>171</v>
      </c>
      <c r="B2" s="142" t="s">
        <v>10</v>
      </c>
      <c r="C2" s="142"/>
      <c r="L2" s="65"/>
      <c r="M2" s="73" t="s">
        <v>1032</v>
      </c>
    </row>
    <row r="3" spans="1:16">
      <c r="L3" s="65"/>
      <c r="M3" s="73"/>
      <c r="O3" s="146"/>
    </row>
    <row r="4" spans="1:16" ht="15.75">
      <c r="A4" s="71" t="s">
        <v>4</v>
      </c>
      <c r="B4" s="76">
        <f>SUM(G5:G8)</f>
        <v>9440.36</v>
      </c>
      <c r="C4" s="76"/>
      <c r="D4" s="65"/>
      <c r="E4" s="65"/>
      <c r="F4" s="93"/>
      <c r="G4" s="65" t="s">
        <v>31</v>
      </c>
      <c r="H4" s="65"/>
      <c r="I4" s="65"/>
      <c r="L4" s="77"/>
      <c r="M4" s="65"/>
      <c r="O4" s="146"/>
    </row>
    <row r="5" spans="1:16">
      <c r="A5" s="65" t="s">
        <v>24</v>
      </c>
      <c r="B5" s="121">
        <v>802.2</v>
      </c>
      <c r="C5" s="121"/>
      <c r="D5" s="121"/>
      <c r="E5" s="65"/>
      <c r="F5" s="93"/>
      <c r="G5" s="121">
        <f>SUM(B5:E5)</f>
        <v>802.2</v>
      </c>
      <c r="H5" s="77" t="s">
        <v>1067</v>
      </c>
      <c r="I5" s="77"/>
      <c r="J5" s="147"/>
      <c r="K5" s="148"/>
      <c r="L5" s="77"/>
      <c r="M5" s="65"/>
      <c r="O5" s="146"/>
    </row>
    <row r="6" spans="1:16">
      <c r="A6" s="65" t="s">
        <v>230</v>
      </c>
      <c r="B6" s="65"/>
      <c r="C6" s="75"/>
      <c r="D6" s="65"/>
      <c r="E6" s="65"/>
      <c r="F6" s="93"/>
      <c r="G6" s="121">
        <f>SUM(B6:F6)</f>
        <v>0</v>
      </c>
      <c r="H6" s="77"/>
      <c r="I6" s="77"/>
      <c r="J6" s="147"/>
      <c r="K6" s="148"/>
      <c r="L6" s="77"/>
      <c r="M6" s="65"/>
      <c r="O6" s="146"/>
    </row>
    <row r="7" spans="1:16">
      <c r="A7" s="65" t="s">
        <v>964</v>
      </c>
      <c r="B7" s="65">
        <v>4398.78</v>
      </c>
      <c r="C7" s="65">
        <v>4239.38</v>
      </c>
      <c r="D7" s="65"/>
      <c r="E7" s="65"/>
      <c r="F7" s="93"/>
      <c r="G7" s="121">
        <f>SUM(B7:E7)</f>
        <v>8638.16</v>
      </c>
      <c r="H7" s="77" t="s">
        <v>1103</v>
      </c>
      <c r="I7" s="77">
        <v>6679.56</v>
      </c>
      <c r="J7" s="147">
        <f>G7-I7</f>
        <v>1958.5999999999995</v>
      </c>
      <c r="K7" s="148"/>
      <c r="L7" s="77"/>
      <c r="M7" s="65" t="s">
        <v>1024</v>
      </c>
      <c r="O7" s="146"/>
    </row>
    <row r="8" spans="1:16" ht="15.75">
      <c r="A8" s="74"/>
      <c r="B8" s="65"/>
      <c r="C8" s="65"/>
      <c r="D8" s="65"/>
      <c r="E8" s="65"/>
      <c r="F8" s="93"/>
      <c r="G8" s="121"/>
      <c r="H8" s="77"/>
      <c r="I8" s="77"/>
      <c r="J8" s="147"/>
      <c r="K8" s="148"/>
      <c r="L8" s="65"/>
      <c r="P8" s="146"/>
    </row>
    <row r="9" spans="1:16">
      <c r="A9" s="58"/>
      <c r="B9" s="62"/>
      <c r="C9" s="52"/>
      <c r="D9" s="52"/>
      <c r="E9" s="52"/>
      <c r="F9" s="261"/>
      <c r="G9" s="55"/>
      <c r="H9" s="52"/>
      <c r="I9" s="61" t="s">
        <v>34</v>
      </c>
      <c r="J9" s="149" t="s">
        <v>280</v>
      </c>
      <c r="L9" s="65"/>
      <c r="M9" s="52"/>
    </row>
    <row r="10" spans="1:16">
      <c r="A10" s="58"/>
      <c r="B10" s="62"/>
      <c r="C10" s="52"/>
      <c r="D10" s="52"/>
      <c r="E10" s="52"/>
      <c r="F10" s="261"/>
      <c r="G10" s="55" t="s">
        <v>234</v>
      </c>
      <c r="H10" s="52" t="s">
        <v>38</v>
      </c>
      <c r="I10" s="63" t="s">
        <v>37</v>
      </c>
      <c r="J10" s="151" t="s">
        <v>37</v>
      </c>
      <c r="K10" s="150"/>
      <c r="L10" s="52"/>
      <c r="M10" s="52"/>
    </row>
    <row r="11" spans="1:16">
      <c r="A11" s="58" t="s">
        <v>275</v>
      </c>
      <c r="B11" s="262">
        <f>G11</f>
        <v>350</v>
      </c>
      <c r="C11" s="52"/>
      <c r="D11" s="52" t="s">
        <v>277</v>
      </c>
      <c r="E11" s="52">
        <f>G11/B4</f>
        <v>3.7074857314763419E-2</v>
      </c>
      <c r="F11" s="261"/>
      <c r="G11" s="53">
        <f>Tithe!D10</f>
        <v>350</v>
      </c>
      <c r="H11" s="52">
        <v>1200</v>
      </c>
      <c r="I11" s="64">
        <f>H11-G11</f>
        <v>850</v>
      </c>
      <c r="J11" s="153">
        <f>Jan!I11+Feb!I11+Mar!I11+Apr!I11+May!I11</f>
        <v>2550</v>
      </c>
      <c r="K11" s="152"/>
      <c r="L11" s="52"/>
      <c r="M11" s="52"/>
    </row>
    <row r="12" spans="1:16">
      <c r="A12" s="52"/>
      <c r="B12" s="52"/>
      <c r="C12" s="52"/>
      <c r="D12" s="52"/>
      <c r="E12" s="52"/>
      <c r="F12" s="52"/>
      <c r="G12" s="52"/>
      <c r="H12" s="52"/>
      <c r="I12" s="64"/>
      <c r="J12" s="153"/>
      <c r="K12" s="154"/>
      <c r="L12" s="269" t="s">
        <v>493</v>
      </c>
      <c r="M12" s="52"/>
    </row>
    <row r="13" spans="1:16">
      <c r="A13" s="58" t="s">
        <v>465</v>
      </c>
      <c r="B13" s="262">
        <f>SUM(G14:G20)</f>
        <v>0</v>
      </c>
      <c r="C13" s="52"/>
      <c r="D13" s="52"/>
      <c r="E13" s="52"/>
      <c r="F13" s="261"/>
      <c r="G13" s="55"/>
      <c r="H13" s="52"/>
      <c r="I13" s="64"/>
      <c r="J13" s="153"/>
      <c r="K13" s="154"/>
      <c r="L13" s="52" t="s">
        <v>692</v>
      </c>
      <c r="M13" s="52"/>
    </row>
    <row r="14" spans="1:16">
      <c r="A14" s="52"/>
      <c r="B14" s="58" t="s">
        <v>385</v>
      </c>
      <c r="C14" s="52"/>
      <c r="D14" s="52"/>
      <c r="E14" s="52" t="s">
        <v>466</v>
      </c>
      <c r="F14" s="261"/>
      <c r="G14" s="53"/>
      <c r="H14" s="52">
        <v>800</v>
      </c>
      <c r="I14" s="64">
        <f t="shared" ref="I14:I20" si="0">H14-G14</f>
        <v>800</v>
      </c>
      <c r="J14" s="153">
        <f>Jan!I14+Feb!I14+Mar!I14+Apr!I14+May!I14</f>
        <v>4000</v>
      </c>
      <c r="K14" s="154"/>
      <c r="L14" s="52" t="s">
        <v>693</v>
      </c>
      <c r="M14" s="52"/>
    </row>
    <row r="15" spans="1:16">
      <c r="A15" s="52"/>
      <c r="B15" s="58" t="s">
        <v>261</v>
      </c>
      <c r="C15" s="52"/>
      <c r="D15" s="52"/>
      <c r="E15" s="52" t="s">
        <v>466</v>
      </c>
      <c r="F15" s="261"/>
      <c r="G15" s="53"/>
      <c r="H15" s="52">
        <v>200</v>
      </c>
      <c r="I15" s="64">
        <f t="shared" si="0"/>
        <v>200</v>
      </c>
      <c r="J15" s="153">
        <f>Jan!I15+Feb!I15+Mar!I15+Apr!I15+May!I15</f>
        <v>1000</v>
      </c>
      <c r="K15" s="154"/>
      <c r="L15" s="52"/>
      <c r="M15" s="52"/>
    </row>
    <row r="16" spans="1:16">
      <c r="A16" s="52"/>
      <c r="B16" s="58" t="s">
        <v>292</v>
      </c>
      <c r="C16" s="52"/>
      <c r="D16" s="52"/>
      <c r="E16" s="52" t="s">
        <v>466</v>
      </c>
      <c r="F16" s="261"/>
      <c r="G16" s="53"/>
      <c r="H16" s="52">
        <v>300</v>
      </c>
      <c r="I16" s="64">
        <f t="shared" si="0"/>
        <v>300</v>
      </c>
      <c r="J16" s="153">
        <f>Jan!I16+Feb!I16+Mar!I16+Apr!I16+May!I16</f>
        <v>1500</v>
      </c>
      <c r="K16" s="154"/>
      <c r="L16" s="52"/>
      <c r="M16" s="52"/>
    </row>
    <row r="17" spans="1:13">
      <c r="A17" s="52"/>
      <c r="B17" s="58" t="s">
        <v>464</v>
      </c>
      <c r="C17" s="52"/>
      <c r="D17" s="52"/>
      <c r="E17" s="52" t="s">
        <v>466</v>
      </c>
      <c r="F17" s="261"/>
      <c r="G17" s="53"/>
      <c r="H17" s="52">
        <v>200</v>
      </c>
      <c r="I17" s="64">
        <f t="shared" si="0"/>
        <v>200</v>
      </c>
      <c r="J17" s="153">
        <f>Jan!I17+Feb!I17+Mar!I17+Apr!I17+May!I17</f>
        <v>1000</v>
      </c>
      <c r="K17" s="154"/>
      <c r="L17" s="52"/>
      <c r="M17" s="52"/>
    </row>
    <row r="18" spans="1:13" ht="15.95" customHeight="1">
      <c r="A18" s="52"/>
      <c r="B18" s="58" t="s">
        <v>263</v>
      </c>
      <c r="C18" s="52"/>
      <c r="D18" s="52"/>
      <c r="E18" s="52" t="s">
        <v>467</v>
      </c>
      <c r="F18" s="261"/>
      <c r="G18" s="53"/>
      <c r="H18" s="52">
        <v>50</v>
      </c>
      <c r="I18" s="64">
        <f t="shared" si="0"/>
        <v>50</v>
      </c>
      <c r="J18" s="153">
        <f>Jan!I18+Feb!I18+Mar!I18+Apr!I18+May!I18</f>
        <v>250</v>
      </c>
      <c r="K18" s="154"/>
      <c r="L18" s="52"/>
      <c r="M18" s="52"/>
    </row>
    <row r="19" spans="1:13" ht="15.95" customHeight="1">
      <c r="A19" s="52"/>
      <c r="B19" s="58" t="s">
        <v>262</v>
      </c>
      <c r="C19" s="52"/>
      <c r="D19" s="52"/>
      <c r="E19" s="52" t="s">
        <v>467</v>
      </c>
      <c r="F19" s="261"/>
      <c r="G19" s="53"/>
      <c r="H19" s="52">
        <v>200</v>
      </c>
      <c r="I19" s="64">
        <f t="shared" si="0"/>
        <v>200</v>
      </c>
      <c r="J19" s="153">
        <f>Jan!I19+Feb!I19+Mar!I19+Apr!I19+May!I19</f>
        <v>1000</v>
      </c>
      <c r="K19" s="154"/>
      <c r="L19" s="52"/>
      <c r="M19" s="52"/>
    </row>
    <row r="20" spans="1:13" ht="15.95" customHeight="1">
      <c r="A20" s="52"/>
      <c r="B20" s="58" t="s">
        <v>293</v>
      </c>
      <c r="C20" s="52"/>
      <c r="D20" s="52"/>
      <c r="E20" s="52" t="s">
        <v>467</v>
      </c>
      <c r="F20" s="52"/>
      <c r="G20" s="53"/>
      <c r="H20" s="52">
        <v>300</v>
      </c>
      <c r="I20" s="64">
        <f t="shared" si="0"/>
        <v>300</v>
      </c>
      <c r="J20" s="153">
        <f>Jan!I20+Feb!I20+Mar!I20+Apr!I20+May!I20</f>
        <v>1500</v>
      </c>
      <c r="K20" s="154"/>
      <c r="L20" s="52"/>
      <c r="M20" s="52"/>
    </row>
    <row r="21" spans="1:13" ht="15.95" customHeight="1">
      <c r="A21" s="58"/>
      <c r="B21" s="52"/>
      <c r="C21" s="52"/>
      <c r="D21" s="52"/>
      <c r="E21" s="52"/>
      <c r="F21" s="261"/>
      <c r="G21" s="53"/>
      <c r="H21" s="52"/>
      <c r="I21" s="64"/>
      <c r="J21" s="153"/>
      <c r="K21" s="154"/>
      <c r="L21" s="58" t="s">
        <v>494</v>
      </c>
      <c r="M21" s="52"/>
    </row>
    <row r="22" spans="1:13" ht="15.95" customHeight="1">
      <c r="A22" s="58" t="s">
        <v>278</v>
      </c>
      <c r="B22" s="263">
        <f>G22</f>
        <v>0</v>
      </c>
      <c r="C22" s="52"/>
      <c r="D22" s="52"/>
      <c r="E22" s="52"/>
      <c r="F22" s="261"/>
      <c r="G22" s="53"/>
      <c r="H22" s="52">
        <v>700</v>
      </c>
      <c r="I22" s="64">
        <f>H22-G22</f>
        <v>700</v>
      </c>
      <c r="J22" s="153">
        <f>Jan!I22+Feb!I22+Mar!I22+Apr!I22+May!I22</f>
        <v>3500</v>
      </c>
      <c r="K22" s="154"/>
      <c r="L22" s="52"/>
      <c r="M22" s="52"/>
    </row>
    <row r="23" spans="1:13" ht="15.95" customHeight="1">
      <c r="A23" s="58" t="s">
        <v>416</v>
      </c>
      <c r="B23" s="62" t="s">
        <v>415</v>
      </c>
      <c r="C23" s="52"/>
      <c r="D23" s="52"/>
      <c r="E23" s="52" t="s">
        <v>467</v>
      </c>
      <c r="F23" s="261"/>
      <c r="G23" s="53"/>
      <c r="H23" s="52"/>
      <c r="I23" s="64"/>
      <c r="J23" s="153"/>
      <c r="K23" s="154"/>
      <c r="L23" s="52"/>
      <c r="M23" s="52"/>
    </row>
    <row r="24" spans="1:13" ht="15.95" customHeight="1">
      <c r="A24" s="58" t="s">
        <v>279</v>
      </c>
      <c r="B24" s="262">
        <f>SUM(G25:G26)</f>
        <v>0</v>
      </c>
      <c r="C24" s="52"/>
      <c r="D24" s="52"/>
      <c r="E24" s="52"/>
      <c r="F24" s="261"/>
      <c r="G24" s="53"/>
      <c r="H24" s="52"/>
      <c r="I24" s="64"/>
      <c r="J24" s="153"/>
      <c r="K24" s="154"/>
      <c r="L24" s="52"/>
      <c r="M24" s="52"/>
    </row>
    <row r="25" spans="1:13" ht="15.95" customHeight="1">
      <c r="A25" s="52"/>
      <c r="B25" s="58" t="s">
        <v>691</v>
      </c>
      <c r="C25" s="52"/>
      <c r="D25" s="52"/>
      <c r="E25" s="52" t="s">
        <v>467</v>
      </c>
      <c r="F25" s="261"/>
      <c r="G25" s="53">
        <v>0</v>
      </c>
      <c r="H25" s="52">
        <v>500</v>
      </c>
      <c r="I25" s="64">
        <f>H25-G25</f>
        <v>500</v>
      </c>
      <c r="J25" s="153">
        <f>Jan!I25+Feb!I25+Mar!I25+Apr!I25+May!I25</f>
        <v>2500</v>
      </c>
      <c r="K25" s="154"/>
      <c r="L25" s="52"/>
      <c r="M25" s="52"/>
    </row>
    <row r="26" spans="1:13" ht="12.75" customHeight="1">
      <c r="A26" s="52"/>
      <c r="B26" s="58" t="s">
        <v>265</v>
      </c>
      <c r="C26" s="52"/>
      <c r="D26" s="52"/>
      <c r="E26" s="52" t="s">
        <v>466</v>
      </c>
      <c r="F26" s="261"/>
      <c r="G26" s="53">
        <v>0</v>
      </c>
      <c r="H26" s="52">
        <v>300</v>
      </c>
      <c r="I26" s="64">
        <f>H26-G26</f>
        <v>300</v>
      </c>
      <c r="J26" s="155">
        <f>Jan!I26+Feb!I26+Mar!I26+Apr!I26+May!I26</f>
        <v>1500</v>
      </c>
      <c r="K26" s="154"/>
      <c r="L26" s="52"/>
      <c r="M26" s="52"/>
    </row>
    <row r="27" spans="1:13" ht="12.75" customHeight="1">
      <c r="A27" s="58"/>
      <c r="B27" s="52"/>
      <c r="C27" s="52"/>
      <c r="D27" s="52"/>
      <c r="E27" s="52"/>
      <c r="F27" s="261"/>
      <c r="G27" s="66"/>
      <c r="H27" s="66"/>
      <c r="I27" s="68"/>
      <c r="J27" s="156"/>
      <c r="K27" s="156"/>
      <c r="L27" s="52"/>
      <c r="M27" s="52"/>
    </row>
    <row r="28" spans="1:13" ht="12.75" customHeight="1" thickBot="1">
      <c r="A28" s="58"/>
      <c r="B28" s="58"/>
      <c r="C28" s="52"/>
      <c r="D28" s="52"/>
      <c r="E28" s="52"/>
      <c r="F28" s="261"/>
      <c r="G28" s="67">
        <f>SUM(G14:G26)</f>
        <v>0</v>
      </c>
      <c r="H28" s="67">
        <f>SUM(H11:H26)</f>
        <v>4750</v>
      </c>
      <c r="I28" s="67">
        <f>SUM(I11:I26)</f>
        <v>4400</v>
      </c>
      <c r="J28" s="157">
        <f>SUM(J11:J26)</f>
        <v>20300</v>
      </c>
      <c r="K28" s="158"/>
      <c r="L28" s="52"/>
      <c r="M28" s="52"/>
    </row>
    <row r="29" spans="1:13" ht="12.75" customHeight="1" thickTop="1" thickBot="1">
      <c r="A29" s="52"/>
      <c r="B29" s="52"/>
      <c r="C29" s="52"/>
      <c r="D29" s="52"/>
      <c r="E29" s="52"/>
      <c r="F29" s="52"/>
      <c r="G29" s="52"/>
      <c r="H29" s="56"/>
      <c r="I29" s="56"/>
      <c r="J29" s="159"/>
      <c r="K29" s="158"/>
      <c r="L29" s="58" t="s">
        <v>495</v>
      </c>
      <c r="M29" s="52"/>
    </row>
    <row r="30" spans="1:13" ht="12.75" customHeight="1" thickBot="1">
      <c r="A30" s="58" t="s">
        <v>283</v>
      </c>
      <c r="B30" s="58"/>
      <c r="C30" s="52"/>
      <c r="D30" s="52"/>
      <c r="E30" s="52"/>
      <c r="F30" s="261"/>
      <c r="G30" s="88">
        <v>1331</v>
      </c>
      <c r="H30" s="56" t="s">
        <v>1050</v>
      </c>
      <c r="I30" s="56"/>
      <c r="J30" s="159"/>
      <c r="K30" s="158"/>
      <c r="L30" s="144" t="s">
        <v>1051</v>
      </c>
    </row>
    <row r="31" spans="1:13" ht="12.75" customHeight="1">
      <c r="A31" s="99" t="s">
        <v>276</v>
      </c>
      <c r="B31" s="58"/>
      <c r="C31" s="52"/>
      <c r="D31" s="52"/>
      <c r="E31" s="52"/>
      <c r="F31" s="261"/>
      <c r="G31" s="266">
        <f>B4-G11-G28+G30</f>
        <v>10421.36</v>
      </c>
      <c r="H31" s="56"/>
      <c r="I31" s="56"/>
      <c r="J31" s="159"/>
      <c r="K31" s="158"/>
      <c r="L31" s="159"/>
    </row>
    <row r="32" spans="1:13" ht="12.75" customHeight="1">
      <c r="A32" s="52" t="s">
        <v>478</v>
      </c>
      <c r="B32" s="99"/>
      <c r="C32" s="54"/>
      <c r="D32" s="54"/>
      <c r="E32" s="54"/>
      <c r="F32" s="265"/>
      <c r="G32" s="267">
        <f>G46</f>
        <v>9338.5099999999984</v>
      </c>
      <c r="H32" s="56"/>
      <c r="I32" s="56"/>
      <c r="J32" s="159"/>
      <c r="K32" s="158"/>
      <c r="L32" s="159"/>
    </row>
    <row r="33" spans="1:18" ht="12.75" customHeight="1">
      <c r="A33" s="58" t="s">
        <v>558</v>
      </c>
      <c r="B33" s="58"/>
      <c r="C33" s="52"/>
      <c r="D33" s="52"/>
      <c r="E33" s="52"/>
      <c r="F33" s="261"/>
      <c r="G33" s="78">
        <f>G31-G32-M42-N42</f>
        <v>1268.3800000000022</v>
      </c>
      <c r="H33" s="56"/>
      <c r="I33" s="56"/>
      <c r="J33" s="159"/>
      <c r="K33" s="158"/>
      <c r="L33" s="159"/>
    </row>
    <row r="34" spans="1:18" ht="12.75" customHeight="1">
      <c r="A34" s="52"/>
      <c r="B34" s="52"/>
      <c r="C34" s="52"/>
      <c r="D34" s="52"/>
      <c r="E34" s="52"/>
      <c r="F34" s="52"/>
      <c r="G34" s="52"/>
      <c r="H34" s="56"/>
      <c r="I34" s="56"/>
      <c r="J34" s="159"/>
      <c r="K34" s="158"/>
      <c r="L34" s="159"/>
    </row>
    <row r="35" spans="1:18" ht="12.75" customHeight="1">
      <c r="A35" s="58" t="s">
        <v>469</v>
      </c>
      <c r="B35" s="58"/>
      <c r="C35" s="52"/>
      <c r="D35" s="52"/>
      <c r="E35" s="52">
        <f>B47</f>
        <v>1052.1300000000003</v>
      </c>
      <c r="F35" s="261"/>
      <c r="G35" s="128"/>
      <c r="H35" s="56"/>
      <c r="I35" s="56"/>
      <c r="J35" s="159"/>
      <c r="K35" s="158"/>
      <c r="L35" s="159"/>
    </row>
    <row r="36" spans="1:18" ht="12.75" customHeight="1">
      <c r="A36" s="58" t="s">
        <v>433</v>
      </c>
      <c r="B36" s="58"/>
      <c r="C36" s="52"/>
      <c r="D36" s="52"/>
      <c r="E36" s="52">
        <f>B76</f>
        <v>8286.3799999999974</v>
      </c>
      <c r="F36" s="261"/>
      <c r="G36" s="78"/>
      <c r="H36" s="56"/>
      <c r="I36" s="56"/>
      <c r="J36" s="159"/>
      <c r="K36" s="158"/>
      <c r="L36" s="159"/>
    </row>
    <row r="37" spans="1:18">
      <c r="A37" s="58"/>
      <c r="B37" s="58" t="s">
        <v>470</v>
      </c>
      <c r="C37" s="52"/>
      <c r="D37" s="52">
        <f>B101+B110</f>
        <v>120</v>
      </c>
      <c r="E37" s="52"/>
      <c r="F37" s="261"/>
      <c r="G37" s="78"/>
      <c r="H37" s="56"/>
      <c r="I37" s="56"/>
      <c r="J37" s="159"/>
      <c r="K37" s="158"/>
      <c r="L37" s="159"/>
    </row>
    <row r="38" spans="1:18" ht="15" thickBot="1">
      <c r="A38" s="58"/>
      <c r="B38" s="58" t="s">
        <v>471</v>
      </c>
      <c r="C38" s="52"/>
      <c r="D38" s="52">
        <f>B90</f>
        <v>107.13</v>
      </c>
      <c r="E38" s="52"/>
      <c r="F38" s="261"/>
      <c r="G38" s="78"/>
      <c r="H38" s="56"/>
      <c r="I38" s="56"/>
      <c r="J38" s="159"/>
      <c r="K38" s="158"/>
      <c r="L38" s="159"/>
    </row>
    <row r="39" spans="1:18" ht="15" thickBot="1">
      <c r="A39" s="58"/>
      <c r="B39" s="58" t="s">
        <v>472</v>
      </c>
      <c r="C39" s="52"/>
      <c r="D39" s="52">
        <f>B96</f>
        <v>0</v>
      </c>
      <c r="E39" s="52"/>
      <c r="F39" s="261"/>
      <c r="G39" s="89"/>
      <c r="H39" s="56"/>
      <c r="I39" s="56"/>
      <c r="J39" s="159"/>
      <c r="K39" s="158"/>
      <c r="L39" s="159"/>
    </row>
    <row r="40" spans="1:18">
      <c r="A40" s="58"/>
      <c r="B40" s="58" t="s">
        <v>473</v>
      </c>
      <c r="C40" s="52"/>
      <c r="D40" s="52">
        <f>B115</f>
        <v>250.70999999999998</v>
      </c>
      <c r="E40" s="52"/>
      <c r="F40" s="261"/>
      <c r="G40" s="98"/>
      <c r="H40" s="56"/>
      <c r="I40" s="56"/>
      <c r="J40" s="159"/>
      <c r="K40" s="158"/>
      <c r="L40" s="56"/>
      <c r="M40" s="52"/>
      <c r="N40" s="52"/>
      <c r="O40" s="52"/>
    </row>
    <row r="41" spans="1:18">
      <c r="A41" s="99"/>
      <c r="B41" s="58" t="s">
        <v>474</v>
      </c>
      <c r="C41" s="52"/>
      <c r="D41" s="52">
        <f>B120</f>
        <v>1640</v>
      </c>
      <c r="E41" s="52"/>
      <c r="F41" s="261"/>
      <c r="G41" s="98"/>
      <c r="H41" s="56"/>
      <c r="I41" s="56"/>
      <c r="J41" s="159"/>
      <c r="K41" s="158"/>
      <c r="L41" s="56"/>
      <c r="M41" s="52">
        <f>M46+M44+M43+M42</f>
        <v>3551.9799999999991</v>
      </c>
      <c r="N41" s="52">
        <f>N46+N44+N43+N42</f>
        <v>2295.8200000000006</v>
      </c>
      <c r="O41" s="52">
        <f>O46+O44+O43+O42</f>
        <v>-196.18</v>
      </c>
    </row>
    <row r="42" spans="1:18">
      <c r="A42" s="52"/>
      <c r="B42" s="58" t="s">
        <v>475</v>
      </c>
      <c r="C42" s="59"/>
      <c r="D42" s="59">
        <f>B138</f>
        <v>145.91</v>
      </c>
      <c r="E42" s="52"/>
      <c r="F42" s="261"/>
      <c r="G42" s="98"/>
      <c r="H42" s="56"/>
      <c r="I42" s="56"/>
      <c r="J42" s="159"/>
      <c r="K42" s="158"/>
      <c r="L42" s="52" t="s">
        <v>324</v>
      </c>
      <c r="M42" s="52">
        <v>-140.53</v>
      </c>
      <c r="N42" s="52">
        <v>-45</v>
      </c>
      <c r="O42" s="52"/>
    </row>
    <row r="43" spans="1:18">
      <c r="A43" s="52"/>
      <c r="B43" s="58" t="s">
        <v>476</v>
      </c>
      <c r="C43" s="52"/>
      <c r="D43" s="52">
        <f>B125+B141+B146+B149</f>
        <v>994.95999999999992</v>
      </c>
      <c r="E43" s="52"/>
      <c r="F43" s="261"/>
      <c r="G43" s="52"/>
      <c r="H43" s="52"/>
      <c r="I43" s="61"/>
      <c r="J43" s="149" t="s">
        <v>280</v>
      </c>
      <c r="K43" s="150"/>
      <c r="L43" s="52"/>
      <c r="M43" s="52"/>
      <c r="N43" s="52"/>
      <c r="O43" s="52"/>
    </row>
    <row r="44" spans="1:18">
      <c r="A44" s="58" t="s">
        <v>477</v>
      </c>
      <c r="B44" s="52"/>
      <c r="C44" s="52"/>
      <c r="D44" s="52"/>
      <c r="E44" s="52">
        <f>B155</f>
        <v>0</v>
      </c>
      <c r="F44" s="261"/>
      <c r="G44" s="55"/>
      <c r="H44" s="52"/>
      <c r="I44" s="61" t="s">
        <v>34</v>
      </c>
      <c r="J44" s="149" t="s">
        <v>281</v>
      </c>
      <c r="K44" s="150"/>
      <c r="L44" s="52"/>
      <c r="M44" s="52"/>
      <c r="N44" s="52"/>
      <c r="O44" s="52"/>
    </row>
    <row r="45" spans="1:18">
      <c r="A45" s="58"/>
      <c r="B45" s="52"/>
      <c r="C45" s="52"/>
      <c r="D45" s="52"/>
      <c r="E45" s="52"/>
      <c r="F45" s="261"/>
      <c r="G45" s="55" t="s">
        <v>234</v>
      </c>
      <c r="H45" s="52" t="s">
        <v>38</v>
      </c>
      <c r="I45" s="63" t="s">
        <v>37</v>
      </c>
      <c r="J45" s="151" t="s">
        <v>282</v>
      </c>
      <c r="K45" s="152"/>
      <c r="L45" s="391" t="s">
        <v>235</v>
      </c>
      <c r="M45" s="392" t="s">
        <v>497</v>
      </c>
      <c r="N45" s="392" t="s">
        <v>1039</v>
      </c>
      <c r="O45" s="392" t="s">
        <v>806</v>
      </c>
    </row>
    <row r="46" spans="1:18" ht="15" thickBot="1">
      <c r="A46" s="52"/>
      <c r="B46" s="52"/>
      <c r="C46" s="52"/>
      <c r="D46"/>
      <c r="E46" s="264"/>
      <c r="F46" s="261"/>
      <c r="G46" s="94">
        <f>SUM(G48:G170)</f>
        <v>9338.5099999999984</v>
      </c>
      <c r="H46" s="94">
        <f>SUM(H48:H170)</f>
        <v>14050</v>
      </c>
      <c r="I46" s="94">
        <f>H46-G46</f>
        <v>4711.4900000000016</v>
      </c>
      <c r="J46" s="160">
        <f>SUM(J48:J170)</f>
        <v>-74617.700000000026</v>
      </c>
      <c r="K46" s="161"/>
      <c r="L46" s="393">
        <f>SUM(L49:L170)</f>
        <v>3501.3600000000006</v>
      </c>
      <c r="M46" s="394">
        <f>SUM(M49:M170)</f>
        <v>3692.5099999999993</v>
      </c>
      <c r="N46" s="395">
        <f>SUM(N49:N170)</f>
        <v>2340.8200000000006</v>
      </c>
      <c r="O46" s="395">
        <f>SUM(O49:O170)</f>
        <v>-196.18</v>
      </c>
      <c r="Q46" s="144" t="s">
        <v>589</v>
      </c>
      <c r="R46" s="144">
        <v>1641.05</v>
      </c>
    </row>
    <row r="47" spans="1:18" ht="15" thickBot="1">
      <c r="A47" s="99" t="s">
        <v>434</v>
      </c>
      <c r="B47" s="259">
        <f>B48+B61+B65</f>
        <v>1052.1300000000003</v>
      </c>
      <c r="C47" s="259">
        <f>C48+C61+C65</f>
        <v>1344</v>
      </c>
      <c r="D47" s="88">
        <f>D48+D61+D65</f>
        <v>291.86999999999995</v>
      </c>
      <c r="E47" s="52"/>
      <c r="F47" s="52"/>
      <c r="G47" s="52"/>
      <c r="H47" s="52"/>
      <c r="I47" s="61"/>
      <c r="J47" s="149"/>
      <c r="K47" s="150"/>
      <c r="L47" s="396"/>
      <c r="M47" s="397"/>
      <c r="N47" s="397"/>
      <c r="O47" s="398"/>
      <c r="Q47" s="144" t="s">
        <v>805</v>
      </c>
      <c r="R47" s="144">
        <f>597.4+95.17+7.2</f>
        <v>699.77</v>
      </c>
    </row>
    <row r="48" spans="1:18">
      <c r="A48" s="58" t="s">
        <v>419</v>
      </c>
      <c r="B48" s="58">
        <f>SUM(G49:G57)</f>
        <v>571.95000000000027</v>
      </c>
      <c r="C48" s="58">
        <f>SUM(H49:H57)</f>
        <v>864</v>
      </c>
      <c r="D48" s="58">
        <f>SUM(I49:I57)</f>
        <v>292.04999999999995</v>
      </c>
      <c r="E48" s="52"/>
      <c r="F48" s="52"/>
      <c r="G48" s="52"/>
      <c r="H48" s="52"/>
      <c r="I48" s="61"/>
      <c r="J48" s="149"/>
      <c r="K48" s="150"/>
      <c r="L48" s="396"/>
      <c r="M48" s="397"/>
      <c r="N48" s="397"/>
      <c r="O48" s="398"/>
      <c r="Q48" s="144" t="s">
        <v>1063</v>
      </c>
      <c r="R48" s="144">
        <v>-45</v>
      </c>
    </row>
    <row r="49" spans="1:18">
      <c r="A49" s="52"/>
      <c r="B49" s="52" t="s">
        <v>327</v>
      </c>
      <c r="C49" s="52"/>
      <c r="D49" s="52"/>
      <c r="E49" s="52"/>
      <c r="F49" s="52"/>
      <c r="G49" s="52">
        <f>SUM(L49:O49)</f>
        <v>0</v>
      </c>
      <c r="H49" s="52">
        <v>0</v>
      </c>
      <c r="I49" s="61">
        <f t="shared" ref="I49:I57" si="1">H49-G49</f>
        <v>0</v>
      </c>
      <c r="J49" s="149">
        <f>Jan!I49+Feb!I49+Mar!I49+Apr!I49+May!I49</f>
        <v>0</v>
      </c>
      <c r="K49" s="150"/>
      <c r="L49" s="396"/>
      <c r="M49" s="397"/>
      <c r="N49" s="397"/>
      <c r="O49" s="398"/>
      <c r="R49" s="144">
        <f>SUM(R46:R48)</f>
        <v>2295.8199999999997</v>
      </c>
    </row>
    <row r="50" spans="1:18">
      <c r="A50" s="58"/>
      <c r="B50" s="52" t="s">
        <v>421</v>
      </c>
      <c r="C50" s="52"/>
      <c r="D50" s="52"/>
      <c r="E50" s="52"/>
      <c r="F50" s="52"/>
      <c r="G50" s="52">
        <f t="shared" ref="G50:G113" si="2">SUM(L50:O50)</f>
        <v>0</v>
      </c>
      <c r="H50" s="52">
        <v>100</v>
      </c>
      <c r="I50" s="61">
        <f t="shared" si="1"/>
        <v>100</v>
      </c>
      <c r="J50" s="149">
        <f>Jan!I50+Feb!I50+Mar!I50+Apr!I50+May!I50</f>
        <v>500</v>
      </c>
      <c r="K50" s="150"/>
      <c r="L50" s="396"/>
      <c r="M50" s="397"/>
      <c r="N50" s="397"/>
      <c r="O50" s="398"/>
    </row>
    <row r="51" spans="1:18">
      <c r="A51" s="58"/>
      <c r="B51" s="52" t="s">
        <v>422</v>
      </c>
      <c r="C51" s="52"/>
      <c r="D51" s="52"/>
      <c r="E51" s="52"/>
      <c r="F51" s="52"/>
      <c r="G51" s="52">
        <f t="shared" si="2"/>
        <v>0</v>
      </c>
      <c r="H51" s="52">
        <v>100</v>
      </c>
      <c r="I51" s="61">
        <f t="shared" si="1"/>
        <v>100</v>
      </c>
      <c r="J51" s="149">
        <f>Jan!I51+Feb!I51+Mar!I51+Apr!I51+May!I51</f>
        <v>500</v>
      </c>
      <c r="K51" s="150"/>
      <c r="L51" s="396"/>
      <c r="M51" s="397"/>
      <c r="N51" s="397"/>
      <c r="O51" s="398"/>
    </row>
    <row r="52" spans="1:18">
      <c r="A52" s="58"/>
      <c r="B52" s="52" t="s">
        <v>420</v>
      </c>
      <c r="C52" s="52"/>
      <c r="D52" s="52"/>
      <c r="E52" s="52"/>
      <c r="F52" s="52"/>
      <c r="G52" s="52">
        <f t="shared" si="2"/>
        <v>0</v>
      </c>
      <c r="H52" s="52">
        <v>100</v>
      </c>
      <c r="I52" s="61">
        <f t="shared" si="1"/>
        <v>100</v>
      </c>
      <c r="J52" s="149">
        <f>Jan!I52+Feb!I52+Mar!I52+Apr!I52+May!I52</f>
        <v>500</v>
      </c>
      <c r="K52" s="150"/>
      <c r="L52" s="396"/>
      <c r="M52" s="397"/>
      <c r="N52" s="397"/>
      <c r="O52" s="398"/>
    </row>
    <row r="53" spans="1:18">
      <c r="A53" s="58"/>
      <c r="B53" s="52" t="s">
        <v>463</v>
      </c>
      <c r="C53" s="52"/>
      <c r="D53" s="52"/>
      <c r="E53" s="52"/>
      <c r="F53" s="52"/>
      <c r="G53" s="52">
        <f t="shared" si="2"/>
        <v>564</v>
      </c>
      <c r="H53" s="52">
        <v>564</v>
      </c>
      <c r="I53" s="61">
        <f t="shared" si="1"/>
        <v>0</v>
      </c>
      <c r="J53" s="149">
        <f>Jan!I53+Feb!I53+Mar!I53+Apr!I53+May!I53</f>
        <v>0</v>
      </c>
      <c r="K53" s="150"/>
      <c r="L53" s="396">
        <v>564</v>
      </c>
      <c r="M53" s="397"/>
      <c r="N53" s="397"/>
      <c r="O53" s="398"/>
    </row>
    <row r="54" spans="1:18">
      <c r="A54" s="58"/>
      <c r="B54" s="52" t="s">
        <v>429</v>
      </c>
      <c r="C54" s="52"/>
      <c r="D54" s="52"/>
      <c r="E54" s="52"/>
      <c r="F54" s="52"/>
      <c r="G54" s="52">
        <f t="shared" si="2"/>
        <v>0</v>
      </c>
      <c r="H54" s="52">
        <v>60</v>
      </c>
      <c r="I54" s="61">
        <f t="shared" si="1"/>
        <v>60</v>
      </c>
      <c r="J54" s="149">
        <f>Jan!I54+Feb!I54+Mar!I54+Apr!I54+May!I54</f>
        <v>-328</v>
      </c>
      <c r="K54" s="150"/>
      <c r="L54" s="396"/>
      <c r="M54" s="397"/>
      <c r="N54" s="397"/>
      <c r="O54" s="398"/>
    </row>
    <row r="55" spans="1:18">
      <c r="A55" s="58"/>
      <c r="B55" s="52" t="s">
        <v>328</v>
      </c>
      <c r="C55" s="52"/>
      <c r="D55" s="52"/>
      <c r="E55" s="52"/>
      <c r="F55" s="52"/>
      <c r="G55" s="52">
        <f t="shared" si="2"/>
        <v>1636.68</v>
      </c>
      <c r="H55" s="52">
        <f>1636.68+50.81</f>
        <v>1687.49</v>
      </c>
      <c r="I55" s="61">
        <f t="shared" si="1"/>
        <v>50.809999999999945</v>
      </c>
      <c r="J55" s="149">
        <f>Jan!I55+Feb!I55+Mar!I55+Apr!I55+May!I55</f>
        <v>24.169999999999618</v>
      </c>
      <c r="K55" s="150"/>
      <c r="L55" s="398">
        <v>1636.68</v>
      </c>
      <c r="M55" s="397"/>
      <c r="N55" s="397"/>
      <c r="O55" s="398"/>
    </row>
    <row r="56" spans="1:18">
      <c r="A56" s="58"/>
      <c r="B56" s="52" t="s">
        <v>384</v>
      </c>
      <c r="C56" s="52"/>
      <c r="D56" s="52"/>
      <c r="E56" s="52"/>
      <c r="F56" s="52"/>
      <c r="G56" s="52">
        <f t="shared" si="2"/>
        <v>431.27</v>
      </c>
      <c r="H56" s="52">
        <v>312.51</v>
      </c>
      <c r="I56" s="61">
        <f t="shared" si="1"/>
        <v>-118.75999999999999</v>
      </c>
      <c r="J56" s="149">
        <f>Jan!I56+Feb!I56+Mar!I56+Apr!I56+May!I56</f>
        <v>-92.120000000000118</v>
      </c>
      <c r="K56" s="150"/>
      <c r="L56" s="398">
        <v>431.27</v>
      </c>
      <c r="M56" s="397"/>
      <c r="N56" s="397"/>
      <c r="O56" s="398"/>
    </row>
    <row r="57" spans="1:18">
      <c r="A57" s="58"/>
      <c r="B57" s="52" t="s">
        <v>350</v>
      </c>
      <c r="C57" s="52"/>
      <c r="D57" s="52"/>
      <c r="E57" s="52"/>
      <c r="F57" s="52"/>
      <c r="G57" s="52">
        <f t="shared" si="2"/>
        <v>-2060</v>
      </c>
      <c r="H57" s="52">
        <v>-2060</v>
      </c>
      <c r="I57" s="61">
        <f t="shared" si="1"/>
        <v>0</v>
      </c>
      <c r="J57" s="149">
        <f>Jan!I57+Feb!I57+Mar!I57+Apr!I57+May!I57</f>
        <v>0</v>
      </c>
      <c r="K57" s="150"/>
      <c r="L57" s="398">
        <v>-2060</v>
      </c>
      <c r="M57" s="397"/>
      <c r="N57" s="397"/>
      <c r="O57" s="398"/>
    </row>
    <row r="58" spans="1:18">
      <c r="A58" s="58"/>
      <c r="B58" s="52"/>
      <c r="C58" s="52"/>
      <c r="D58" s="52"/>
      <c r="E58" s="52"/>
      <c r="F58" s="52"/>
      <c r="G58" s="52"/>
      <c r="H58" s="52"/>
      <c r="I58" s="61"/>
      <c r="J58" s="149"/>
      <c r="K58" s="150"/>
      <c r="L58" s="398"/>
      <c r="M58" s="397"/>
      <c r="N58" s="397"/>
      <c r="O58" s="398"/>
    </row>
    <row r="59" spans="1:18">
      <c r="A59" s="58"/>
      <c r="B59" s="52"/>
      <c r="C59" s="52"/>
      <c r="D59" s="52"/>
      <c r="E59" s="52"/>
      <c r="F59" s="52"/>
      <c r="G59" s="52"/>
      <c r="H59" s="52"/>
      <c r="I59" s="61"/>
      <c r="J59" s="149"/>
      <c r="K59" s="150"/>
      <c r="L59" s="398"/>
      <c r="M59" s="397"/>
      <c r="N59" s="397"/>
      <c r="O59" s="398"/>
    </row>
    <row r="60" spans="1:18">
      <c r="A60" s="58" t="s">
        <v>427</v>
      </c>
      <c r="B60" s="52"/>
      <c r="C60" s="52"/>
      <c r="D60" s="52"/>
      <c r="E60" s="52"/>
      <c r="F60" s="52"/>
      <c r="G60" s="52"/>
      <c r="H60" s="52"/>
      <c r="I60" s="61"/>
      <c r="J60" s="149"/>
      <c r="K60" s="150"/>
      <c r="L60" s="398"/>
      <c r="M60" s="397"/>
      <c r="N60" s="397"/>
      <c r="O60" s="398"/>
    </row>
    <row r="61" spans="1:18">
      <c r="A61" s="58"/>
      <c r="B61" s="58">
        <f>SUM(G62:G63)</f>
        <v>170.69</v>
      </c>
      <c r="C61" s="58">
        <f>SUM(H62:H63)</f>
        <v>170</v>
      </c>
      <c r="D61" s="58">
        <f>C61-B61</f>
        <v>-0.68999999999999773</v>
      </c>
      <c r="E61" s="52"/>
      <c r="F61" s="52"/>
      <c r="G61" s="52"/>
      <c r="H61" s="52"/>
      <c r="I61" s="61"/>
      <c r="J61" s="149"/>
      <c r="K61" s="150"/>
      <c r="L61" s="398"/>
      <c r="M61" s="397"/>
      <c r="N61" s="397"/>
      <c r="O61" s="398"/>
    </row>
    <row r="62" spans="1:18">
      <c r="A62" s="58"/>
      <c r="B62" s="52" t="s">
        <v>431</v>
      </c>
      <c r="C62" s="52"/>
      <c r="D62" s="52"/>
      <c r="E62" s="52"/>
      <c r="F62" s="52"/>
      <c r="G62" s="52">
        <f t="shared" si="2"/>
        <v>70.98</v>
      </c>
      <c r="H62" s="52">
        <v>70</v>
      </c>
      <c r="I62" s="61">
        <f t="shared" ref="I62:I131" si="3">H62-G62</f>
        <v>-0.98000000000000398</v>
      </c>
      <c r="J62" s="149">
        <f>Jan!I62+Feb!I62+Mar!I62+Apr!I62+May!I62</f>
        <v>-31.260000000000019</v>
      </c>
      <c r="K62" s="150"/>
      <c r="L62" s="398"/>
      <c r="M62" s="397">
        <v>70.98</v>
      </c>
      <c r="N62" s="397"/>
      <c r="O62" s="398"/>
    </row>
    <row r="63" spans="1:18">
      <c r="A63" s="58"/>
      <c r="B63" s="52" t="s">
        <v>432</v>
      </c>
      <c r="C63" s="52"/>
      <c r="D63" s="65"/>
      <c r="E63" s="52"/>
      <c r="F63" s="52"/>
      <c r="G63" s="52">
        <f t="shared" si="2"/>
        <v>99.71</v>
      </c>
      <c r="H63" s="52">
        <v>100</v>
      </c>
      <c r="I63" s="61">
        <f t="shared" si="3"/>
        <v>0.29000000000000625</v>
      </c>
      <c r="J63" s="149">
        <f>Jan!I63+Feb!I63+Mar!I63+Apr!I63+May!I63</f>
        <v>37.019999999999996</v>
      </c>
      <c r="K63" s="150"/>
      <c r="L63" s="398"/>
      <c r="M63" s="397">
        <v>99.71</v>
      </c>
      <c r="N63" s="397"/>
      <c r="O63" s="398"/>
    </row>
    <row r="64" spans="1:18">
      <c r="A64" s="58"/>
      <c r="B64" s="52"/>
      <c r="C64" s="52"/>
      <c r="D64" s="52"/>
      <c r="E64" s="52"/>
      <c r="F64" s="52"/>
      <c r="G64" s="52"/>
      <c r="H64" s="52"/>
      <c r="I64" s="61"/>
      <c r="J64" s="149"/>
      <c r="K64" s="150"/>
      <c r="L64" s="398"/>
      <c r="M64" s="397"/>
      <c r="N64" s="397"/>
      <c r="O64" s="398"/>
    </row>
    <row r="65" spans="1:15">
      <c r="A65" s="58" t="s">
        <v>428</v>
      </c>
      <c r="B65" s="58">
        <f>SUM(G66:G74)</f>
        <v>309.49</v>
      </c>
      <c r="C65" s="58">
        <f>SUM(H66:H74)</f>
        <v>310</v>
      </c>
      <c r="D65" s="58">
        <f>C65-B65</f>
        <v>0.50999999999999091</v>
      </c>
      <c r="E65" s="52"/>
      <c r="F65" s="52"/>
      <c r="G65" s="52"/>
      <c r="H65" s="52"/>
      <c r="I65" s="61"/>
      <c r="J65" s="149"/>
      <c r="K65" s="150"/>
      <c r="L65" s="398"/>
      <c r="M65" s="397"/>
      <c r="N65" s="397"/>
      <c r="O65" s="398"/>
    </row>
    <row r="66" spans="1:15">
      <c r="A66" s="52"/>
      <c r="B66" s="52" t="s">
        <v>55</v>
      </c>
      <c r="C66" s="52"/>
      <c r="D66" s="52"/>
      <c r="E66" s="52"/>
      <c r="F66" s="52"/>
      <c r="G66" s="52">
        <f t="shared" si="2"/>
        <v>0</v>
      </c>
      <c r="H66" s="52">
        <v>60</v>
      </c>
      <c r="I66" s="61">
        <f t="shared" si="3"/>
        <v>60</v>
      </c>
      <c r="J66" s="149">
        <f>Jan!I66+Feb!I66+Mar!I66+Apr!I66+May!I66</f>
        <v>172.08</v>
      </c>
      <c r="K66" s="150"/>
      <c r="L66" s="398"/>
      <c r="M66" s="397"/>
      <c r="N66" s="397"/>
      <c r="O66" s="398"/>
    </row>
    <row r="67" spans="1:15">
      <c r="A67" s="52"/>
      <c r="B67" s="52" t="s">
        <v>56</v>
      </c>
      <c r="C67" s="52"/>
      <c r="D67" s="52" t="s">
        <v>57</v>
      </c>
      <c r="E67" s="52"/>
      <c r="F67" s="52"/>
      <c r="G67" s="52">
        <f t="shared" si="2"/>
        <v>120</v>
      </c>
      <c r="H67" s="52">
        <v>140</v>
      </c>
      <c r="I67" s="61">
        <f t="shared" si="3"/>
        <v>20</v>
      </c>
      <c r="J67" s="149">
        <f>Jan!I67+Feb!I67+Mar!I67+Apr!I67+May!I67</f>
        <v>220.2</v>
      </c>
      <c r="K67" s="150"/>
      <c r="L67" s="398"/>
      <c r="M67" s="397">
        <f>20+20+20+20+20+20</f>
        <v>120</v>
      </c>
      <c r="N67" s="397"/>
      <c r="O67" s="398"/>
    </row>
    <row r="68" spans="1:15">
      <c r="A68" s="52"/>
      <c r="B68" s="52"/>
      <c r="C68" s="52"/>
      <c r="D68" s="52"/>
      <c r="E68" s="52"/>
      <c r="F68" s="52"/>
      <c r="G68" s="52"/>
      <c r="H68" s="52"/>
      <c r="I68" s="61"/>
      <c r="J68" s="149"/>
      <c r="K68" s="150"/>
      <c r="L68" s="398"/>
      <c r="M68" s="397"/>
      <c r="N68" s="397"/>
      <c r="O68" s="398"/>
    </row>
    <row r="69" spans="1:15">
      <c r="A69" s="58" t="s">
        <v>423</v>
      </c>
      <c r="B69" s="52"/>
      <c r="C69" s="52"/>
      <c r="D69" s="52"/>
      <c r="E69" s="52"/>
      <c r="F69" s="52"/>
      <c r="G69" s="52"/>
      <c r="H69" s="52"/>
      <c r="I69" s="61"/>
      <c r="J69" s="149"/>
      <c r="K69" s="150"/>
      <c r="L69" s="398"/>
      <c r="M69" s="397"/>
      <c r="N69" s="397"/>
      <c r="O69" s="398"/>
    </row>
    <row r="70" spans="1:15">
      <c r="A70" s="52"/>
      <c r="B70" s="52" t="s">
        <v>424</v>
      </c>
      <c r="C70" s="52"/>
      <c r="D70" s="52"/>
      <c r="E70" s="52"/>
      <c r="F70" s="52"/>
      <c r="G70" s="52">
        <f t="shared" si="2"/>
        <v>0</v>
      </c>
      <c r="H70" s="52">
        <v>25</v>
      </c>
      <c r="I70" s="61">
        <f t="shared" si="3"/>
        <v>25</v>
      </c>
      <c r="J70" s="149">
        <f>Jan!I70+Feb!I70+Mar!I70+Apr!I70+May!I70</f>
        <v>53.6</v>
      </c>
      <c r="K70" s="150"/>
      <c r="L70" s="398"/>
      <c r="M70" s="397"/>
      <c r="N70" s="397"/>
      <c r="O70" s="398"/>
    </row>
    <row r="71" spans="1:15">
      <c r="A71" s="58"/>
      <c r="B71" s="52" t="s">
        <v>425</v>
      </c>
      <c r="C71" s="52"/>
      <c r="D71" s="52"/>
      <c r="E71" s="52"/>
      <c r="F71" s="52"/>
      <c r="G71" s="52">
        <f t="shared" si="2"/>
        <v>0</v>
      </c>
      <c r="H71" s="52">
        <v>30</v>
      </c>
      <c r="I71" s="61">
        <f t="shared" si="3"/>
        <v>30</v>
      </c>
      <c r="J71" s="149">
        <f>Jan!I71+Feb!I71+Mar!I71+Apr!I71+May!I71</f>
        <v>40.510000000000005</v>
      </c>
      <c r="K71" s="150"/>
      <c r="L71" s="398"/>
      <c r="M71" s="397"/>
      <c r="N71" s="397"/>
      <c r="O71" s="398"/>
    </row>
    <row r="72" spans="1:15">
      <c r="A72" s="58"/>
      <c r="B72" s="52" t="s">
        <v>430</v>
      </c>
      <c r="C72" s="52"/>
      <c r="D72" s="52"/>
      <c r="E72" s="52"/>
      <c r="F72" s="52"/>
      <c r="G72" s="52">
        <f t="shared" si="2"/>
        <v>0</v>
      </c>
      <c r="H72" s="52">
        <v>20</v>
      </c>
      <c r="I72" s="61">
        <f t="shared" si="3"/>
        <v>20</v>
      </c>
      <c r="J72" s="149">
        <f>Jan!I72+Feb!I72+Mar!I72+Apr!I72+May!I72</f>
        <v>100</v>
      </c>
      <c r="K72" s="150"/>
      <c r="L72" s="398"/>
      <c r="M72" s="397"/>
      <c r="N72" s="397"/>
      <c r="O72" s="398"/>
    </row>
    <row r="73" spans="1:15">
      <c r="A73" s="58"/>
      <c r="B73" s="52"/>
      <c r="C73" s="52"/>
      <c r="D73" s="52"/>
      <c r="E73" s="52"/>
      <c r="F73" s="52"/>
      <c r="G73" s="52"/>
      <c r="H73" s="52"/>
      <c r="I73" s="61"/>
      <c r="J73" s="149"/>
      <c r="K73" s="150"/>
      <c r="L73" s="398"/>
      <c r="M73" s="397"/>
      <c r="N73" s="397"/>
      <c r="O73" s="398"/>
    </row>
    <row r="74" spans="1:15">
      <c r="A74" s="58" t="s">
        <v>426</v>
      </c>
      <c r="B74" s="52" t="s">
        <v>58</v>
      </c>
      <c r="C74" s="52"/>
      <c r="D74" s="52"/>
      <c r="E74" s="52"/>
      <c r="F74" s="52"/>
      <c r="G74" s="52">
        <f t="shared" si="2"/>
        <v>189.49</v>
      </c>
      <c r="H74" s="52">
        <v>35</v>
      </c>
      <c r="I74" s="61">
        <f t="shared" si="3"/>
        <v>-154.49</v>
      </c>
      <c r="J74" s="149">
        <f>Jan!I74+Feb!I74+Mar!I74+Apr!I74+May!I74</f>
        <v>-185.25</v>
      </c>
      <c r="K74" s="150"/>
      <c r="L74" s="398"/>
      <c r="M74" s="397">
        <f>4.55+5.72+2.4+3.5+6.25+4.12+9+6.51+24.17+20.5+15+2.15+5.88+12+4.78+2.4+5.25+5.96+5.17+5.41+2.04+11.43+5.96+5.57+7.5+6.27</f>
        <v>189.49</v>
      </c>
      <c r="N74" s="397"/>
      <c r="O74" s="398"/>
    </row>
    <row r="75" spans="1:15" ht="15" thickBot="1">
      <c r="A75" s="58"/>
      <c r="B75" s="52"/>
      <c r="C75" s="52"/>
      <c r="D75" s="52"/>
      <c r="E75" s="52"/>
      <c r="F75" s="52"/>
      <c r="G75" s="52"/>
      <c r="H75" s="52"/>
      <c r="I75" s="61"/>
      <c r="J75" s="149"/>
      <c r="K75" s="150"/>
      <c r="L75" s="398"/>
      <c r="M75" s="397"/>
      <c r="N75" s="397"/>
      <c r="O75" s="398"/>
    </row>
    <row r="76" spans="1:15" ht="15" thickBot="1">
      <c r="A76" s="99" t="s">
        <v>433</v>
      </c>
      <c r="B76" s="140">
        <f>B78+B90+B96+B101+B110+B115+B120+B125+B138+B141+B146+B149</f>
        <v>8286.3799999999974</v>
      </c>
      <c r="C76" s="140">
        <f>C78+C90+C96+C101+C110+C115+C120+C125+C138+C141+C146+C149</f>
        <v>5711</v>
      </c>
      <c r="D76" s="140">
        <f>D78+D90+D96+D101+D110+D115+D120+D125+D138+D141+D146+D149</f>
        <v>-20.419999999999959</v>
      </c>
      <c r="E76" s="52"/>
      <c r="F76" s="52"/>
      <c r="G76" s="52"/>
      <c r="H76" s="52"/>
      <c r="I76" s="61"/>
      <c r="J76" s="149"/>
      <c r="K76" s="150"/>
      <c r="L76" s="398"/>
      <c r="M76" s="397"/>
      <c r="N76" s="397"/>
      <c r="O76" s="398"/>
    </row>
    <row r="77" spans="1:15">
      <c r="A77" s="99"/>
      <c r="B77" s="380"/>
      <c r="C77" s="380"/>
      <c r="D77" s="380"/>
      <c r="E77" s="52"/>
      <c r="F77" s="52"/>
      <c r="G77" s="52"/>
      <c r="H77" s="52"/>
      <c r="I77" s="61"/>
      <c r="J77" s="149"/>
      <c r="K77" s="150"/>
      <c r="L77" s="398"/>
      <c r="M77" s="397"/>
      <c r="N77" s="397"/>
      <c r="O77" s="398"/>
    </row>
    <row r="78" spans="1:15">
      <c r="A78" s="58" t="s">
        <v>710</v>
      </c>
      <c r="B78" s="380">
        <f>SUM(G79:G88)</f>
        <v>5027.6699999999992</v>
      </c>
      <c r="C78" s="380">
        <f>SUM(H79:H80)</f>
        <v>2500</v>
      </c>
      <c r="D78" s="380">
        <f>SUM(I79:I80)</f>
        <v>27.289999999999964</v>
      </c>
      <c r="E78" s="52"/>
      <c r="F78" s="52"/>
      <c r="G78" s="52"/>
      <c r="H78" s="52"/>
      <c r="I78" s="61"/>
      <c r="J78" s="149"/>
      <c r="K78" s="150"/>
      <c r="L78" s="398"/>
      <c r="M78" s="397"/>
      <c r="N78" s="397"/>
      <c r="O78" s="398"/>
    </row>
    <row r="79" spans="1:15">
      <c r="A79" s="52"/>
      <c r="B79" s="52" t="s">
        <v>798</v>
      </c>
      <c r="C79" s="52"/>
      <c r="D79" s="52"/>
      <c r="E79" s="52"/>
      <c r="F79" s="52"/>
      <c r="G79" s="52">
        <f t="shared" si="2"/>
        <v>2472.71</v>
      </c>
      <c r="H79" s="52">
        <v>2500</v>
      </c>
      <c r="I79" s="61">
        <f t="shared" si="3"/>
        <v>27.289999999999964</v>
      </c>
      <c r="J79" s="149">
        <f>Jan!I79+Feb!I79+Mar!I79+Apr!I79+May!I79</f>
        <v>136.44999999999982</v>
      </c>
      <c r="K79" s="150"/>
      <c r="L79" s="398">
        <v>2472.71</v>
      </c>
      <c r="M79" s="397"/>
      <c r="N79" s="397"/>
      <c r="O79" s="398"/>
    </row>
    <row r="80" spans="1:15">
      <c r="A80" s="58"/>
      <c r="B80" s="52" t="s">
        <v>801</v>
      </c>
      <c r="C80" s="52"/>
      <c r="D80" s="52"/>
      <c r="E80" s="52"/>
      <c r="F80" s="52"/>
      <c r="G80" s="52">
        <f t="shared" si="2"/>
        <v>0</v>
      </c>
      <c r="H80" s="52">
        <v>0</v>
      </c>
      <c r="I80" s="61">
        <f t="shared" si="3"/>
        <v>0</v>
      </c>
      <c r="J80" s="149">
        <f>Jan!I80+Feb!I80+Mar!I80+Apr!I80+May!I80</f>
        <v>0</v>
      </c>
      <c r="K80" s="150"/>
      <c r="L80" s="398"/>
      <c r="M80" s="397"/>
      <c r="N80" s="397"/>
      <c r="O80" s="398"/>
    </row>
    <row r="81" spans="1:17">
      <c r="A81" s="58"/>
      <c r="B81" s="52" t="s">
        <v>421</v>
      </c>
      <c r="C81" s="52"/>
      <c r="D81" s="52"/>
      <c r="E81" s="52"/>
      <c r="F81" s="52"/>
      <c r="G81" s="52">
        <f t="shared" si="2"/>
        <v>2256.75</v>
      </c>
      <c r="H81" s="52">
        <v>5000</v>
      </c>
      <c r="I81" s="61">
        <f t="shared" si="3"/>
        <v>2743.25</v>
      </c>
      <c r="J81" s="149">
        <f>Jan!I81+Feb!I81+Mar!I81+Apr!I81+May!I81</f>
        <v>-71206.750000000015</v>
      </c>
      <c r="K81" s="150"/>
      <c r="L81" s="398"/>
      <c r="M81" s="397">
        <f>40.66+6.53+2.15+2450</f>
        <v>2499.34</v>
      </c>
      <c r="N81" s="397"/>
      <c r="O81" s="398">
        <f>-18.88+26.05-22.78-27.24-199.74</f>
        <v>-242.59</v>
      </c>
      <c r="Q81" s="144" t="s">
        <v>1040</v>
      </c>
    </row>
    <row r="82" spans="1:17">
      <c r="A82" s="58"/>
      <c r="B82" s="52" t="s">
        <v>888</v>
      </c>
      <c r="C82" s="52"/>
      <c r="D82" s="52"/>
      <c r="E82" s="52"/>
      <c r="F82" s="52"/>
      <c r="G82" s="52">
        <f t="shared" si="2"/>
        <v>0</v>
      </c>
      <c r="H82" s="52">
        <v>1000</v>
      </c>
      <c r="I82" s="61">
        <f t="shared" si="3"/>
        <v>1000</v>
      </c>
      <c r="J82" s="149">
        <f>Jan!I82+Feb!I82+Mar!I82+Apr!I82+May!I82</f>
        <v>-5622.75</v>
      </c>
      <c r="K82" s="150"/>
      <c r="L82" s="398"/>
      <c r="M82" s="397"/>
      <c r="N82" s="397"/>
      <c r="O82" s="398"/>
    </row>
    <row r="83" spans="1:17">
      <c r="A83" s="58"/>
      <c r="B83" s="52" t="s">
        <v>889</v>
      </c>
      <c r="C83" s="52"/>
      <c r="D83" s="52"/>
      <c r="E83" s="52"/>
      <c r="F83" s="52"/>
      <c r="G83" s="52">
        <f t="shared" si="2"/>
        <v>0</v>
      </c>
      <c r="H83" s="52">
        <v>50</v>
      </c>
      <c r="I83" s="61">
        <f t="shared" si="3"/>
        <v>50</v>
      </c>
      <c r="J83" s="149">
        <f>Jan!I83+Feb!I83+Mar!I83+Apr!I83+May!I83</f>
        <v>-193.45</v>
      </c>
      <c r="K83" s="150"/>
      <c r="L83" s="398"/>
      <c r="M83" s="397"/>
      <c r="N83" s="397"/>
      <c r="O83" s="398"/>
    </row>
    <row r="84" spans="1:17">
      <c r="A84" s="58"/>
      <c r="B84" s="52" t="s">
        <v>26</v>
      </c>
      <c r="C84" s="52"/>
      <c r="D84" s="52"/>
      <c r="E84" s="52"/>
      <c r="F84" s="52"/>
      <c r="G84" s="52">
        <f t="shared" si="2"/>
        <v>54.98</v>
      </c>
      <c r="H84" s="52">
        <v>100</v>
      </c>
      <c r="I84" s="61">
        <f t="shared" si="3"/>
        <v>45.02</v>
      </c>
      <c r="J84" s="149">
        <f>Jan!I84+Feb!I84+Mar!I84+Apr!I84+May!I84</f>
        <v>192.74</v>
      </c>
      <c r="K84" s="150"/>
      <c r="L84" s="398">
        <v>54.98</v>
      </c>
      <c r="M84" s="397"/>
      <c r="N84" s="397"/>
      <c r="O84" s="398"/>
    </row>
    <row r="85" spans="1:17">
      <c r="A85" s="58"/>
      <c r="B85" s="52" t="s">
        <v>799</v>
      </c>
      <c r="C85" s="52" t="s">
        <v>1043</v>
      </c>
      <c r="D85" s="52"/>
      <c r="E85" s="52"/>
      <c r="F85" s="52"/>
      <c r="G85" s="52">
        <f t="shared" si="2"/>
        <v>40.61</v>
      </c>
      <c r="H85" s="52">
        <v>70</v>
      </c>
      <c r="I85" s="61">
        <f t="shared" si="3"/>
        <v>29.39</v>
      </c>
      <c r="J85" s="149">
        <f>Jan!I85+Feb!I85+Mar!I85+Apr!I85+May!I85</f>
        <v>-349.3</v>
      </c>
      <c r="K85" s="150"/>
      <c r="L85" s="398">
        <v>40.61</v>
      </c>
      <c r="M85" s="397"/>
      <c r="N85" s="397"/>
      <c r="O85" s="398"/>
    </row>
    <row r="86" spans="1:17">
      <c r="A86" s="58"/>
      <c r="B86" s="52" t="s">
        <v>799</v>
      </c>
      <c r="C86" s="52" t="s">
        <v>1044</v>
      </c>
      <c r="D86" s="52"/>
      <c r="E86" s="52"/>
      <c r="F86" s="52"/>
      <c r="G86" s="52">
        <f t="shared" si="2"/>
        <v>21.03</v>
      </c>
      <c r="H86" s="52">
        <v>25</v>
      </c>
      <c r="I86" s="61">
        <f t="shared" si="3"/>
        <v>3.9699999999999989</v>
      </c>
      <c r="J86" s="149">
        <f>Jan!I86+Feb!I86+Mar!I86+Apr!I86+May!I86</f>
        <v>30.159999999999997</v>
      </c>
      <c r="K86" s="150"/>
      <c r="L86" s="398">
        <v>21.03</v>
      </c>
      <c r="M86" s="397"/>
      <c r="N86" s="397"/>
      <c r="O86" s="398"/>
    </row>
    <row r="87" spans="1:17">
      <c r="A87" s="58"/>
      <c r="B87" s="52" t="s">
        <v>800</v>
      </c>
      <c r="C87" s="52"/>
      <c r="D87" s="52"/>
      <c r="E87" s="52"/>
      <c r="F87" s="52"/>
      <c r="G87" s="52">
        <f t="shared" si="2"/>
        <v>112.95</v>
      </c>
      <c r="H87" s="52">
        <v>40</v>
      </c>
      <c r="I87" s="61">
        <f t="shared" si="3"/>
        <v>-72.95</v>
      </c>
      <c r="J87" s="149">
        <f>Jan!I87+Feb!I87+Mar!I87+Apr!I87+May!I87</f>
        <v>-181.26999999999998</v>
      </c>
      <c r="K87" s="150"/>
      <c r="L87" s="398">
        <v>112.95</v>
      </c>
      <c r="M87" s="397"/>
      <c r="N87" s="397"/>
      <c r="O87" s="398"/>
    </row>
    <row r="88" spans="1:17">
      <c r="A88" s="58"/>
      <c r="B88" s="52" t="s">
        <v>802</v>
      </c>
      <c r="C88" s="52"/>
      <c r="D88" s="52"/>
      <c r="E88" s="52"/>
      <c r="F88" s="52"/>
      <c r="G88" s="52">
        <f t="shared" si="2"/>
        <v>68.64</v>
      </c>
      <c r="H88" s="52">
        <v>100</v>
      </c>
      <c r="I88" s="61">
        <f t="shared" si="3"/>
        <v>31.36</v>
      </c>
      <c r="J88" s="149">
        <f>Jan!I88+Feb!I88+Mar!I88+Apr!I88+May!I88</f>
        <v>338.38</v>
      </c>
      <c r="K88" s="150"/>
      <c r="L88" s="398"/>
      <c r="M88" s="397">
        <v>68.64</v>
      </c>
      <c r="N88" s="397"/>
      <c r="O88" s="398"/>
    </row>
    <row r="89" spans="1:17">
      <c r="E89" s="52"/>
      <c r="F89" s="52"/>
      <c r="G89" s="52"/>
      <c r="H89" s="52"/>
      <c r="I89" s="61"/>
      <c r="J89" s="149"/>
      <c r="K89" s="150"/>
      <c r="L89" s="398"/>
      <c r="M89" s="397"/>
      <c r="N89" s="397"/>
      <c r="O89" s="398"/>
    </row>
    <row r="90" spans="1:17">
      <c r="A90" s="58" t="s">
        <v>39</v>
      </c>
      <c r="B90" s="58">
        <f>SUM(G91:G94)</f>
        <v>107.13</v>
      </c>
      <c r="C90" s="58">
        <f>SUM(H91:H94)</f>
        <v>360</v>
      </c>
      <c r="D90" s="58">
        <f>C90-B90</f>
        <v>252.87</v>
      </c>
      <c r="E90" s="52"/>
      <c r="F90" s="52"/>
      <c r="G90" s="52"/>
      <c r="H90" s="52"/>
      <c r="I90" s="61"/>
      <c r="J90" s="149"/>
      <c r="K90" s="150"/>
      <c r="L90" s="398"/>
      <c r="M90" s="397"/>
      <c r="N90" s="397"/>
      <c r="O90" s="398"/>
    </row>
    <row r="91" spans="1:17">
      <c r="A91" s="52"/>
      <c r="B91" s="52" t="s">
        <v>26</v>
      </c>
      <c r="C91" s="52" t="s">
        <v>27</v>
      </c>
      <c r="D91" s="52"/>
      <c r="E91" s="52"/>
      <c r="F91" s="52"/>
      <c r="G91" s="52">
        <f t="shared" si="2"/>
        <v>61.78</v>
      </c>
      <c r="H91" s="52">
        <v>100</v>
      </c>
      <c r="I91" s="61">
        <f t="shared" si="3"/>
        <v>38.22</v>
      </c>
      <c r="J91" s="149">
        <f>Jan!I91+Feb!I91+Mar!I91+Apr!I91+May!I91</f>
        <v>131.42000000000002</v>
      </c>
      <c r="K91" s="150"/>
      <c r="L91" s="398">
        <v>61.78</v>
      </c>
      <c r="M91" s="397"/>
      <c r="N91" s="397"/>
      <c r="O91" s="398"/>
    </row>
    <row r="92" spans="1:17">
      <c r="A92" s="52"/>
      <c r="B92" s="52" t="s">
        <v>28</v>
      </c>
      <c r="C92" s="52" t="s">
        <v>29</v>
      </c>
      <c r="D92" s="52"/>
      <c r="E92" s="52"/>
      <c r="F92" s="52"/>
      <c r="G92" s="52">
        <f t="shared" si="2"/>
        <v>45.35</v>
      </c>
      <c r="H92" s="52">
        <v>40</v>
      </c>
      <c r="I92" s="61">
        <f t="shared" si="3"/>
        <v>-5.3500000000000014</v>
      </c>
      <c r="J92" s="149">
        <f>Jan!I92+Feb!I92+Mar!I92+Apr!I92+May!I92</f>
        <v>105.4</v>
      </c>
      <c r="K92" s="150"/>
      <c r="L92" s="398">
        <v>45.35</v>
      </c>
      <c r="M92" s="397"/>
      <c r="N92" s="397"/>
      <c r="O92" s="398"/>
    </row>
    <row r="93" spans="1:17">
      <c r="A93" s="52"/>
      <c r="B93" s="52" t="s">
        <v>40</v>
      </c>
      <c r="C93" s="52" t="s">
        <v>41</v>
      </c>
      <c r="D93" s="52" t="s">
        <v>321</v>
      </c>
      <c r="E93" s="52"/>
      <c r="F93" s="52"/>
      <c r="G93" s="52">
        <f t="shared" si="2"/>
        <v>0</v>
      </c>
      <c r="H93" s="52">
        <v>100</v>
      </c>
      <c r="I93" s="61">
        <f t="shared" si="3"/>
        <v>100</v>
      </c>
      <c r="J93" s="149">
        <f>Jan!I93+Feb!I93+Mar!I93+Apr!I93+May!I93</f>
        <v>500</v>
      </c>
      <c r="K93" s="150"/>
      <c r="L93" s="398"/>
      <c r="M93" s="397"/>
      <c r="N93" s="397"/>
      <c r="O93" s="398"/>
    </row>
    <row r="94" spans="1:17">
      <c r="A94" s="52"/>
      <c r="B94" s="52" t="s">
        <v>42</v>
      </c>
      <c r="C94" s="52" t="s">
        <v>43</v>
      </c>
      <c r="D94" s="52" t="s">
        <v>435</v>
      </c>
      <c r="E94" s="52"/>
      <c r="F94" s="52"/>
      <c r="G94" s="52">
        <f t="shared" si="2"/>
        <v>0</v>
      </c>
      <c r="H94" s="52">
        <v>120</v>
      </c>
      <c r="I94" s="61">
        <f t="shared" si="3"/>
        <v>120</v>
      </c>
      <c r="J94" s="149">
        <f>Jan!I94+Feb!I94+Mar!I94+Apr!I94+May!I94</f>
        <v>99.800000000000011</v>
      </c>
      <c r="K94" s="150"/>
      <c r="L94" s="398"/>
      <c r="M94" s="397"/>
      <c r="N94" s="397"/>
      <c r="O94" s="398"/>
    </row>
    <row r="95" spans="1:17">
      <c r="A95" s="52"/>
      <c r="B95" s="52"/>
      <c r="C95" s="52"/>
      <c r="D95" s="52"/>
      <c r="E95" s="52"/>
      <c r="F95" s="52"/>
      <c r="G95" s="52"/>
      <c r="H95" s="52"/>
      <c r="I95" s="61"/>
      <c r="J95" s="149"/>
      <c r="K95" s="150"/>
      <c r="L95" s="398"/>
      <c r="M95" s="397"/>
      <c r="N95" s="397"/>
      <c r="O95" s="398"/>
    </row>
    <row r="96" spans="1:17">
      <c r="A96" s="58" t="s">
        <v>45</v>
      </c>
      <c r="B96" s="58">
        <f>SUM(G97:G99)</f>
        <v>0</v>
      </c>
      <c r="C96" s="58">
        <f>SUM(H97:H99)</f>
        <v>173</v>
      </c>
      <c r="D96" s="58">
        <f>C96-B96</f>
        <v>173</v>
      </c>
      <c r="E96" s="52"/>
      <c r="F96" s="52"/>
      <c r="G96" s="52"/>
      <c r="H96" s="52"/>
      <c r="I96" s="61"/>
      <c r="J96" s="149"/>
      <c r="K96" s="150"/>
      <c r="L96" s="398"/>
      <c r="M96" s="397"/>
      <c r="N96" s="397"/>
      <c r="O96" s="398"/>
    </row>
    <row r="97" spans="1:17">
      <c r="A97" s="52"/>
      <c r="B97" s="52" t="s">
        <v>46</v>
      </c>
      <c r="C97" s="52"/>
      <c r="D97" s="52" t="s">
        <v>437</v>
      </c>
      <c r="E97" s="52"/>
      <c r="F97" s="52"/>
      <c r="G97" s="52">
        <f t="shared" si="2"/>
        <v>0</v>
      </c>
      <c r="H97" s="52">
        <v>65</v>
      </c>
      <c r="I97" s="61">
        <f t="shared" si="3"/>
        <v>65</v>
      </c>
      <c r="J97" s="149">
        <f>Jan!I97+Feb!I97+Mar!I97+Apr!I97+May!I97</f>
        <v>-405</v>
      </c>
      <c r="K97" s="150"/>
      <c r="L97" s="398"/>
      <c r="M97" s="397"/>
      <c r="N97" s="397"/>
      <c r="O97" s="398"/>
    </row>
    <row r="98" spans="1:17">
      <c r="A98" s="52"/>
      <c r="B98" s="52" t="s">
        <v>47</v>
      </c>
      <c r="C98" s="52"/>
      <c r="D98" s="52" t="s">
        <v>436</v>
      </c>
      <c r="E98" s="52"/>
      <c r="F98" s="52"/>
      <c r="G98" s="52">
        <f t="shared" si="2"/>
        <v>0</v>
      </c>
      <c r="H98" s="52">
        <v>72</v>
      </c>
      <c r="I98" s="61">
        <f t="shared" si="3"/>
        <v>72</v>
      </c>
      <c r="J98" s="149">
        <f>Jan!I98+Feb!I98+Mar!I98+Apr!I98+May!I98</f>
        <v>-498</v>
      </c>
      <c r="K98" s="150"/>
      <c r="L98" s="398"/>
      <c r="M98" s="397"/>
      <c r="N98" s="397"/>
      <c r="O98" s="398"/>
    </row>
    <row r="99" spans="1:17">
      <c r="A99" s="52"/>
      <c r="B99" s="52" t="s">
        <v>48</v>
      </c>
      <c r="C99" s="52"/>
      <c r="D99" s="52" t="s">
        <v>445</v>
      </c>
      <c r="E99" s="52"/>
      <c r="F99" s="52"/>
      <c r="G99" s="52">
        <f t="shared" si="2"/>
        <v>0</v>
      </c>
      <c r="H99" s="52">
        <v>36</v>
      </c>
      <c r="I99" s="61">
        <f t="shared" si="3"/>
        <v>36</v>
      </c>
      <c r="J99" s="149">
        <f>Jan!I99+Feb!I99+Mar!I99+Apr!I99+May!I99</f>
        <v>180</v>
      </c>
      <c r="K99" s="150"/>
      <c r="L99" s="398"/>
      <c r="M99" s="397"/>
      <c r="N99" s="397"/>
      <c r="O99" s="398"/>
    </row>
    <row r="100" spans="1:17">
      <c r="A100" s="52"/>
      <c r="B100" s="52"/>
      <c r="C100" s="52"/>
      <c r="D100" s="52"/>
      <c r="E100" s="52"/>
      <c r="F100" s="52"/>
      <c r="G100" s="52"/>
      <c r="H100" s="52"/>
      <c r="I100" s="61"/>
      <c r="J100" s="149"/>
      <c r="K100" s="150"/>
      <c r="L100" s="398"/>
      <c r="M100" s="397"/>
      <c r="N100" s="397"/>
      <c r="O100" s="398"/>
    </row>
    <row r="101" spans="1:17">
      <c r="A101" s="58" t="s">
        <v>49</v>
      </c>
      <c r="B101" s="58">
        <f>SUM(G102:G108)</f>
        <v>120</v>
      </c>
      <c r="C101" s="58">
        <f>SUM(H102:H108)</f>
        <v>178</v>
      </c>
      <c r="D101" s="58">
        <f>C101-B101</f>
        <v>58</v>
      </c>
      <c r="E101" s="52"/>
      <c r="F101" s="52"/>
      <c r="G101" s="52"/>
      <c r="H101" s="52"/>
      <c r="I101" s="61"/>
      <c r="J101" s="149"/>
      <c r="K101" s="150"/>
      <c r="L101" s="398"/>
      <c r="M101" s="397"/>
      <c r="N101" s="397"/>
      <c r="O101" s="398"/>
    </row>
    <row r="102" spans="1:17">
      <c r="A102" s="52"/>
      <c r="B102" s="52" t="s">
        <v>438</v>
      </c>
      <c r="C102" s="52"/>
      <c r="D102" s="52"/>
      <c r="E102" s="52"/>
      <c r="F102" s="52"/>
      <c r="G102" s="52">
        <f t="shared" si="2"/>
        <v>0</v>
      </c>
      <c r="H102" s="52">
        <v>20</v>
      </c>
      <c r="I102" s="61">
        <f t="shared" si="3"/>
        <v>20</v>
      </c>
      <c r="J102" s="149">
        <f>Jan!I102+Feb!I102+Mar!I102+Apr!I102+May!I102</f>
        <v>-3810.5199999999995</v>
      </c>
      <c r="K102" s="150"/>
      <c r="L102" s="398"/>
      <c r="M102" s="397"/>
      <c r="N102" s="397"/>
      <c r="O102" s="398"/>
    </row>
    <row r="103" spans="1:17">
      <c r="A103" s="52"/>
      <c r="B103" s="52" t="s">
        <v>439</v>
      </c>
      <c r="C103" s="52"/>
      <c r="D103" s="52"/>
      <c r="E103" s="52"/>
      <c r="F103" s="52"/>
      <c r="G103" s="52">
        <f t="shared" si="2"/>
        <v>0</v>
      </c>
      <c r="H103" s="52">
        <v>5</v>
      </c>
      <c r="I103" s="61">
        <f t="shared" si="3"/>
        <v>5</v>
      </c>
      <c r="J103" s="149">
        <f>Jan!I103+Feb!I103+Mar!I103+Apr!I103+May!I103</f>
        <v>-37.82</v>
      </c>
      <c r="K103" s="150"/>
      <c r="L103" s="398"/>
      <c r="M103" s="397"/>
      <c r="N103" s="397"/>
      <c r="O103" s="398"/>
    </row>
    <row r="104" spans="1:17">
      <c r="A104" s="52"/>
      <c r="B104" s="52" t="s">
        <v>303</v>
      </c>
      <c r="C104" s="52"/>
      <c r="D104" s="52"/>
      <c r="E104" s="52"/>
      <c r="F104" s="52"/>
      <c r="G104" s="52">
        <f t="shared" si="2"/>
        <v>120</v>
      </c>
      <c r="H104" s="52">
        <v>65</v>
      </c>
      <c r="I104" s="61">
        <f t="shared" si="3"/>
        <v>-55</v>
      </c>
      <c r="J104" s="149">
        <f>Jan!I104+Feb!I104+Mar!I104+Apr!I104+May!I104</f>
        <v>-63.740000000000009</v>
      </c>
      <c r="K104" s="150"/>
      <c r="L104" s="398">
        <v>120</v>
      </c>
      <c r="M104" s="397"/>
      <c r="N104" s="397"/>
      <c r="O104" s="398"/>
      <c r="Q104" s="144" t="s">
        <v>1049</v>
      </c>
    </row>
    <row r="105" spans="1:17">
      <c r="A105" s="52"/>
      <c r="B105" s="52" t="s">
        <v>690</v>
      </c>
      <c r="C105" s="52"/>
      <c r="D105" s="52"/>
      <c r="E105" s="52"/>
      <c r="F105" s="52"/>
      <c r="G105" s="52">
        <f t="shared" si="2"/>
        <v>0</v>
      </c>
      <c r="H105" s="52">
        <v>15</v>
      </c>
      <c r="I105" s="61">
        <f t="shared" si="3"/>
        <v>15</v>
      </c>
      <c r="J105" s="149">
        <f>Jan!I105+Feb!I105+Mar!I105+Apr!I105+May!I105</f>
        <v>75</v>
      </c>
      <c r="K105" s="150"/>
      <c r="L105" s="398"/>
      <c r="M105" s="397"/>
      <c r="N105" s="397"/>
      <c r="O105" s="398"/>
    </row>
    <row r="106" spans="1:17">
      <c r="A106" s="52"/>
      <c r="B106" s="52" t="s">
        <v>299</v>
      </c>
      <c r="C106" s="52"/>
      <c r="D106" s="52"/>
      <c r="E106" s="52"/>
      <c r="F106" s="52"/>
      <c r="G106" s="52">
        <f t="shared" si="2"/>
        <v>0</v>
      </c>
      <c r="H106" s="52">
        <v>35</v>
      </c>
      <c r="I106" s="61">
        <f t="shared" si="3"/>
        <v>35</v>
      </c>
      <c r="J106" s="149">
        <f>Jan!I106+Feb!I106+Mar!I106+Apr!I106+May!I106</f>
        <v>148.66</v>
      </c>
      <c r="K106" s="150"/>
      <c r="L106" s="398"/>
      <c r="M106" s="397"/>
      <c r="N106" s="397"/>
      <c r="O106" s="398"/>
    </row>
    <row r="107" spans="1:17">
      <c r="A107" s="52"/>
      <c r="B107" s="52" t="s">
        <v>440</v>
      </c>
      <c r="C107" s="52"/>
      <c r="D107" s="52"/>
      <c r="E107" s="52"/>
      <c r="F107" s="52"/>
      <c r="G107" s="52">
        <f t="shared" si="2"/>
        <v>0</v>
      </c>
      <c r="H107" s="52">
        <v>26</v>
      </c>
      <c r="I107" s="61">
        <f t="shared" si="3"/>
        <v>26</v>
      </c>
      <c r="J107" s="149">
        <f>Jan!I107+Feb!I107+Mar!I107+Apr!I107+May!I107</f>
        <v>-141</v>
      </c>
      <c r="K107" s="150"/>
      <c r="L107" s="398"/>
      <c r="M107" s="397"/>
      <c r="N107" s="397"/>
      <c r="O107" s="398"/>
    </row>
    <row r="108" spans="1:17">
      <c r="A108" s="52"/>
      <c r="B108" s="52" t="s">
        <v>441</v>
      </c>
      <c r="C108" s="52"/>
      <c r="D108" s="52"/>
      <c r="E108" s="52"/>
      <c r="F108" s="52"/>
      <c r="G108" s="52">
        <f t="shared" si="2"/>
        <v>0</v>
      </c>
      <c r="H108" s="52">
        <v>12</v>
      </c>
      <c r="I108" s="61">
        <f t="shared" si="3"/>
        <v>12</v>
      </c>
      <c r="J108" s="149">
        <f>Jan!I108+Feb!I108+Mar!I108+Apr!I108+May!I108</f>
        <v>-85.990000000000009</v>
      </c>
      <c r="K108" s="150"/>
      <c r="L108" s="398"/>
      <c r="M108" s="397"/>
      <c r="N108" s="397"/>
      <c r="O108" s="398"/>
    </row>
    <row r="109" spans="1:17">
      <c r="A109" s="52"/>
      <c r="B109" s="52"/>
      <c r="C109" s="52"/>
      <c r="D109" s="52"/>
      <c r="E109" s="52"/>
      <c r="F109" s="52"/>
      <c r="G109" s="52"/>
      <c r="H109" s="52"/>
      <c r="I109" s="61"/>
      <c r="J109" s="149"/>
      <c r="K109" s="150"/>
      <c r="L109" s="398"/>
      <c r="M109" s="397"/>
      <c r="N109" s="397"/>
      <c r="O109" s="398"/>
    </row>
    <row r="110" spans="1:17">
      <c r="A110" s="58" t="s">
        <v>236</v>
      </c>
      <c r="B110" s="58">
        <f>SUM(G111:G113)</f>
        <v>0</v>
      </c>
      <c r="C110" s="58">
        <f>SUM(H111:H113)</f>
        <v>470</v>
      </c>
      <c r="D110" s="58">
        <f>C110-B110</f>
        <v>470</v>
      </c>
      <c r="E110" s="52"/>
      <c r="F110" s="52"/>
      <c r="G110" s="52"/>
      <c r="H110" s="52"/>
      <c r="I110" s="61"/>
      <c r="J110" s="149"/>
      <c r="K110" s="150"/>
      <c r="L110" s="398"/>
      <c r="M110" s="397"/>
      <c r="N110" s="397"/>
      <c r="O110" s="398"/>
    </row>
    <row r="111" spans="1:17">
      <c r="A111" s="52"/>
      <c r="B111" s="52" t="s">
        <v>482</v>
      </c>
      <c r="C111" s="52"/>
      <c r="D111" s="52"/>
      <c r="E111" s="52"/>
      <c r="F111" s="52"/>
      <c r="G111" s="52">
        <f t="shared" si="2"/>
        <v>0</v>
      </c>
      <c r="H111" s="52">
        <v>60</v>
      </c>
      <c r="I111" s="61">
        <f t="shared" si="3"/>
        <v>60</v>
      </c>
      <c r="J111" s="149">
        <f>Jan!I111+Feb!I111+Mar!I111+Apr!I111+May!I111</f>
        <v>300</v>
      </c>
      <c r="K111" s="150"/>
      <c r="L111" s="398"/>
      <c r="M111" s="397"/>
      <c r="N111" s="397"/>
      <c r="O111" s="398"/>
    </row>
    <row r="112" spans="1:17">
      <c r="A112" s="52"/>
      <c r="B112" s="52" t="s">
        <v>442</v>
      </c>
      <c r="C112" s="52"/>
      <c r="D112" s="52"/>
      <c r="E112" s="52"/>
      <c r="F112" s="52"/>
      <c r="G112" s="52">
        <f t="shared" si="2"/>
        <v>0</v>
      </c>
      <c r="H112" s="52">
        <v>400</v>
      </c>
      <c r="I112" s="61">
        <f t="shared" si="3"/>
        <v>400</v>
      </c>
      <c r="J112" s="149">
        <f>Jan!I112+Feb!I112+Mar!I112+Apr!I112+May!I112</f>
        <v>1835</v>
      </c>
      <c r="K112" s="150"/>
      <c r="L112" s="398"/>
      <c r="M112" s="397"/>
      <c r="N112" s="397"/>
      <c r="O112" s="398"/>
    </row>
    <row r="113" spans="1:17">
      <c r="A113" s="52"/>
      <c r="B113" s="52" t="s">
        <v>258</v>
      </c>
      <c r="C113" s="52"/>
      <c r="D113" s="52"/>
      <c r="E113" s="52"/>
      <c r="F113" s="52"/>
      <c r="G113" s="52">
        <f t="shared" si="2"/>
        <v>0</v>
      </c>
      <c r="H113" s="52">
        <v>10</v>
      </c>
      <c r="I113" s="61">
        <f t="shared" si="3"/>
        <v>10</v>
      </c>
      <c r="J113" s="149">
        <f>Jan!I113+Feb!I113+Mar!I113+Apr!I113+May!I113</f>
        <v>50</v>
      </c>
      <c r="K113" s="150"/>
      <c r="L113" s="398"/>
      <c r="M113" s="397"/>
      <c r="N113" s="397"/>
      <c r="O113" s="398"/>
    </row>
    <row r="114" spans="1:17">
      <c r="A114" s="52"/>
      <c r="B114" s="52"/>
      <c r="C114" s="52"/>
      <c r="D114" s="52"/>
      <c r="E114" s="52"/>
      <c r="F114" s="52"/>
      <c r="G114" s="52"/>
      <c r="H114" s="52"/>
      <c r="I114" s="61"/>
      <c r="J114" s="149"/>
      <c r="K114" s="150"/>
      <c r="L114" s="398"/>
      <c r="M114" s="397"/>
      <c r="N114" s="397"/>
      <c r="O114" s="398"/>
    </row>
    <row r="115" spans="1:17">
      <c r="A115" s="58" t="s">
        <v>53</v>
      </c>
      <c r="B115" s="58">
        <f>SUM(G116:G118)</f>
        <v>250.70999999999998</v>
      </c>
      <c r="C115" s="58">
        <f>SUM(H116:H118)</f>
        <v>245</v>
      </c>
      <c r="D115" s="58">
        <f>C115-B115</f>
        <v>-5.7099999999999795</v>
      </c>
      <c r="E115" s="52"/>
      <c r="F115" s="52"/>
      <c r="G115" s="52"/>
      <c r="H115" s="52"/>
      <c r="I115" s="61"/>
      <c r="J115" s="149"/>
      <c r="K115" s="150"/>
      <c r="L115" s="398"/>
      <c r="M115" s="397"/>
      <c r="N115" s="397"/>
      <c r="O115" s="398"/>
    </row>
    <row r="116" spans="1:17">
      <c r="A116" s="52"/>
      <c r="B116" s="52" t="s">
        <v>443</v>
      </c>
      <c r="C116" s="52"/>
      <c r="D116" s="52"/>
      <c r="E116" s="52"/>
      <c r="F116" s="52"/>
      <c r="G116" s="52">
        <f t="shared" ref="G116:G170" si="4">SUM(L116:O116)</f>
        <v>241.79999999999998</v>
      </c>
      <c r="H116" s="52">
        <v>90</v>
      </c>
      <c r="I116" s="61">
        <f t="shared" si="3"/>
        <v>-151.79999999999998</v>
      </c>
      <c r="J116" s="149">
        <f>Jan!I116+Feb!I116+Mar!I116+Apr!I116+May!I116</f>
        <v>-2388.3500000000004</v>
      </c>
      <c r="K116" s="150"/>
      <c r="L116" s="398"/>
      <c r="M116" s="397">
        <v>195.39</v>
      </c>
      <c r="N116" s="397"/>
      <c r="O116" s="398">
        <v>46.41</v>
      </c>
      <c r="Q116" s="144" t="s">
        <v>1031</v>
      </c>
    </row>
    <row r="117" spans="1:17">
      <c r="A117" s="52"/>
      <c r="B117" s="52" t="s">
        <v>54</v>
      </c>
      <c r="C117" s="52"/>
      <c r="D117" s="52"/>
      <c r="E117" s="52"/>
      <c r="F117" s="52"/>
      <c r="G117" s="52">
        <f t="shared" si="4"/>
        <v>0</v>
      </c>
      <c r="H117" s="52">
        <v>25</v>
      </c>
      <c r="I117" s="61">
        <f t="shared" si="3"/>
        <v>25</v>
      </c>
      <c r="J117" s="149">
        <f>Jan!I117+Feb!I117+Mar!I117+Apr!I117+May!I117</f>
        <v>-108.4</v>
      </c>
      <c r="K117" s="150"/>
      <c r="L117" s="398"/>
      <c r="M117" s="397"/>
      <c r="N117" s="397"/>
      <c r="O117" s="398"/>
    </row>
    <row r="118" spans="1:17">
      <c r="A118" s="52"/>
      <c r="B118" s="54" t="s">
        <v>444</v>
      </c>
      <c r="C118" s="52"/>
      <c r="D118" s="52"/>
      <c r="E118" s="52"/>
      <c r="F118" s="52"/>
      <c r="G118" s="52">
        <f t="shared" si="4"/>
        <v>8.91</v>
      </c>
      <c r="H118" s="52">
        <v>130</v>
      </c>
      <c r="I118" s="61">
        <f t="shared" si="3"/>
        <v>121.09</v>
      </c>
      <c r="J118" s="149">
        <f>Jan!I118+Feb!I118+Mar!I118+Apr!I118+May!I118</f>
        <v>-93.429999999999978</v>
      </c>
      <c r="K118" s="150"/>
      <c r="L118" s="398"/>
      <c r="M118" s="397"/>
      <c r="N118" s="397">
        <f>8.91</f>
        <v>8.91</v>
      </c>
      <c r="O118" s="398"/>
    </row>
    <row r="119" spans="1:17">
      <c r="A119" s="52"/>
      <c r="B119" s="52"/>
      <c r="C119" s="52"/>
      <c r="D119" s="52"/>
      <c r="E119" s="52"/>
      <c r="F119" s="52"/>
      <c r="G119" s="52"/>
      <c r="H119" s="52"/>
      <c r="I119" s="61"/>
      <c r="J119" s="149"/>
      <c r="K119" s="150"/>
      <c r="L119" s="398"/>
      <c r="M119" s="397"/>
      <c r="N119" s="397"/>
      <c r="O119" s="398"/>
    </row>
    <row r="120" spans="1:17">
      <c r="A120" s="58" t="s">
        <v>59</v>
      </c>
      <c r="B120" s="58">
        <f>SUM(G121:G123)</f>
        <v>1640</v>
      </c>
      <c r="C120" s="58">
        <f>SUM(H121:H123)</f>
        <v>415</v>
      </c>
      <c r="D120" s="58">
        <f>C120-B120</f>
        <v>-1225</v>
      </c>
      <c r="E120" s="52"/>
      <c r="F120" s="52"/>
      <c r="G120" s="52"/>
      <c r="H120" s="52"/>
      <c r="I120" s="61"/>
      <c r="J120" s="149"/>
      <c r="K120" s="150"/>
      <c r="L120" s="398"/>
      <c r="M120" s="397"/>
      <c r="N120" s="397"/>
      <c r="O120" s="398"/>
    </row>
    <row r="121" spans="1:17">
      <c r="A121" s="52"/>
      <c r="B121" s="52" t="s">
        <v>484</v>
      </c>
      <c r="C121" s="52"/>
      <c r="D121" s="52" t="s">
        <v>60</v>
      </c>
      <c r="E121" s="52"/>
      <c r="F121" s="52"/>
      <c r="G121" s="52">
        <f t="shared" si="4"/>
        <v>0</v>
      </c>
      <c r="H121" s="52">
        <v>150</v>
      </c>
      <c r="I121" s="61">
        <f t="shared" si="3"/>
        <v>150</v>
      </c>
      <c r="J121" s="149">
        <f>Jan!I121+Feb!I121+Mar!I121+Apr!I121+May!I121</f>
        <v>750</v>
      </c>
      <c r="K121" s="150"/>
      <c r="L121" s="398"/>
      <c r="M121" s="397"/>
      <c r="N121" s="397"/>
      <c r="O121" s="398"/>
    </row>
    <row r="122" spans="1:17">
      <c r="A122" s="58"/>
      <c r="B122" s="52" t="s">
        <v>483</v>
      </c>
      <c r="C122" s="52"/>
      <c r="D122" s="52"/>
      <c r="E122" s="52"/>
      <c r="F122" s="52"/>
      <c r="G122" s="52">
        <f t="shared" si="4"/>
        <v>0</v>
      </c>
      <c r="H122" s="52">
        <v>215</v>
      </c>
      <c r="I122" s="61">
        <f t="shared" si="3"/>
        <v>215</v>
      </c>
      <c r="J122" s="149">
        <f>Jan!I122+Feb!I122+Mar!I122+Apr!I122+May!I122</f>
        <v>565</v>
      </c>
      <c r="K122" s="150"/>
      <c r="L122" s="398"/>
      <c r="M122" s="397"/>
      <c r="N122" s="397"/>
      <c r="O122" s="398"/>
    </row>
    <row r="123" spans="1:17">
      <c r="A123" s="58"/>
      <c r="B123" s="52" t="s">
        <v>468</v>
      </c>
      <c r="C123" s="52"/>
      <c r="D123" s="52"/>
      <c r="E123" s="52"/>
      <c r="F123" s="52"/>
      <c r="G123" s="52">
        <f t="shared" si="4"/>
        <v>1640</v>
      </c>
      <c r="H123" s="52">
        <v>50</v>
      </c>
      <c r="I123" s="61">
        <f t="shared" si="3"/>
        <v>-1590</v>
      </c>
      <c r="J123" s="149">
        <f>Jan!I123+Feb!I123+Mar!I123+Apr!I123+May!I123</f>
        <v>-1390</v>
      </c>
      <c r="K123" s="150"/>
      <c r="L123" s="398"/>
      <c r="M123" s="397"/>
      <c r="N123" s="397">
        <v>1640</v>
      </c>
      <c r="O123" s="398"/>
      <c r="Q123" s="144" t="s">
        <v>1052</v>
      </c>
    </row>
    <row r="124" spans="1:17">
      <c r="A124" s="58"/>
      <c r="B124" s="52"/>
      <c r="C124" s="52"/>
      <c r="D124" s="52"/>
      <c r="E124" s="52"/>
      <c r="F124" s="52"/>
      <c r="G124" s="52"/>
      <c r="H124" s="52"/>
      <c r="I124" s="61"/>
      <c r="J124" s="149"/>
      <c r="K124" s="150"/>
      <c r="L124" s="398"/>
      <c r="M124" s="397"/>
      <c r="N124" s="397"/>
      <c r="O124" s="398"/>
    </row>
    <row r="125" spans="1:17">
      <c r="A125" s="58" t="s">
        <v>50</v>
      </c>
      <c r="B125" s="58">
        <f>SUM(G126:G136)</f>
        <v>806.86</v>
      </c>
      <c r="C125" s="58">
        <f>SUM(H126:H136)</f>
        <v>740</v>
      </c>
      <c r="D125" s="58">
        <f>C125-B125</f>
        <v>-66.860000000000014</v>
      </c>
      <c r="E125" s="52"/>
      <c r="F125" s="52"/>
      <c r="G125" s="52"/>
      <c r="H125" s="52"/>
      <c r="I125" s="61"/>
      <c r="J125" s="149"/>
      <c r="K125" s="150"/>
      <c r="L125" s="398"/>
      <c r="M125" s="397"/>
      <c r="N125" s="397"/>
      <c r="O125" s="398"/>
    </row>
    <row r="126" spans="1:17">
      <c r="A126" s="52"/>
      <c r="B126" s="52" t="s">
        <v>51</v>
      </c>
      <c r="C126" s="52"/>
      <c r="D126" s="52"/>
      <c r="E126" s="52"/>
      <c r="F126" s="52"/>
      <c r="G126" s="52">
        <f t="shared" si="4"/>
        <v>140</v>
      </c>
      <c r="H126" s="52">
        <v>100</v>
      </c>
      <c r="I126" s="61">
        <f t="shared" si="3"/>
        <v>-40</v>
      </c>
      <c r="J126" s="149">
        <f>Jan!I126+Feb!I126+Mar!I126+Apr!I126+May!I126</f>
        <v>-578</v>
      </c>
      <c r="K126" s="150"/>
      <c r="L126" s="398">
        <v>140</v>
      </c>
      <c r="M126" s="397"/>
      <c r="N126" s="397"/>
      <c r="O126" s="398"/>
    </row>
    <row r="127" spans="1:17" ht="15" thickBot="1">
      <c r="A127" s="52"/>
      <c r="B127" s="52" t="s">
        <v>453</v>
      </c>
      <c r="C127" s="52"/>
      <c r="D127" s="52"/>
      <c r="E127" s="52"/>
      <c r="F127" s="52"/>
      <c r="G127" s="52">
        <f t="shared" si="4"/>
        <v>565.93000000000006</v>
      </c>
      <c r="H127" s="52">
        <v>500</v>
      </c>
      <c r="I127" s="61">
        <f t="shared" si="3"/>
        <v>-65.930000000000064</v>
      </c>
      <c r="J127" s="149">
        <f>Jan!I127+Feb!I127+Mar!I127+Apr!I127+May!I127</f>
        <v>985.21000000000026</v>
      </c>
      <c r="K127" s="150"/>
      <c r="L127" s="398"/>
      <c r="M127" s="397">
        <f>10.49+19.11+55.35+17.86</f>
        <v>102.81</v>
      </c>
      <c r="N127" s="397">
        <f>21.03+106.42+78.7+68.5+65.67+27.63+45.16+50.01</f>
        <v>463.12</v>
      </c>
      <c r="O127" s="398"/>
    </row>
    <row r="128" spans="1:17" ht="15" thickBot="1">
      <c r="A128" s="52"/>
      <c r="B128" s="52"/>
      <c r="C128" s="52" t="s">
        <v>446</v>
      </c>
      <c r="D128" s="52"/>
      <c r="E128" s="88"/>
      <c r="F128" s="52"/>
      <c r="G128" s="52"/>
      <c r="H128" s="52"/>
      <c r="I128" s="61"/>
      <c r="J128" s="149"/>
      <c r="K128" s="150"/>
      <c r="L128" s="398"/>
      <c r="M128" s="397"/>
      <c r="N128" s="397"/>
      <c r="O128" s="398"/>
    </row>
    <row r="129" spans="1:17" ht="15" thickBot="1">
      <c r="A129" s="52"/>
      <c r="B129" s="52"/>
      <c r="C129" s="52" t="s">
        <v>447</v>
      </c>
      <c r="D129" s="52"/>
      <c r="E129" s="88"/>
      <c r="F129" s="52"/>
      <c r="G129" s="52"/>
      <c r="H129" s="52"/>
      <c r="I129" s="61"/>
      <c r="J129" s="149"/>
      <c r="K129" s="150"/>
      <c r="L129" s="398"/>
      <c r="M129" s="397"/>
      <c r="N129" s="397"/>
      <c r="O129" s="398"/>
    </row>
    <row r="130" spans="1:17">
      <c r="A130" s="52"/>
      <c r="B130" s="52" t="s">
        <v>300</v>
      </c>
      <c r="C130" s="52"/>
      <c r="D130" s="52"/>
      <c r="E130" s="52"/>
      <c r="F130" s="52"/>
      <c r="G130" s="52">
        <f t="shared" si="4"/>
        <v>0</v>
      </c>
      <c r="H130" s="52">
        <v>50</v>
      </c>
      <c r="I130" s="61">
        <f t="shared" si="3"/>
        <v>50</v>
      </c>
      <c r="J130" s="149">
        <f>Jan!I130+Feb!I130+Mar!I130+Apr!I130+May!I130</f>
        <v>-354.07</v>
      </c>
      <c r="K130" s="150"/>
      <c r="L130" s="398"/>
      <c r="M130" s="397"/>
      <c r="N130" s="397"/>
      <c r="O130" s="398"/>
    </row>
    <row r="131" spans="1:17" ht="15" thickBot="1">
      <c r="A131" s="52"/>
      <c r="B131" s="52" t="s">
        <v>52</v>
      </c>
      <c r="C131" s="52"/>
      <c r="D131" s="52"/>
      <c r="E131" s="52"/>
      <c r="F131" s="52"/>
      <c r="G131" s="52">
        <f t="shared" si="4"/>
        <v>100.92999999999999</v>
      </c>
      <c r="H131" s="52">
        <v>70</v>
      </c>
      <c r="I131" s="61">
        <f t="shared" si="3"/>
        <v>-30.929999999999993</v>
      </c>
      <c r="J131" s="149">
        <f>Jan!I131+Feb!I131+Mar!I131+Apr!I131+May!I131</f>
        <v>157.40000000000003</v>
      </c>
      <c r="K131" s="150"/>
      <c r="L131" s="398"/>
      <c r="M131" s="397">
        <f>18+27.97</f>
        <v>45.97</v>
      </c>
      <c r="N131" s="397">
        <f>24.97+29.99</f>
        <v>54.959999999999994</v>
      </c>
      <c r="O131" s="398"/>
      <c r="Q131" s="144" t="s">
        <v>1034</v>
      </c>
    </row>
    <row r="132" spans="1:17" ht="15" thickBot="1">
      <c r="A132" s="52"/>
      <c r="B132" s="52"/>
      <c r="C132" s="259" t="s">
        <v>448</v>
      </c>
      <c r="D132" s="260"/>
      <c r="E132" s="370">
        <f>18</f>
        <v>18</v>
      </c>
      <c r="F132" s="52"/>
      <c r="G132" s="52"/>
      <c r="H132" s="52"/>
      <c r="I132" s="61"/>
      <c r="J132" s="149"/>
      <c r="K132" s="150"/>
      <c r="L132" s="398"/>
      <c r="M132" s="397"/>
      <c r="N132" s="397"/>
      <c r="O132" s="398"/>
    </row>
    <row r="133" spans="1:17" ht="15" thickBot="1">
      <c r="A133" s="52"/>
      <c r="B133" s="52"/>
      <c r="C133" s="259" t="s">
        <v>449</v>
      </c>
      <c r="D133" s="260"/>
      <c r="E133" s="88"/>
      <c r="F133" s="52"/>
      <c r="G133" s="52"/>
      <c r="H133" s="52"/>
      <c r="I133" s="61"/>
      <c r="J133" s="149"/>
      <c r="K133" s="150"/>
      <c r="L133" s="398"/>
      <c r="M133" s="397"/>
      <c r="N133" s="397"/>
      <c r="O133" s="398"/>
    </row>
    <row r="134" spans="1:17" ht="15" thickBot="1">
      <c r="A134" s="52"/>
      <c r="B134" s="52"/>
      <c r="C134" s="259" t="s">
        <v>450</v>
      </c>
      <c r="D134" s="260"/>
      <c r="E134" s="370">
        <f>27.97+24.97</f>
        <v>52.94</v>
      </c>
      <c r="F134" s="52"/>
      <c r="G134" s="52"/>
      <c r="H134" s="52"/>
      <c r="I134" s="61"/>
      <c r="J134" s="149"/>
      <c r="K134" s="150"/>
      <c r="L134" s="398"/>
      <c r="M134" s="397"/>
      <c r="N134" s="397"/>
      <c r="O134" s="398"/>
    </row>
    <row r="135" spans="1:17" ht="15" thickBot="1">
      <c r="A135" s="52"/>
      <c r="B135" s="52"/>
      <c r="C135" s="259" t="s">
        <v>451</v>
      </c>
      <c r="D135" s="260"/>
      <c r="E135" s="88">
        <f>29.99</f>
        <v>29.99</v>
      </c>
      <c r="F135" s="52"/>
      <c r="G135" s="52"/>
      <c r="H135" s="52"/>
      <c r="I135" s="61"/>
      <c r="J135" s="149"/>
      <c r="K135" s="150"/>
      <c r="L135" s="398"/>
      <c r="M135" s="397"/>
      <c r="N135" s="397"/>
      <c r="O135" s="398"/>
    </row>
    <row r="136" spans="1:17">
      <c r="A136" s="52"/>
      <c r="B136" s="52" t="s">
        <v>452</v>
      </c>
      <c r="C136" s="52"/>
      <c r="D136" s="52"/>
      <c r="E136" s="52"/>
      <c r="F136" s="52"/>
      <c r="G136" s="52">
        <f t="shared" si="4"/>
        <v>0</v>
      </c>
      <c r="H136" s="52">
        <v>20</v>
      </c>
      <c r="I136" s="61">
        <f t="shared" ref="I136:I151" si="5">H136-G136</f>
        <v>20</v>
      </c>
      <c r="J136" s="149">
        <f>Jan!I136+Feb!I136+Mar!I136+Apr!I136+May!I136</f>
        <v>100</v>
      </c>
      <c r="K136" s="150"/>
      <c r="L136" s="398"/>
      <c r="M136" s="397"/>
      <c r="N136" s="397"/>
      <c r="O136" s="398"/>
    </row>
    <row r="137" spans="1:17">
      <c r="A137" s="52"/>
      <c r="B137" s="52"/>
      <c r="C137" s="52"/>
      <c r="D137" s="52"/>
      <c r="E137" s="52"/>
      <c r="F137" s="52"/>
      <c r="G137" s="52"/>
      <c r="H137" s="52"/>
      <c r="I137" s="61"/>
      <c r="J137" s="149"/>
      <c r="K137" s="150"/>
      <c r="L137" s="398"/>
      <c r="M137" s="397"/>
      <c r="N137" s="397"/>
      <c r="O137" s="398"/>
    </row>
    <row r="138" spans="1:17">
      <c r="A138" s="58" t="s">
        <v>65</v>
      </c>
      <c r="B138" s="58">
        <f>G139</f>
        <v>145.91</v>
      </c>
      <c r="C138" s="58">
        <f>H139</f>
        <v>140</v>
      </c>
      <c r="D138" s="58">
        <f>I139</f>
        <v>-5.9099999999999966</v>
      </c>
      <c r="E138" s="52"/>
      <c r="F138" s="52"/>
      <c r="G138" s="52"/>
      <c r="H138" s="52"/>
      <c r="I138" s="61"/>
      <c r="J138" s="149"/>
      <c r="K138" s="150"/>
      <c r="L138" s="398"/>
      <c r="M138" s="397"/>
      <c r="N138" s="397"/>
      <c r="O138" s="398"/>
    </row>
    <row r="139" spans="1:17">
      <c r="A139" s="52"/>
      <c r="B139" s="52" t="s">
        <v>66</v>
      </c>
      <c r="C139" s="52"/>
      <c r="D139" s="52"/>
      <c r="E139" s="52"/>
      <c r="F139" s="52"/>
      <c r="G139" s="52">
        <f t="shared" si="4"/>
        <v>145.91</v>
      </c>
      <c r="H139" s="52">
        <v>140</v>
      </c>
      <c r="I139" s="61">
        <f t="shared" si="5"/>
        <v>-5.9099999999999966</v>
      </c>
      <c r="J139" s="149">
        <f>Jan!I139+Feb!I139+Mar!I139+Apr!I139+May!I139</f>
        <v>443.43000000000006</v>
      </c>
      <c r="K139" s="150"/>
      <c r="L139" s="398"/>
      <c r="M139" s="397">
        <v>145.91</v>
      </c>
      <c r="N139" s="397"/>
      <c r="O139" s="398"/>
      <c r="Q139" s="144" t="s">
        <v>1023</v>
      </c>
    </row>
    <row r="140" spans="1:17">
      <c r="A140" s="52"/>
      <c r="B140" s="52"/>
      <c r="C140" s="52"/>
      <c r="D140" s="52"/>
      <c r="E140" s="52"/>
      <c r="F140" s="52"/>
      <c r="G140" s="52"/>
      <c r="H140" s="52"/>
      <c r="I140" s="61"/>
      <c r="J140" s="149"/>
      <c r="K140" s="150"/>
      <c r="L140" s="398"/>
      <c r="M140" s="397"/>
      <c r="N140" s="397"/>
      <c r="O140" s="398"/>
    </row>
    <row r="141" spans="1:17">
      <c r="A141" s="58" t="s">
        <v>1033</v>
      </c>
      <c r="B141" s="58">
        <f>SUM(G142:G144)</f>
        <v>185.17000000000002</v>
      </c>
      <c r="C141" s="58">
        <f>SUM(H142:H144)</f>
        <v>230</v>
      </c>
      <c r="D141" s="58">
        <f>C141-B141</f>
        <v>44.829999999999984</v>
      </c>
      <c r="E141" s="52"/>
      <c r="F141" s="52"/>
      <c r="G141" s="52"/>
      <c r="H141" s="52"/>
      <c r="I141" s="61"/>
      <c r="J141" s="149"/>
      <c r="K141" s="150"/>
      <c r="L141" s="398"/>
      <c r="M141" s="397"/>
      <c r="N141" s="397"/>
      <c r="O141" s="398"/>
    </row>
    <row r="142" spans="1:17">
      <c r="A142" s="52"/>
      <c r="B142" s="52" t="s">
        <v>266</v>
      </c>
      <c r="C142" s="52"/>
      <c r="D142" s="52"/>
      <c r="E142" s="52"/>
      <c r="F142" s="52"/>
      <c r="G142" s="52">
        <f t="shared" si="4"/>
        <v>185.17000000000002</v>
      </c>
      <c r="H142" s="52">
        <v>100</v>
      </c>
      <c r="I142" s="61">
        <f t="shared" si="5"/>
        <v>-85.170000000000016</v>
      </c>
      <c r="J142" s="149">
        <f>Jan!I142+Feb!I142+Mar!I142+Apr!I142+May!I142</f>
        <v>-414.65000000000003</v>
      </c>
      <c r="K142" s="150"/>
      <c r="L142" s="398"/>
      <c r="M142" s="397">
        <f>33.14+63.13+18+40</f>
        <v>154.27000000000001</v>
      </c>
      <c r="N142" s="397">
        <f>23.7+7.2</f>
        <v>30.9</v>
      </c>
      <c r="O142" s="398"/>
    </row>
    <row r="143" spans="1:17">
      <c r="A143" s="52"/>
      <c r="B143" s="52" t="s">
        <v>454</v>
      </c>
      <c r="C143" s="52"/>
      <c r="D143" s="52"/>
      <c r="E143" s="52"/>
      <c r="F143" s="52"/>
      <c r="G143" s="52">
        <f t="shared" si="4"/>
        <v>0</v>
      </c>
      <c r="H143" s="52">
        <v>100</v>
      </c>
      <c r="I143" s="61">
        <f t="shared" si="5"/>
        <v>100</v>
      </c>
      <c r="J143" s="149">
        <f>Jan!I143+Feb!I143+Mar!I143+Apr!I143+May!I143</f>
        <v>500</v>
      </c>
      <c r="K143" s="150"/>
      <c r="L143" s="398"/>
      <c r="M143" s="397"/>
      <c r="N143" s="397"/>
      <c r="O143" s="398"/>
    </row>
    <row r="144" spans="1:17">
      <c r="A144" s="52"/>
      <c r="B144" s="52" t="s">
        <v>455</v>
      </c>
      <c r="C144" s="52"/>
      <c r="D144" s="52"/>
      <c r="E144" s="52"/>
      <c r="F144" s="52"/>
      <c r="G144" s="52">
        <f t="shared" si="4"/>
        <v>0</v>
      </c>
      <c r="H144" s="52">
        <v>30</v>
      </c>
      <c r="I144" s="61">
        <f t="shared" si="5"/>
        <v>30</v>
      </c>
      <c r="J144" s="149">
        <f>Jan!I144+Feb!I144+Mar!I144+Apr!I144+May!I144</f>
        <v>150</v>
      </c>
      <c r="K144" s="150"/>
      <c r="L144" s="398"/>
      <c r="M144" s="397"/>
      <c r="N144" s="397"/>
      <c r="O144" s="398"/>
    </row>
    <row r="145" spans="1:17">
      <c r="A145" s="52"/>
      <c r="B145" s="52"/>
      <c r="C145" s="52"/>
      <c r="D145" s="52"/>
      <c r="E145" s="52"/>
      <c r="F145" s="52"/>
      <c r="G145" s="52"/>
      <c r="H145" s="52"/>
      <c r="I145" s="61"/>
      <c r="J145" s="149"/>
      <c r="K145" s="150"/>
      <c r="L145" s="398"/>
      <c r="M145" s="397"/>
      <c r="N145" s="397"/>
      <c r="O145" s="398"/>
    </row>
    <row r="146" spans="1:17">
      <c r="A146" s="58" t="s">
        <v>67</v>
      </c>
      <c r="B146" s="58">
        <f>G147</f>
        <v>1.05</v>
      </c>
      <c r="C146" s="58">
        <f>H147</f>
        <v>10</v>
      </c>
      <c r="D146" s="58">
        <f>C146-B146</f>
        <v>8.9499999999999993</v>
      </c>
      <c r="E146" s="52"/>
      <c r="F146" s="52"/>
      <c r="G146" s="52"/>
      <c r="H146" s="52"/>
      <c r="I146" s="61"/>
      <c r="J146" s="149"/>
      <c r="K146" s="150"/>
      <c r="L146" s="398"/>
      <c r="M146" s="397"/>
      <c r="N146" s="397"/>
      <c r="O146" s="398"/>
    </row>
    <row r="147" spans="1:17">
      <c r="A147" s="52"/>
      <c r="B147" s="52" t="s">
        <v>68</v>
      </c>
      <c r="C147" s="52"/>
      <c r="D147" s="52"/>
      <c r="E147" s="52"/>
      <c r="F147" s="52"/>
      <c r="G147" s="52">
        <f t="shared" si="4"/>
        <v>1.05</v>
      </c>
      <c r="H147" s="52">
        <v>10</v>
      </c>
      <c r="I147" s="61">
        <f t="shared" si="5"/>
        <v>8.9499999999999993</v>
      </c>
      <c r="J147" s="149">
        <f>Jan!I147+Feb!I147+Mar!I147+Apr!I147+May!I147</f>
        <v>46.849999999999994</v>
      </c>
      <c r="K147" s="150"/>
      <c r="L147" s="398"/>
      <c r="M147" s="397"/>
      <c r="N147" s="397">
        <f>1.05</f>
        <v>1.05</v>
      </c>
      <c r="O147" s="398"/>
    </row>
    <row r="148" spans="1:17">
      <c r="A148" s="52"/>
      <c r="B148" s="52"/>
      <c r="C148" s="52"/>
      <c r="D148" s="52"/>
      <c r="E148" s="52"/>
      <c r="F148" s="52"/>
      <c r="G148" s="52"/>
      <c r="H148" s="52"/>
      <c r="I148" s="61"/>
      <c r="J148" s="149"/>
      <c r="K148" s="150"/>
      <c r="L148" s="398"/>
      <c r="M148" s="397"/>
      <c r="N148" s="397"/>
      <c r="O148" s="398"/>
    </row>
    <row r="149" spans="1:17">
      <c r="A149" s="58" t="s">
        <v>269</v>
      </c>
      <c r="B149" s="58">
        <f>SUM(G150:G151)</f>
        <v>1.8799999999999955</v>
      </c>
      <c r="C149" s="58">
        <f>SUM(H150:H151)</f>
        <v>250</v>
      </c>
      <c r="D149" s="58">
        <f>C149-B149</f>
        <v>248.12</v>
      </c>
      <c r="E149" s="52"/>
      <c r="F149" s="52"/>
      <c r="G149" s="52"/>
      <c r="H149" s="52"/>
      <c r="I149" s="61"/>
      <c r="J149" s="149"/>
      <c r="K149" s="150"/>
      <c r="L149" s="398"/>
      <c r="M149" s="397"/>
      <c r="N149" s="397"/>
      <c r="O149" s="398"/>
    </row>
    <row r="150" spans="1:17">
      <c r="A150" s="52"/>
      <c r="B150" s="52" t="s">
        <v>63</v>
      </c>
      <c r="C150" s="52"/>
      <c r="D150" s="52"/>
      <c r="E150" s="52"/>
      <c r="F150" s="52"/>
      <c r="G150" s="52">
        <f t="shared" si="4"/>
        <v>0</v>
      </c>
      <c r="H150" s="52">
        <v>150</v>
      </c>
      <c r="I150" s="61">
        <f t="shared" si="5"/>
        <v>150</v>
      </c>
      <c r="J150" s="149">
        <f>Jan!I150+Feb!I150+Mar!I150+Apr!I150+May!I150</f>
        <v>750</v>
      </c>
      <c r="K150" s="150"/>
      <c r="L150" s="398"/>
      <c r="M150" s="397"/>
      <c r="N150" s="397"/>
      <c r="O150" s="398"/>
    </row>
    <row r="151" spans="1:17">
      <c r="A151" s="52"/>
      <c r="B151" s="52" t="s">
        <v>64</v>
      </c>
      <c r="C151" s="52"/>
      <c r="D151" s="52" t="s">
        <v>270</v>
      </c>
      <c r="E151" s="52"/>
      <c r="F151" s="52"/>
      <c r="G151" s="52">
        <f t="shared" si="4"/>
        <v>1.8799999999999955</v>
      </c>
      <c r="H151" s="52">
        <v>100</v>
      </c>
      <c r="I151" s="61">
        <f t="shared" si="5"/>
        <v>98.12</v>
      </c>
      <c r="J151" s="149">
        <f>Jan!I151+Feb!I151+Mar!I151+Apr!I151+May!I151</f>
        <v>291.11</v>
      </c>
      <c r="L151" s="398">
        <v>-140</v>
      </c>
      <c r="M151" s="397"/>
      <c r="N151" s="397">
        <f>141.88</f>
        <v>141.88</v>
      </c>
      <c r="O151" s="398"/>
      <c r="Q151" s="144" t="s">
        <v>1035</v>
      </c>
    </row>
    <row r="152" spans="1:17">
      <c r="A152" s="52"/>
      <c r="B152" s="52"/>
      <c r="C152" s="52"/>
      <c r="D152" s="52"/>
      <c r="E152" s="52"/>
      <c r="F152" s="52"/>
      <c r="G152" s="52"/>
      <c r="H152" s="52"/>
      <c r="I152" s="61"/>
      <c r="J152" s="149"/>
      <c r="L152" s="398"/>
      <c r="M152" s="397"/>
      <c r="N152" s="397"/>
      <c r="O152" s="398"/>
    </row>
    <row r="153" spans="1:17">
      <c r="A153" s="52"/>
      <c r="B153" s="52"/>
      <c r="C153" s="52"/>
      <c r="D153" s="52"/>
      <c r="E153" s="52"/>
      <c r="F153" s="52"/>
      <c r="G153" s="52"/>
      <c r="H153" s="52"/>
      <c r="I153" s="61"/>
      <c r="J153" s="149"/>
      <c r="L153" s="398"/>
      <c r="M153" s="397"/>
      <c r="N153" s="397"/>
      <c r="O153" s="398"/>
    </row>
    <row r="154" spans="1:17">
      <c r="A154" s="58" t="s">
        <v>459</v>
      </c>
      <c r="B154" s="52"/>
      <c r="C154" s="52"/>
      <c r="D154" s="52"/>
      <c r="E154" s="52"/>
      <c r="F154" s="52"/>
      <c r="G154" s="52"/>
      <c r="H154" s="52"/>
      <c r="I154" s="61"/>
      <c r="J154" s="149"/>
      <c r="L154" s="398"/>
      <c r="M154" s="397"/>
      <c r="N154" s="397"/>
      <c r="O154" s="398"/>
    </row>
    <row r="155" spans="1:17">
      <c r="A155" s="52"/>
      <c r="B155" s="52">
        <f>SUM(G156:G170)</f>
        <v>0</v>
      </c>
      <c r="C155" s="52">
        <f>SUM(H156:H170)</f>
        <v>610</v>
      </c>
      <c r="D155" s="58">
        <f>C155-B155</f>
        <v>610</v>
      </c>
      <c r="E155" s="52"/>
      <c r="F155" s="52"/>
      <c r="G155" s="52"/>
      <c r="H155" s="52"/>
      <c r="I155" s="61"/>
      <c r="J155" s="149"/>
      <c r="L155" s="398"/>
      <c r="M155" s="397"/>
      <c r="N155" s="397"/>
      <c r="O155" s="398"/>
    </row>
    <row r="156" spans="1:17">
      <c r="A156" s="58" t="s">
        <v>461</v>
      </c>
      <c r="B156" s="52"/>
      <c r="C156" s="52"/>
      <c r="D156" s="52"/>
      <c r="E156" s="52"/>
      <c r="F156" s="52"/>
      <c r="G156" s="52"/>
      <c r="H156" s="52"/>
      <c r="I156" s="61"/>
      <c r="J156" s="149"/>
      <c r="K156" s="80"/>
      <c r="L156" s="398"/>
      <c r="M156" s="397"/>
      <c r="N156" s="397"/>
      <c r="O156" s="398"/>
    </row>
    <row r="157" spans="1:17" ht="15" thickBot="1">
      <c r="A157" s="52"/>
      <c r="B157" s="52" t="s">
        <v>267</v>
      </c>
      <c r="C157" s="52"/>
      <c r="D157" s="52"/>
      <c r="E157" s="52"/>
      <c r="F157" s="52"/>
      <c r="G157" s="52">
        <f t="shared" si="4"/>
        <v>0</v>
      </c>
      <c r="H157" s="52">
        <v>100</v>
      </c>
      <c r="I157" s="61">
        <f t="shared" ref="I157:I170" si="6">H157-G157</f>
        <v>100</v>
      </c>
      <c r="J157" s="149">
        <f>Jan!I157+Feb!I157+Mar!I157+Apr!I157+May!I157</f>
        <v>500</v>
      </c>
      <c r="K157" s="80"/>
      <c r="L157" s="398"/>
      <c r="M157" s="397"/>
      <c r="N157" s="397"/>
      <c r="O157" s="398"/>
    </row>
    <row r="158" spans="1:17" ht="15" thickBot="1">
      <c r="A158" s="88">
        <f>SUM(G157:G161)</f>
        <v>0</v>
      </c>
      <c r="B158" s="52" t="s">
        <v>268</v>
      </c>
      <c r="C158" s="52"/>
      <c r="D158" s="52"/>
      <c r="E158" s="52"/>
      <c r="F158" s="52"/>
      <c r="G158" s="52">
        <f t="shared" si="4"/>
        <v>0</v>
      </c>
      <c r="H158" s="52">
        <v>100</v>
      </c>
      <c r="I158" s="61">
        <f t="shared" si="6"/>
        <v>100</v>
      </c>
      <c r="J158" s="149">
        <f>Jan!I158+Feb!I158+Mar!I158+Apr!I158+May!I158</f>
        <v>500</v>
      </c>
      <c r="K158" s="80"/>
      <c r="L158" s="398"/>
      <c r="M158" s="397"/>
      <c r="N158" s="397"/>
      <c r="O158" s="398"/>
    </row>
    <row r="159" spans="1:17">
      <c r="A159" s="52"/>
      <c r="B159" s="52" t="s">
        <v>61</v>
      </c>
      <c r="C159" s="52"/>
      <c r="D159" s="52"/>
      <c r="E159" s="52"/>
      <c r="F159" s="52"/>
      <c r="G159" s="52">
        <f t="shared" si="4"/>
        <v>0</v>
      </c>
      <c r="H159" s="52">
        <v>30</v>
      </c>
      <c r="I159" s="61">
        <f t="shared" si="6"/>
        <v>30</v>
      </c>
      <c r="J159" s="149">
        <f>Jan!I159+Feb!I159+Mar!I159+Apr!I159+May!I159</f>
        <v>150</v>
      </c>
      <c r="K159" s="80"/>
      <c r="L159" s="398"/>
      <c r="M159" s="397"/>
      <c r="N159" s="397"/>
      <c r="O159" s="398"/>
    </row>
    <row r="160" spans="1:17">
      <c r="A160" s="52"/>
      <c r="B160" s="52" t="s">
        <v>62</v>
      </c>
      <c r="C160" s="52"/>
      <c r="D160" s="52"/>
      <c r="E160" s="52"/>
      <c r="F160" s="52"/>
      <c r="G160" s="52">
        <f t="shared" si="4"/>
        <v>0</v>
      </c>
      <c r="H160" s="52">
        <v>50</v>
      </c>
      <c r="I160" s="61">
        <f t="shared" si="6"/>
        <v>50</v>
      </c>
      <c r="J160" s="149">
        <f>Jan!I160+Feb!I160+Mar!I160+Apr!I160+May!I160</f>
        <v>175</v>
      </c>
      <c r="K160" s="80"/>
      <c r="L160" s="398"/>
      <c r="M160" s="397"/>
      <c r="N160" s="397"/>
      <c r="O160" s="398"/>
    </row>
    <row r="161" spans="1:15">
      <c r="A161" s="52"/>
      <c r="B161" s="52" t="s">
        <v>486</v>
      </c>
      <c r="C161" s="52"/>
      <c r="D161" s="52"/>
      <c r="E161" s="52"/>
      <c r="F161" s="52"/>
      <c r="G161" s="52">
        <f t="shared" si="4"/>
        <v>0</v>
      </c>
      <c r="H161" s="52">
        <v>10</v>
      </c>
      <c r="I161" s="61">
        <f t="shared" si="6"/>
        <v>10</v>
      </c>
      <c r="J161" s="149">
        <f>Jan!I161+Feb!I161+Mar!I161+Apr!I161+May!I161</f>
        <v>50</v>
      </c>
      <c r="K161" s="80"/>
      <c r="L161" s="398"/>
      <c r="M161" s="397"/>
      <c r="N161" s="397"/>
      <c r="O161" s="398"/>
    </row>
    <row r="162" spans="1:15">
      <c r="A162" s="52"/>
      <c r="B162" s="52"/>
      <c r="C162" s="52"/>
      <c r="D162" s="52"/>
      <c r="E162" s="52"/>
      <c r="F162" s="52"/>
      <c r="G162" s="52"/>
      <c r="H162" s="52"/>
      <c r="I162" s="61"/>
      <c r="J162" s="149"/>
      <c r="K162" s="80"/>
      <c r="L162" s="398"/>
      <c r="M162" s="397"/>
      <c r="N162" s="397"/>
      <c r="O162" s="398"/>
    </row>
    <row r="163" spans="1:15">
      <c r="A163" s="58" t="s">
        <v>460</v>
      </c>
      <c r="B163" s="52"/>
      <c r="C163" s="52"/>
      <c r="D163" s="52"/>
      <c r="E163" s="52"/>
      <c r="F163" s="52"/>
      <c r="G163" s="52"/>
      <c r="H163" s="52"/>
      <c r="I163" s="61"/>
      <c r="J163" s="149"/>
      <c r="K163" s="80"/>
      <c r="L163" s="398"/>
      <c r="M163" s="397"/>
      <c r="N163" s="397"/>
      <c r="O163" s="398"/>
    </row>
    <row r="164" spans="1:15" ht="15" thickBot="1">
      <c r="A164" s="52"/>
      <c r="B164" s="52" t="s">
        <v>456</v>
      </c>
      <c r="C164" s="52"/>
      <c r="D164" s="52"/>
      <c r="E164" s="52"/>
      <c r="F164" s="52"/>
      <c r="G164" s="52">
        <f t="shared" si="4"/>
        <v>0</v>
      </c>
      <c r="H164" s="52">
        <v>30</v>
      </c>
      <c r="I164" s="61">
        <f t="shared" si="6"/>
        <v>30</v>
      </c>
      <c r="J164" s="149">
        <f>Jan!I164+Feb!I164+Mar!I164+Apr!I164+May!I164</f>
        <v>116.83</v>
      </c>
      <c r="K164" s="80"/>
      <c r="L164" s="398"/>
      <c r="M164" s="397"/>
      <c r="N164" s="397"/>
      <c r="O164" s="398"/>
    </row>
    <row r="165" spans="1:15" ht="15" thickBot="1">
      <c r="A165" s="88">
        <f>SUM(G164:G168)</f>
        <v>0</v>
      </c>
      <c r="B165" s="52" t="s">
        <v>457</v>
      </c>
      <c r="C165" s="52"/>
      <c r="D165" s="52"/>
      <c r="E165" s="52"/>
      <c r="F165" s="52"/>
      <c r="G165" s="52">
        <f t="shared" si="4"/>
        <v>0</v>
      </c>
      <c r="H165" s="52">
        <v>30</v>
      </c>
      <c r="I165" s="61">
        <f t="shared" si="6"/>
        <v>30</v>
      </c>
      <c r="J165" s="149">
        <f>Jan!I165+Feb!I165+Mar!I165+Apr!I165+May!I165</f>
        <v>140</v>
      </c>
      <c r="K165" s="80"/>
      <c r="L165" s="398"/>
      <c r="M165" s="397"/>
      <c r="N165" s="397"/>
      <c r="O165" s="398"/>
    </row>
    <row r="166" spans="1:15">
      <c r="A166" s="52"/>
      <c r="B166" s="52" t="s">
        <v>462</v>
      </c>
      <c r="C166" s="52"/>
      <c r="D166" s="52"/>
      <c r="E166" s="52"/>
      <c r="F166" s="52"/>
      <c r="G166" s="52">
        <f t="shared" si="4"/>
        <v>0</v>
      </c>
      <c r="H166" s="52">
        <v>30</v>
      </c>
      <c r="I166" s="61">
        <f t="shared" si="6"/>
        <v>30</v>
      </c>
      <c r="J166" s="149">
        <f>Jan!I166+Feb!I166+Mar!I166+Apr!I166+May!I166</f>
        <v>150</v>
      </c>
      <c r="K166" s="80"/>
      <c r="L166" s="398"/>
      <c r="M166" s="397"/>
      <c r="N166" s="397"/>
      <c r="O166" s="398"/>
    </row>
    <row r="167" spans="1:15">
      <c r="A167" s="52"/>
      <c r="B167" s="52" t="s">
        <v>458</v>
      </c>
      <c r="C167" s="52"/>
      <c r="D167" s="52"/>
      <c r="E167" s="52"/>
      <c r="F167" s="52"/>
      <c r="G167" s="52">
        <f t="shared" si="4"/>
        <v>0</v>
      </c>
      <c r="H167" s="52">
        <v>30</v>
      </c>
      <c r="I167" s="61">
        <f t="shared" si="6"/>
        <v>30</v>
      </c>
      <c r="J167" s="149">
        <f>Jan!I167+Feb!I167+Mar!I167+Apr!I167+May!I167</f>
        <v>150</v>
      </c>
      <c r="K167" s="80"/>
      <c r="L167" s="398"/>
      <c r="M167" s="397"/>
      <c r="N167" s="397"/>
      <c r="O167" s="398"/>
    </row>
    <row r="168" spans="1:15">
      <c r="A168" s="52"/>
      <c r="B168" s="52" t="s">
        <v>485</v>
      </c>
      <c r="C168" s="52"/>
      <c r="D168" s="52"/>
      <c r="E168" s="52"/>
      <c r="F168" s="52"/>
      <c r="G168" s="52">
        <f t="shared" si="4"/>
        <v>0</v>
      </c>
      <c r="H168" s="52">
        <v>100</v>
      </c>
      <c r="I168" s="61">
        <f t="shared" si="6"/>
        <v>100</v>
      </c>
      <c r="J168" s="149">
        <f>Jan!I168+Feb!I168+Mar!I168+Apr!I168+May!I168</f>
        <v>500</v>
      </c>
      <c r="K168" s="80"/>
      <c r="L168" s="398"/>
      <c r="M168" s="397"/>
      <c r="N168" s="397"/>
      <c r="O168" s="398"/>
    </row>
    <row r="169" spans="1:15">
      <c r="A169" s="52"/>
      <c r="B169" s="52"/>
      <c r="C169" s="52"/>
      <c r="D169" s="52"/>
      <c r="E169" s="52"/>
      <c r="F169" s="52"/>
      <c r="G169" s="52"/>
      <c r="H169" s="52"/>
      <c r="I169" s="61"/>
      <c r="J169" s="149"/>
      <c r="K169" s="80"/>
      <c r="L169" s="398"/>
      <c r="M169" s="397"/>
      <c r="N169" s="397"/>
      <c r="O169" s="398"/>
    </row>
    <row r="170" spans="1:15">
      <c r="A170" s="58" t="s">
        <v>272</v>
      </c>
      <c r="B170" s="52"/>
      <c r="C170" s="52"/>
      <c r="D170" s="52"/>
      <c r="E170" s="52"/>
      <c r="F170" s="52"/>
      <c r="G170" s="52">
        <f t="shared" si="4"/>
        <v>0</v>
      </c>
      <c r="H170" s="52">
        <v>100</v>
      </c>
      <c r="I170" s="61">
        <f t="shared" si="6"/>
        <v>100</v>
      </c>
      <c r="J170" s="149">
        <f>Jan!I170+Feb!I170+Mar!I170+Apr!I170+May!I170</f>
        <v>500</v>
      </c>
      <c r="K170" s="80"/>
      <c r="L170" s="398"/>
      <c r="M170" s="397"/>
      <c r="N170" s="397"/>
      <c r="O170" s="398"/>
    </row>
  </sheetData>
  <sheetProtection selectLockedCells="1" selectUnlockedCells="1"/>
  <pageMargins left="0.75" right="0.75" top="1" bottom="1" header="0.51180555555555551" footer="0.51180555555555551"/>
  <pageSetup firstPageNumber="0" orientation="portrait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0"/>
  <sheetViews>
    <sheetView topLeftCell="A15" zoomScale="84" zoomScaleNormal="84" workbookViewId="0">
      <selection activeCell="M124" sqref="M124"/>
    </sheetView>
  </sheetViews>
  <sheetFormatPr defaultColWidth="9" defaultRowHeight="15.75"/>
  <cols>
    <col min="1" max="1" width="24.42578125" style="74" customWidth="1"/>
    <col min="2" max="2" width="18" style="65" customWidth="1"/>
    <col min="3" max="3" width="17.140625" style="65" customWidth="1"/>
    <col min="4" max="5" width="16.5703125" style="65" customWidth="1"/>
    <col min="6" max="6" width="15.28515625" style="65" customWidth="1"/>
    <col min="7" max="7" width="13.5703125" style="65" customWidth="1"/>
    <col min="8" max="8" width="13.85546875" style="65" customWidth="1"/>
    <col min="9" max="10" width="14" style="65" customWidth="1"/>
    <col min="11" max="11" width="2.28515625" style="80" customWidth="1"/>
    <col min="12" max="12" width="11.5703125" style="65" customWidth="1"/>
    <col min="13" max="13" width="11.85546875" style="65" customWidth="1"/>
    <col min="14" max="15" width="11.5703125" style="65" customWidth="1"/>
    <col min="16" max="16" width="1.7109375" style="65" customWidth="1"/>
    <col min="17" max="17" width="11.140625" style="65" customWidth="1"/>
    <col min="18" max="18" width="11.5703125" style="65" customWidth="1"/>
    <col min="19" max="16384" width="9" style="65"/>
  </cols>
  <sheetData>
    <row r="1" spans="1:16">
      <c r="A1" s="71" t="s">
        <v>182</v>
      </c>
      <c r="B1" s="72">
        <v>2015</v>
      </c>
      <c r="C1" s="72"/>
      <c r="L1" s="73" t="s">
        <v>492</v>
      </c>
    </row>
    <row r="2" spans="1:16">
      <c r="A2" s="71" t="s">
        <v>171</v>
      </c>
      <c r="B2" s="73" t="s">
        <v>11</v>
      </c>
      <c r="C2" s="73"/>
      <c r="M2" s="73"/>
    </row>
    <row r="3" spans="1:16">
      <c r="M3" s="73"/>
      <c r="O3" s="75"/>
    </row>
    <row r="4" spans="1:16">
      <c r="A4" s="71" t="s">
        <v>4</v>
      </c>
      <c r="B4" s="76">
        <f>SUM(G5:G8)</f>
        <v>12177.05</v>
      </c>
      <c r="C4" s="76"/>
      <c r="F4" s="93"/>
      <c r="G4" s="65" t="s">
        <v>31</v>
      </c>
      <c r="L4" s="77"/>
      <c r="O4" s="75"/>
    </row>
    <row r="5" spans="1:16" ht="12.75">
      <c r="A5" s="65" t="s">
        <v>24</v>
      </c>
      <c r="B5" s="121"/>
      <c r="C5" s="121"/>
      <c r="F5" s="93"/>
      <c r="G5" s="121">
        <f>SUM(B5:E5)</f>
        <v>0</v>
      </c>
      <c r="H5" s="77"/>
      <c r="I5" s="77"/>
      <c r="J5" s="77"/>
      <c r="K5" s="81"/>
      <c r="L5" s="77"/>
      <c r="O5" s="75"/>
    </row>
    <row r="6" spans="1:16" ht="12.75">
      <c r="A6" s="65" t="s">
        <v>230</v>
      </c>
      <c r="B6" s="65">
        <v>1881.84</v>
      </c>
      <c r="C6" s="75">
        <v>1881.84</v>
      </c>
      <c r="F6" s="93"/>
      <c r="G6" s="121">
        <f>SUM(B6:F6)</f>
        <v>3763.68</v>
      </c>
      <c r="H6" s="77"/>
      <c r="I6" s="77"/>
      <c r="J6" s="77"/>
      <c r="K6" s="81"/>
      <c r="L6" s="77"/>
      <c r="O6" s="75"/>
    </row>
    <row r="7" spans="1:16" ht="12.75">
      <c r="A7" s="65" t="s">
        <v>964</v>
      </c>
      <c r="B7" s="65">
        <v>4173.99</v>
      </c>
      <c r="C7" s="65">
        <v>4239.38</v>
      </c>
      <c r="F7" s="93"/>
      <c r="G7" s="121">
        <f>SUM(B7:E7)</f>
        <v>8413.369999999999</v>
      </c>
      <c r="H7" s="77" t="s">
        <v>1103</v>
      </c>
      <c r="I7" s="77">
        <v>6679.56</v>
      </c>
      <c r="J7" s="77">
        <f>G7-I7</f>
        <v>1733.8099999999986</v>
      </c>
      <c r="K7" s="81"/>
      <c r="L7" s="77"/>
      <c r="O7" s="75"/>
    </row>
    <row r="8" spans="1:16">
      <c r="F8" s="93"/>
      <c r="G8" s="121"/>
      <c r="H8" s="77"/>
      <c r="I8" s="77"/>
      <c r="J8" s="77"/>
      <c r="K8" s="81"/>
      <c r="P8" s="75"/>
    </row>
    <row r="9" spans="1:16" ht="13.5">
      <c r="A9" s="58"/>
      <c r="B9" s="62"/>
      <c r="C9" s="52"/>
      <c r="D9" s="52"/>
      <c r="E9" s="52"/>
      <c r="F9" s="261"/>
      <c r="G9" s="55"/>
      <c r="H9" s="52"/>
      <c r="I9" s="61" t="s">
        <v>34</v>
      </c>
      <c r="J9" s="90" t="s">
        <v>280</v>
      </c>
      <c r="M9" s="52"/>
    </row>
    <row r="10" spans="1:16" s="52" customFormat="1" ht="13.5">
      <c r="A10" s="58"/>
      <c r="B10" s="62"/>
      <c r="F10" s="261"/>
      <c r="G10" s="55" t="s">
        <v>234</v>
      </c>
      <c r="H10" s="52" t="s">
        <v>38</v>
      </c>
      <c r="I10" s="63" t="s">
        <v>37</v>
      </c>
      <c r="J10" s="91" t="s">
        <v>37</v>
      </c>
      <c r="K10" s="82"/>
    </row>
    <row r="11" spans="1:16" s="52" customFormat="1" ht="13.5">
      <c r="A11" s="58" t="s">
        <v>275</v>
      </c>
      <c r="B11" s="262">
        <f>G11</f>
        <v>1050</v>
      </c>
      <c r="D11" s="52" t="s">
        <v>277</v>
      </c>
      <c r="E11" s="52">
        <f>G11/B4</f>
        <v>8.6227780948587712E-2</v>
      </c>
      <c r="F11" s="261"/>
      <c r="G11" s="53">
        <f>Tithe!D11</f>
        <v>1050</v>
      </c>
      <c r="H11" s="52">
        <v>1200</v>
      </c>
      <c r="I11" s="64">
        <f>H11-G11</f>
        <v>150</v>
      </c>
      <c r="J11" s="92">
        <f>Jan!I11+Feb!I11+Mar!I11+Apr!I11+May!I11+Jun!I11</f>
        <v>2700</v>
      </c>
      <c r="K11" s="83"/>
    </row>
    <row r="12" spans="1:16" s="52" customFormat="1" ht="13.5">
      <c r="I12" s="64"/>
      <c r="J12" s="92"/>
      <c r="K12" s="84"/>
      <c r="L12" s="269" t="s">
        <v>493</v>
      </c>
    </row>
    <row r="13" spans="1:16" s="52" customFormat="1" ht="13.5">
      <c r="A13" s="58" t="s">
        <v>465</v>
      </c>
      <c r="B13" s="262">
        <f>SUM(G14:G20)</f>
        <v>0</v>
      </c>
      <c r="F13" s="261"/>
      <c r="G13" s="55"/>
      <c r="I13" s="64"/>
      <c r="J13" s="92"/>
      <c r="K13" s="84"/>
      <c r="M13" s="52" t="s">
        <v>1083</v>
      </c>
    </row>
    <row r="14" spans="1:16" s="52" customFormat="1" ht="13.5">
      <c r="B14" s="58" t="s">
        <v>385</v>
      </c>
      <c r="E14" s="52" t="s">
        <v>466</v>
      </c>
      <c r="F14" s="261"/>
      <c r="G14" s="53"/>
      <c r="H14" s="52">
        <v>800</v>
      </c>
      <c r="I14" s="64">
        <f t="shared" ref="I14:I20" si="0">H14-G14</f>
        <v>800</v>
      </c>
      <c r="J14" s="92">
        <f>Jan!I14+Feb!I14+Mar!I14+Apr!I14+May!I14+Jun!I14</f>
        <v>4800</v>
      </c>
      <c r="K14" s="84"/>
    </row>
    <row r="15" spans="1:16" s="52" customFormat="1" ht="13.5">
      <c r="B15" s="58" t="s">
        <v>261</v>
      </c>
      <c r="E15" s="52" t="s">
        <v>466</v>
      </c>
      <c r="F15" s="261"/>
      <c r="G15" s="53"/>
      <c r="H15" s="52">
        <v>200</v>
      </c>
      <c r="I15" s="64">
        <f t="shared" si="0"/>
        <v>200</v>
      </c>
      <c r="J15" s="92">
        <f>Jan!I15+Feb!I15+Mar!I15+Apr!I15+May!I15+Jun!I15</f>
        <v>1200</v>
      </c>
      <c r="K15" s="84"/>
    </row>
    <row r="16" spans="1:16" s="52" customFormat="1" ht="13.5">
      <c r="B16" s="58" t="s">
        <v>292</v>
      </c>
      <c r="E16" s="52" t="s">
        <v>466</v>
      </c>
      <c r="F16" s="261"/>
      <c r="G16" s="53"/>
      <c r="H16" s="52">
        <v>300</v>
      </c>
      <c r="I16" s="64">
        <f t="shared" si="0"/>
        <v>300</v>
      </c>
      <c r="J16" s="92">
        <f>Jan!I16+Feb!I16+Mar!I16+Apr!I16+May!I16+Jun!I16</f>
        <v>1800</v>
      </c>
      <c r="K16" s="84"/>
    </row>
    <row r="17" spans="1:13" s="52" customFormat="1" ht="13.5">
      <c r="B17" s="58" t="s">
        <v>464</v>
      </c>
      <c r="E17" s="52" t="s">
        <v>466</v>
      </c>
      <c r="F17" s="261"/>
      <c r="G17" s="53"/>
      <c r="H17" s="52">
        <v>200</v>
      </c>
      <c r="I17" s="64">
        <f t="shared" si="0"/>
        <v>200</v>
      </c>
      <c r="J17" s="92">
        <f>Jan!I17+Feb!I17+Mar!I17+Apr!I17+May!I17+Jun!I17</f>
        <v>1200</v>
      </c>
      <c r="K17" s="84"/>
    </row>
    <row r="18" spans="1:13" s="52" customFormat="1" ht="15.95" customHeight="1">
      <c r="B18" s="58" t="s">
        <v>263</v>
      </c>
      <c r="E18" s="52" t="s">
        <v>467</v>
      </c>
      <c r="F18" s="261"/>
      <c r="G18" s="53"/>
      <c r="H18" s="52">
        <v>50</v>
      </c>
      <c r="I18" s="64">
        <f t="shared" si="0"/>
        <v>50</v>
      </c>
      <c r="J18" s="92">
        <f>Jan!I18+Feb!I18+Mar!I18+Apr!I18+May!I18+Jun!I18</f>
        <v>300</v>
      </c>
      <c r="K18" s="84"/>
    </row>
    <row r="19" spans="1:13" s="52" customFormat="1" ht="15.95" customHeight="1">
      <c r="B19" s="58" t="s">
        <v>262</v>
      </c>
      <c r="E19" s="52" t="s">
        <v>467</v>
      </c>
      <c r="F19" s="261"/>
      <c r="G19" s="53"/>
      <c r="H19" s="52">
        <v>200</v>
      </c>
      <c r="I19" s="64">
        <f t="shared" si="0"/>
        <v>200</v>
      </c>
      <c r="J19" s="92">
        <f>Jan!I19+Feb!I19+Mar!I19+Apr!I19+May!I19+Jun!I19</f>
        <v>1200</v>
      </c>
      <c r="K19" s="84"/>
    </row>
    <row r="20" spans="1:13" s="52" customFormat="1" ht="15.95" customHeight="1">
      <c r="B20" s="58" t="s">
        <v>293</v>
      </c>
      <c r="E20" s="52" t="s">
        <v>467</v>
      </c>
      <c r="G20" s="53"/>
      <c r="H20" s="52">
        <v>300</v>
      </c>
      <c r="I20" s="64">
        <f t="shared" si="0"/>
        <v>300</v>
      </c>
      <c r="J20" s="92">
        <f>Jan!I20+Feb!I20+Mar!I20+Apr!I20+May!I20+Jun!I20</f>
        <v>1800</v>
      </c>
      <c r="K20" s="84"/>
    </row>
    <row r="21" spans="1:13" s="52" customFormat="1" ht="15.95" customHeight="1">
      <c r="A21" s="58"/>
      <c r="F21" s="261"/>
      <c r="G21" s="53"/>
      <c r="I21" s="64"/>
      <c r="J21" s="92"/>
      <c r="K21" s="84"/>
      <c r="L21" s="58" t="s">
        <v>494</v>
      </c>
    </row>
    <row r="22" spans="1:13" s="52" customFormat="1" ht="15.95" customHeight="1">
      <c r="A22" s="58" t="s">
        <v>278</v>
      </c>
      <c r="B22" s="263">
        <f>G22</f>
        <v>0</v>
      </c>
      <c r="F22" s="261"/>
      <c r="G22" s="53"/>
      <c r="H22" s="52">
        <v>700</v>
      </c>
      <c r="I22" s="64">
        <f>H22-G22</f>
        <v>700</v>
      </c>
      <c r="J22" s="92">
        <f>Jan!I22+Feb!I22+Mar!I22+Apr!I22+May!I22+Jun!I22</f>
        <v>4200</v>
      </c>
      <c r="K22" s="84"/>
    </row>
    <row r="23" spans="1:13" s="52" customFormat="1" ht="15.95" customHeight="1">
      <c r="A23" s="58" t="s">
        <v>416</v>
      </c>
      <c r="B23" s="62" t="s">
        <v>415</v>
      </c>
      <c r="E23" s="52" t="s">
        <v>467</v>
      </c>
      <c r="F23" s="261"/>
      <c r="G23" s="53"/>
      <c r="I23" s="64"/>
      <c r="J23" s="92"/>
      <c r="K23" s="84"/>
    </row>
    <row r="24" spans="1:13" s="52" customFormat="1" ht="15.95" customHeight="1">
      <c r="A24" s="58" t="s">
        <v>279</v>
      </c>
      <c r="B24" s="262">
        <f>SUM(G25:G26)</f>
        <v>0</v>
      </c>
      <c r="F24" s="261"/>
      <c r="G24" s="53"/>
      <c r="I24" s="64"/>
      <c r="J24" s="92"/>
      <c r="K24" s="84"/>
    </row>
    <row r="25" spans="1:13" s="52" customFormat="1" ht="15.95" customHeight="1">
      <c r="B25" s="58" t="s">
        <v>255</v>
      </c>
      <c r="E25" s="52" t="s">
        <v>467</v>
      </c>
      <c r="F25" s="261"/>
      <c r="G25" s="53">
        <v>0</v>
      </c>
      <c r="H25" s="52">
        <v>500</v>
      </c>
      <c r="I25" s="64">
        <f>H25-G25</f>
        <v>500</v>
      </c>
      <c r="J25" s="92">
        <f>Jan!I25+Feb!I25+Mar!I25+Apr!I25+May!I25+Jun!I25</f>
        <v>3000</v>
      </c>
      <c r="K25" s="84"/>
    </row>
    <row r="26" spans="1:13" s="52" customFormat="1" ht="12.75" customHeight="1">
      <c r="B26" s="58" t="s">
        <v>265</v>
      </c>
      <c r="E26" s="52" t="s">
        <v>466</v>
      </c>
      <c r="F26" s="261"/>
      <c r="G26" s="53">
        <v>0</v>
      </c>
      <c r="H26" s="52">
        <v>300</v>
      </c>
      <c r="I26" s="64">
        <f>H26-G26</f>
        <v>300</v>
      </c>
      <c r="J26" s="95">
        <f>Jan!I26+Feb!I26+Mar!I26+Apr!I26+May!I26+Jun!I26</f>
        <v>1800</v>
      </c>
      <c r="K26" s="84"/>
    </row>
    <row r="27" spans="1:13" s="52" customFormat="1" ht="12.75" customHeight="1">
      <c r="A27" s="58"/>
      <c r="F27" s="261"/>
      <c r="G27" s="66"/>
      <c r="H27" s="66"/>
      <c r="I27" s="68"/>
      <c r="J27" s="79"/>
      <c r="K27" s="79"/>
    </row>
    <row r="28" spans="1:13" s="52" customFormat="1" ht="12.75" customHeight="1" thickBot="1">
      <c r="A28" s="58"/>
      <c r="B28" s="58"/>
      <c r="F28" s="261"/>
      <c r="G28" s="67">
        <f>SUM(G14:G26)</f>
        <v>0</v>
      </c>
      <c r="H28" s="67">
        <f>SUM(H11:H26)</f>
        <v>4750</v>
      </c>
      <c r="I28" s="67">
        <f>SUM(I11:I26)</f>
        <v>3700</v>
      </c>
      <c r="J28" s="67">
        <f>SUM(J11:J26)</f>
        <v>24000</v>
      </c>
      <c r="K28" s="85"/>
    </row>
    <row r="29" spans="1:13" s="52" customFormat="1" ht="12.75" customHeight="1" thickTop="1" thickBot="1">
      <c r="H29" s="56"/>
      <c r="I29" s="56"/>
      <c r="J29" s="56"/>
      <c r="K29" s="85"/>
      <c r="L29" s="58" t="s">
        <v>495</v>
      </c>
    </row>
    <row r="30" spans="1:13" s="52" customFormat="1" ht="12.75" customHeight="1" thickBot="1">
      <c r="A30" s="58" t="s">
        <v>283</v>
      </c>
      <c r="B30" s="58"/>
      <c r="F30" s="261"/>
      <c r="G30" s="88"/>
      <c r="H30" s="56"/>
      <c r="I30" s="56"/>
      <c r="J30" s="56"/>
      <c r="K30" s="85"/>
      <c r="M30" s="52" t="s">
        <v>704</v>
      </c>
    </row>
    <row r="31" spans="1:13" s="52" customFormat="1" ht="12.75" customHeight="1">
      <c r="A31" s="99" t="s">
        <v>276</v>
      </c>
      <c r="B31" s="58"/>
      <c r="F31" s="261"/>
      <c r="G31" s="266">
        <f>B4-G11-G28+G30</f>
        <v>11127.05</v>
      </c>
      <c r="H31" s="56"/>
      <c r="I31" s="56"/>
      <c r="J31" s="56"/>
      <c r="K31" s="85"/>
      <c r="L31" s="56"/>
    </row>
    <row r="32" spans="1:13" s="52" customFormat="1" ht="12.75" customHeight="1">
      <c r="A32" s="52" t="s">
        <v>478</v>
      </c>
      <c r="B32" s="99"/>
      <c r="C32" s="54"/>
      <c r="D32" s="54"/>
      <c r="E32" s="54"/>
      <c r="F32" s="265"/>
      <c r="G32" s="267">
        <f>G46</f>
        <v>7854.9599999999991</v>
      </c>
      <c r="H32" s="56"/>
      <c r="I32" s="56"/>
      <c r="J32" s="56"/>
      <c r="K32" s="85"/>
      <c r="L32" s="56"/>
    </row>
    <row r="33" spans="1:18" s="52" customFormat="1" ht="12.75" customHeight="1">
      <c r="A33" s="58" t="s">
        <v>558</v>
      </c>
      <c r="B33" s="58"/>
      <c r="F33" s="261"/>
      <c r="G33" s="78">
        <f>G31-G32-M42-N42</f>
        <v>3272.09</v>
      </c>
      <c r="H33" s="56"/>
      <c r="I33" s="56"/>
      <c r="J33" s="56"/>
      <c r="K33" s="85"/>
      <c r="L33" s="56"/>
    </row>
    <row r="34" spans="1:18" s="52" customFormat="1" ht="12.75" customHeight="1">
      <c r="H34" s="56"/>
      <c r="I34" s="56"/>
      <c r="J34" s="56"/>
      <c r="K34" s="85"/>
      <c r="L34" s="56"/>
    </row>
    <row r="35" spans="1:18" s="52" customFormat="1" ht="12.75" customHeight="1">
      <c r="A35" s="58" t="s">
        <v>469</v>
      </c>
      <c r="B35" s="58"/>
      <c r="E35" s="52">
        <f>B47</f>
        <v>996.46000000000026</v>
      </c>
      <c r="F35" s="261"/>
      <c r="G35" s="128"/>
      <c r="H35" s="56"/>
      <c r="I35" s="56"/>
      <c r="J35" s="56"/>
      <c r="K35" s="85"/>
      <c r="L35" s="56"/>
    </row>
    <row r="36" spans="1:18" s="52" customFormat="1" ht="12.75" customHeight="1">
      <c r="A36" s="58" t="s">
        <v>433</v>
      </c>
      <c r="B36" s="58"/>
      <c r="E36" s="52">
        <f>B76</f>
        <v>6858.4999999999991</v>
      </c>
      <c r="F36" s="261"/>
      <c r="G36" s="78"/>
      <c r="H36" s="56"/>
      <c r="I36" s="56"/>
      <c r="J36" s="56"/>
      <c r="K36" s="85"/>
      <c r="L36" s="56"/>
    </row>
    <row r="37" spans="1:18" s="52" customFormat="1" ht="13.5">
      <c r="A37" s="58"/>
      <c r="B37" s="58" t="s">
        <v>470</v>
      </c>
      <c r="D37" s="52">
        <f>B101+B110</f>
        <v>120</v>
      </c>
      <c r="F37" s="261"/>
      <c r="G37" s="78"/>
      <c r="H37" s="56"/>
      <c r="I37" s="56"/>
      <c r="J37" s="56"/>
      <c r="K37" s="85"/>
      <c r="L37" s="56"/>
    </row>
    <row r="38" spans="1:18" s="52" customFormat="1" ht="14.25" thickBot="1">
      <c r="A38" s="58"/>
      <c r="B38" s="58" t="s">
        <v>471</v>
      </c>
      <c r="D38" s="52">
        <f>B90</f>
        <v>49.79</v>
      </c>
      <c r="F38" s="261"/>
      <c r="G38" s="78"/>
      <c r="H38" s="56"/>
      <c r="I38" s="56"/>
      <c r="J38" s="56"/>
      <c r="K38" s="85"/>
      <c r="L38" s="56"/>
    </row>
    <row r="39" spans="1:18" s="52" customFormat="1" ht="14.25" thickBot="1">
      <c r="A39" s="58"/>
      <c r="B39" s="58" t="s">
        <v>472</v>
      </c>
      <c r="D39" s="52">
        <f>B96</f>
        <v>0</v>
      </c>
      <c r="F39" s="261"/>
      <c r="G39" s="89"/>
      <c r="H39" s="56"/>
      <c r="I39" s="56"/>
      <c r="J39" s="56"/>
      <c r="K39" s="85"/>
      <c r="L39" s="56"/>
    </row>
    <row r="40" spans="1:18" s="52" customFormat="1" ht="13.5">
      <c r="A40" s="58"/>
      <c r="B40" s="58" t="s">
        <v>473</v>
      </c>
      <c r="D40" s="52">
        <f>B115</f>
        <v>105.91</v>
      </c>
      <c r="F40" s="261"/>
      <c r="G40" s="98"/>
      <c r="H40" s="56"/>
      <c r="I40" s="56"/>
      <c r="J40" s="56"/>
      <c r="K40" s="85"/>
      <c r="L40" s="56"/>
    </row>
    <row r="41" spans="1:18" s="52" customFormat="1" ht="13.5">
      <c r="A41" s="99"/>
      <c r="B41" s="58" t="s">
        <v>474</v>
      </c>
      <c r="D41" s="52">
        <f>B120</f>
        <v>0</v>
      </c>
      <c r="F41" s="261"/>
      <c r="G41" s="98"/>
      <c r="H41" s="56"/>
      <c r="I41" s="56"/>
      <c r="J41" s="56"/>
      <c r="K41" s="85"/>
      <c r="L41" s="56"/>
      <c r="M41" s="52">
        <f>M46+M44+M43+M42</f>
        <v>1140.46</v>
      </c>
      <c r="N41" s="52">
        <f>N46+N44+N43+N42</f>
        <v>847.31999999999994</v>
      </c>
      <c r="O41" s="52">
        <f>O46+O44+O43+O42</f>
        <v>313.08999999999992</v>
      </c>
      <c r="Q41" s="52" t="s">
        <v>948</v>
      </c>
      <c r="R41" s="52">
        <v>200</v>
      </c>
    </row>
    <row r="42" spans="1:18" s="52" customFormat="1" ht="13.5">
      <c r="B42" s="58" t="s">
        <v>475</v>
      </c>
      <c r="C42" s="59"/>
      <c r="D42" s="59">
        <f>B138</f>
        <v>0</v>
      </c>
      <c r="F42" s="261"/>
      <c r="G42" s="98"/>
      <c r="H42" s="56"/>
      <c r="I42" s="56"/>
      <c r="J42" s="56"/>
      <c r="K42" s="85"/>
      <c r="L42" s="52" t="s">
        <v>324</v>
      </c>
      <c r="Q42" s="52" t="s">
        <v>805</v>
      </c>
      <c r="R42" s="52">
        <v>647.32000000000005</v>
      </c>
    </row>
    <row r="43" spans="1:18" s="52" customFormat="1" ht="13.5">
      <c r="B43" s="58" t="s">
        <v>476</v>
      </c>
      <c r="D43" s="52">
        <f>B125+B141+B146+B149</f>
        <v>1213.26</v>
      </c>
      <c r="F43" s="261"/>
      <c r="I43" s="61"/>
      <c r="J43" s="90" t="s">
        <v>280</v>
      </c>
      <c r="K43" s="82"/>
    </row>
    <row r="44" spans="1:18" s="52" customFormat="1" ht="13.5">
      <c r="A44" s="58" t="s">
        <v>477</v>
      </c>
      <c r="E44" s="52">
        <f>B155</f>
        <v>0</v>
      </c>
      <c r="F44" s="261"/>
      <c r="G44" s="55"/>
      <c r="I44" s="61" t="s">
        <v>34</v>
      </c>
      <c r="J44" s="90" t="s">
        <v>281</v>
      </c>
      <c r="K44" s="82"/>
      <c r="L44" s="52" t="s">
        <v>1064</v>
      </c>
      <c r="M44" s="52">
        <v>100</v>
      </c>
    </row>
    <row r="45" spans="1:18" s="52" customFormat="1" ht="13.5">
      <c r="A45" s="58"/>
      <c r="F45" s="261"/>
      <c r="G45" s="55" t="s">
        <v>234</v>
      </c>
      <c r="H45" s="52" t="s">
        <v>38</v>
      </c>
      <c r="I45" s="63" t="s">
        <v>37</v>
      </c>
      <c r="J45" s="91" t="s">
        <v>282</v>
      </c>
      <c r="K45" s="83"/>
      <c r="L45" s="391" t="s">
        <v>235</v>
      </c>
      <c r="M45" s="392" t="s">
        <v>497</v>
      </c>
      <c r="N45" s="392" t="s">
        <v>982</v>
      </c>
      <c r="O45" s="392" t="s">
        <v>806</v>
      </c>
    </row>
    <row r="46" spans="1:18" s="52" customFormat="1" ht="14.25" thickBot="1">
      <c r="D46"/>
      <c r="E46" s="264"/>
      <c r="F46" s="261"/>
      <c r="G46" s="94">
        <f>SUM(G48:G170)</f>
        <v>7854.9599999999991</v>
      </c>
      <c r="H46" s="94">
        <f>SUM(H48:H170)</f>
        <v>14050</v>
      </c>
      <c r="I46" s="94">
        <f>H46-G46</f>
        <v>6195.0400000000009</v>
      </c>
      <c r="J46" s="94">
        <f>SUM(J48:J170)</f>
        <v>-68422.660000000047</v>
      </c>
      <c r="K46" s="86"/>
      <c r="L46" s="393">
        <f>SUM(L49:L170)</f>
        <v>5654.09</v>
      </c>
      <c r="M46" s="394">
        <f>SUM(M49:M170)</f>
        <v>1040.46</v>
      </c>
      <c r="N46" s="395">
        <f>SUM(N49:N170)</f>
        <v>847.31999999999994</v>
      </c>
      <c r="O46" s="395">
        <f>SUM(O49:O170)</f>
        <v>313.08999999999992</v>
      </c>
    </row>
    <row r="47" spans="1:18" s="52" customFormat="1" ht="14.25" thickBot="1">
      <c r="A47" s="99" t="s">
        <v>434</v>
      </c>
      <c r="B47" s="259">
        <f>B48+B61+B65</f>
        <v>996.46000000000026</v>
      </c>
      <c r="C47" s="259">
        <f>C48+C61+C65</f>
        <v>1344</v>
      </c>
      <c r="D47" s="88">
        <f>D48+D61+D65</f>
        <v>347.53999999999996</v>
      </c>
      <c r="I47" s="61"/>
      <c r="J47" s="90"/>
      <c r="K47" s="82"/>
      <c r="L47" s="396"/>
      <c r="M47" s="397"/>
      <c r="N47" s="397"/>
      <c r="O47" s="398"/>
    </row>
    <row r="48" spans="1:18" s="52" customFormat="1" ht="13.5">
      <c r="A48" s="58" t="s">
        <v>419</v>
      </c>
      <c r="B48" s="58">
        <f>SUM(G49:G57)</f>
        <v>571.95000000000027</v>
      </c>
      <c r="C48" s="58">
        <f>SUM(H49:H57)</f>
        <v>864</v>
      </c>
      <c r="D48" s="58">
        <f>SUM(I49:I57)</f>
        <v>292.04999999999995</v>
      </c>
      <c r="I48" s="61"/>
      <c r="J48" s="90"/>
      <c r="K48" s="82"/>
      <c r="L48" s="396"/>
      <c r="M48" s="397"/>
      <c r="N48" s="397"/>
      <c r="O48" s="398"/>
    </row>
    <row r="49" spans="1:18" s="52" customFormat="1" ht="13.5">
      <c r="B49" s="52" t="s">
        <v>327</v>
      </c>
      <c r="G49" s="52">
        <f>SUM(L49:O49)</f>
        <v>0</v>
      </c>
      <c r="H49" s="52">
        <v>0</v>
      </c>
      <c r="I49" s="61">
        <f t="shared" ref="I49:I57" si="1">H49-G49</f>
        <v>0</v>
      </c>
      <c r="J49" s="90">
        <f>Jan!I49+Feb!I49+Mar!I49+Apr!I49+May!I49+Jun!I49</f>
        <v>0</v>
      </c>
      <c r="K49" s="82"/>
      <c r="L49" s="396"/>
      <c r="M49" s="397"/>
      <c r="N49" s="397"/>
      <c r="O49" s="398"/>
    </row>
    <row r="50" spans="1:18" s="52" customFormat="1" ht="13.5">
      <c r="A50" s="58"/>
      <c r="B50" s="52" t="s">
        <v>421</v>
      </c>
      <c r="G50" s="52">
        <f t="shared" ref="G50:G113" si="2">SUM(L50:O50)</f>
        <v>0</v>
      </c>
      <c r="H50" s="52">
        <v>100</v>
      </c>
      <c r="I50" s="61">
        <f t="shared" si="1"/>
        <v>100</v>
      </c>
      <c r="J50" s="90">
        <f>Jan!I50+Feb!I50+Mar!I50+Apr!I50+May!I50+Jun!I50</f>
        <v>600</v>
      </c>
      <c r="K50" s="82"/>
      <c r="L50" s="396"/>
      <c r="M50" s="397"/>
      <c r="N50" s="397"/>
      <c r="O50" s="398"/>
    </row>
    <row r="51" spans="1:18" s="52" customFormat="1" ht="13.5">
      <c r="A51" s="58"/>
      <c r="B51" s="52" t="s">
        <v>422</v>
      </c>
      <c r="G51" s="52">
        <f t="shared" si="2"/>
        <v>0</v>
      </c>
      <c r="H51" s="52">
        <v>100</v>
      </c>
      <c r="I51" s="61">
        <f t="shared" si="1"/>
        <v>100</v>
      </c>
      <c r="J51" s="90">
        <f>Jan!I51+Feb!I51+Mar!I51+Apr!I51+May!I51+Jun!I51</f>
        <v>600</v>
      </c>
      <c r="K51" s="82"/>
      <c r="L51" s="396"/>
      <c r="M51" s="397"/>
      <c r="N51" s="397"/>
      <c r="O51" s="398"/>
    </row>
    <row r="52" spans="1:18" s="52" customFormat="1" ht="13.5">
      <c r="A52" s="58"/>
      <c r="B52" s="52" t="s">
        <v>420</v>
      </c>
      <c r="G52" s="52">
        <f t="shared" si="2"/>
        <v>0</v>
      </c>
      <c r="H52" s="52">
        <v>100</v>
      </c>
      <c r="I52" s="61">
        <f t="shared" si="1"/>
        <v>100</v>
      </c>
      <c r="J52" s="90">
        <f>Jan!I52+Feb!I52+Mar!I52+Apr!I52+May!I52+Jun!I52</f>
        <v>600</v>
      </c>
      <c r="K52" s="82"/>
      <c r="L52" s="396"/>
      <c r="M52" s="397"/>
      <c r="N52" s="397"/>
      <c r="O52" s="398"/>
    </row>
    <row r="53" spans="1:18" s="52" customFormat="1" ht="13.5">
      <c r="A53" s="58"/>
      <c r="B53" s="52" t="s">
        <v>463</v>
      </c>
      <c r="G53" s="52">
        <f t="shared" si="2"/>
        <v>564</v>
      </c>
      <c r="H53" s="52">
        <v>564</v>
      </c>
      <c r="I53" s="61">
        <f t="shared" si="1"/>
        <v>0</v>
      </c>
      <c r="J53" s="90">
        <f>Jan!I53+Feb!I53+Mar!I53+Apr!I53+May!I53+Jun!I53</f>
        <v>0</v>
      </c>
      <c r="K53" s="82"/>
      <c r="L53" s="396">
        <v>564</v>
      </c>
      <c r="M53" s="397"/>
      <c r="N53" s="397"/>
      <c r="O53" s="398"/>
    </row>
    <row r="54" spans="1:18" s="52" customFormat="1" ht="13.5">
      <c r="A54" s="58"/>
      <c r="B54" s="52" t="s">
        <v>429</v>
      </c>
      <c r="G54" s="52">
        <f t="shared" si="2"/>
        <v>0</v>
      </c>
      <c r="H54" s="52">
        <v>60</v>
      </c>
      <c r="I54" s="61">
        <f t="shared" si="1"/>
        <v>60</v>
      </c>
      <c r="J54" s="90">
        <f>Jan!I54+Feb!I54+Mar!I54+Apr!I54+May!I54+Jun!I54</f>
        <v>-268</v>
      </c>
      <c r="K54" s="82"/>
      <c r="L54" s="396"/>
      <c r="M54" s="397"/>
      <c r="N54" s="397"/>
      <c r="O54" s="398"/>
    </row>
    <row r="55" spans="1:18" s="52" customFormat="1" ht="13.5">
      <c r="A55" s="58"/>
      <c r="B55" s="52" t="s">
        <v>328</v>
      </c>
      <c r="G55" s="52">
        <f t="shared" si="2"/>
        <v>1636.68</v>
      </c>
      <c r="H55" s="52">
        <f>1636.68+50.81</f>
        <v>1687.49</v>
      </c>
      <c r="I55" s="61">
        <f t="shared" si="1"/>
        <v>50.809999999999945</v>
      </c>
      <c r="J55" s="90">
        <f>Jan!I55+Feb!I55+Mar!I55+Apr!I55+May!I55+Jun!I55</f>
        <v>74.979999999999563</v>
      </c>
      <c r="K55" s="82"/>
      <c r="L55" s="398">
        <v>1636.68</v>
      </c>
      <c r="M55" s="397"/>
      <c r="N55" s="397"/>
      <c r="O55" s="398"/>
      <c r="R55" s="52">
        <f>1116.01-1102.96</f>
        <v>13.049999999999955</v>
      </c>
    </row>
    <row r="56" spans="1:18" s="52" customFormat="1" ht="13.5">
      <c r="A56" s="58"/>
      <c r="B56" s="52" t="s">
        <v>384</v>
      </c>
      <c r="G56" s="52">
        <f t="shared" si="2"/>
        <v>431.27</v>
      </c>
      <c r="H56" s="52">
        <v>312.51</v>
      </c>
      <c r="I56" s="61">
        <f t="shared" si="1"/>
        <v>-118.75999999999999</v>
      </c>
      <c r="J56" s="90">
        <f>Jan!I56+Feb!I56+Mar!I56+Apr!I56+May!I56+Jun!I56</f>
        <v>-210.88000000000011</v>
      </c>
      <c r="K56" s="82"/>
      <c r="L56" s="398">
        <v>431.27</v>
      </c>
      <c r="M56" s="397"/>
      <c r="N56" s="397"/>
      <c r="O56" s="398"/>
    </row>
    <row r="57" spans="1:18" s="52" customFormat="1" ht="13.5">
      <c r="A57" s="58"/>
      <c r="B57" s="52" t="s">
        <v>350</v>
      </c>
      <c r="G57" s="52">
        <f t="shared" si="2"/>
        <v>-2060</v>
      </c>
      <c r="H57" s="52">
        <v>-2060</v>
      </c>
      <c r="I57" s="61">
        <f t="shared" si="1"/>
        <v>0</v>
      </c>
      <c r="J57" s="90">
        <f>Jan!I57+Feb!I57+Mar!I57+Apr!I57+May!I57+Jun!I57</f>
        <v>0</v>
      </c>
      <c r="K57" s="82"/>
      <c r="L57" s="398">
        <v>-2060</v>
      </c>
      <c r="M57" s="397"/>
      <c r="N57" s="397"/>
      <c r="O57" s="398"/>
    </row>
    <row r="58" spans="1:18" s="52" customFormat="1" ht="13.5">
      <c r="A58" s="58"/>
      <c r="I58" s="61"/>
      <c r="J58" s="90"/>
      <c r="K58" s="82"/>
      <c r="L58" s="398"/>
      <c r="M58" s="397"/>
      <c r="N58" s="397"/>
      <c r="O58" s="398"/>
    </row>
    <row r="59" spans="1:18" s="52" customFormat="1" ht="13.5">
      <c r="A59" s="58"/>
      <c r="I59" s="61"/>
      <c r="J59" s="90"/>
      <c r="K59" s="82"/>
      <c r="L59" s="398"/>
      <c r="M59" s="397"/>
      <c r="N59" s="397"/>
      <c r="O59" s="398"/>
    </row>
    <row r="60" spans="1:18" s="52" customFormat="1" ht="13.5">
      <c r="A60" s="58" t="s">
        <v>427</v>
      </c>
      <c r="I60" s="61"/>
      <c r="J60" s="90"/>
      <c r="K60" s="82"/>
      <c r="L60" s="398"/>
      <c r="M60" s="397"/>
      <c r="N60" s="397"/>
      <c r="O60" s="398"/>
    </row>
    <row r="61" spans="1:18" s="52" customFormat="1" ht="13.5">
      <c r="A61" s="58"/>
      <c r="B61" s="58">
        <f>SUM(G62:G63)</f>
        <v>118.66</v>
      </c>
      <c r="C61" s="58">
        <f>SUM(H62:H63)</f>
        <v>170</v>
      </c>
      <c r="D61" s="58">
        <f>C61-B61</f>
        <v>51.34</v>
      </c>
      <c r="I61" s="61"/>
      <c r="J61" s="90"/>
      <c r="K61" s="82"/>
      <c r="L61" s="398"/>
      <c r="M61" s="397"/>
      <c r="N61" s="397"/>
      <c r="O61" s="398"/>
    </row>
    <row r="62" spans="1:18" s="52" customFormat="1" ht="13.5">
      <c r="A62" s="58"/>
      <c r="B62" s="52" t="s">
        <v>431</v>
      </c>
      <c r="G62" s="52">
        <f t="shared" si="2"/>
        <v>12.19</v>
      </c>
      <c r="H62" s="52">
        <v>70</v>
      </c>
      <c r="I62" s="61">
        <f t="shared" ref="I62:I131" si="3">H62-G62</f>
        <v>57.81</v>
      </c>
      <c r="J62" s="90">
        <f>Jan!I62+Feb!I62+Mar!I62+Apr!I62+May!I62+Jun!I62</f>
        <v>26.549999999999983</v>
      </c>
      <c r="K62" s="82"/>
      <c r="L62" s="398"/>
      <c r="M62" s="397">
        <f>12.19</f>
        <v>12.19</v>
      </c>
      <c r="N62" s="397"/>
      <c r="O62" s="398"/>
    </row>
    <row r="63" spans="1:18" s="52" customFormat="1" ht="13.5">
      <c r="A63" s="58"/>
      <c r="B63" s="52" t="s">
        <v>432</v>
      </c>
      <c r="D63" s="65"/>
      <c r="G63" s="52">
        <f t="shared" si="2"/>
        <v>106.47</v>
      </c>
      <c r="H63" s="52">
        <v>100</v>
      </c>
      <c r="I63" s="61">
        <f t="shared" si="3"/>
        <v>-6.4699999999999989</v>
      </c>
      <c r="J63" s="90">
        <f>Jan!I63+Feb!I63+Mar!I63+Apr!I63+May!I63+Jun!I63</f>
        <v>30.549999999999997</v>
      </c>
      <c r="K63" s="82"/>
      <c r="L63" s="398"/>
      <c r="M63" s="397">
        <v>106.47</v>
      </c>
      <c r="N63" s="397"/>
      <c r="O63" s="398"/>
    </row>
    <row r="64" spans="1:18" s="52" customFormat="1" ht="13.5">
      <c r="A64" s="58"/>
      <c r="I64" s="61"/>
      <c r="J64" s="90"/>
      <c r="K64" s="82"/>
      <c r="L64" s="398"/>
      <c r="M64" s="397"/>
      <c r="N64" s="397"/>
      <c r="O64" s="398"/>
    </row>
    <row r="65" spans="1:15" s="52" customFormat="1" ht="13.5">
      <c r="A65" s="58" t="s">
        <v>428</v>
      </c>
      <c r="B65" s="58">
        <f>SUM(G66:G74)</f>
        <v>305.85000000000002</v>
      </c>
      <c r="C65" s="58">
        <f>SUM(H66:H74)</f>
        <v>310</v>
      </c>
      <c r="D65" s="58">
        <f>C65-B65</f>
        <v>4.1499999999999773</v>
      </c>
      <c r="I65" s="61"/>
      <c r="J65" s="90"/>
      <c r="K65" s="82"/>
      <c r="L65" s="398"/>
      <c r="M65" s="397"/>
      <c r="N65" s="397"/>
      <c r="O65" s="398"/>
    </row>
    <row r="66" spans="1:15" s="52" customFormat="1" ht="13.5">
      <c r="B66" s="52" t="s">
        <v>55</v>
      </c>
      <c r="G66" s="52">
        <f t="shared" si="2"/>
        <v>0</v>
      </c>
      <c r="H66" s="52">
        <v>60</v>
      </c>
      <c r="I66" s="61">
        <f t="shared" si="3"/>
        <v>60</v>
      </c>
      <c r="J66" s="90">
        <f>Jan!I66+Feb!I66+Mar!I66+Apr!I66+May!I66+Jun!I66</f>
        <v>232.08</v>
      </c>
      <c r="K66" s="82"/>
      <c r="L66" s="398"/>
      <c r="M66" s="397"/>
      <c r="N66" s="397"/>
      <c r="O66" s="398"/>
    </row>
    <row r="67" spans="1:15" s="52" customFormat="1" ht="13.5">
      <c r="B67" s="52" t="s">
        <v>56</v>
      </c>
      <c r="D67" s="52" t="s">
        <v>57</v>
      </c>
      <c r="G67" s="52">
        <f t="shared" si="2"/>
        <v>201.45</v>
      </c>
      <c r="H67" s="52">
        <v>140</v>
      </c>
      <c r="I67" s="61">
        <f t="shared" si="3"/>
        <v>-61.449999999999989</v>
      </c>
      <c r="J67" s="90">
        <f>Jan!I67+Feb!I67+Mar!I67+Apr!I67+May!I67+Jun!I67</f>
        <v>158.75</v>
      </c>
      <c r="K67" s="82"/>
      <c r="L67" s="398"/>
      <c r="M67" s="397">
        <f>20+20+20+46.45+35+20+20+20</f>
        <v>201.45</v>
      </c>
      <c r="N67" s="397"/>
      <c r="O67" s="398"/>
    </row>
    <row r="68" spans="1:15" s="52" customFormat="1" ht="13.5">
      <c r="I68" s="61"/>
      <c r="J68" s="90"/>
      <c r="K68" s="82"/>
      <c r="L68" s="398"/>
      <c r="M68" s="397"/>
      <c r="N68" s="397"/>
      <c r="O68" s="398"/>
    </row>
    <row r="69" spans="1:15" s="52" customFormat="1" ht="13.5">
      <c r="A69" s="58" t="s">
        <v>423</v>
      </c>
      <c r="I69" s="61"/>
      <c r="J69" s="90"/>
      <c r="K69" s="82"/>
      <c r="L69" s="398"/>
      <c r="M69" s="397"/>
      <c r="N69" s="397"/>
      <c r="O69" s="398"/>
    </row>
    <row r="70" spans="1:15" s="52" customFormat="1" ht="13.5">
      <c r="B70" s="52" t="s">
        <v>424</v>
      </c>
      <c r="G70" s="52">
        <f t="shared" si="2"/>
        <v>0</v>
      </c>
      <c r="H70" s="52">
        <v>25</v>
      </c>
      <c r="I70" s="61">
        <f t="shared" si="3"/>
        <v>25</v>
      </c>
      <c r="J70" s="90">
        <f>Jan!I70+Feb!I70+Mar!I70+Apr!I70+May!I70+Jun!I70</f>
        <v>78.599999999999994</v>
      </c>
      <c r="K70" s="82"/>
      <c r="L70" s="398"/>
      <c r="M70" s="397"/>
      <c r="N70" s="397"/>
      <c r="O70" s="398"/>
    </row>
    <row r="71" spans="1:15" s="52" customFormat="1" ht="13.5">
      <c r="A71" s="58"/>
      <c r="B71" s="52" t="s">
        <v>425</v>
      </c>
      <c r="G71" s="52">
        <f t="shared" si="2"/>
        <v>0</v>
      </c>
      <c r="H71" s="52">
        <v>30</v>
      </c>
      <c r="I71" s="61">
        <f t="shared" si="3"/>
        <v>30</v>
      </c>
      <c r="J71" s="90">
        <f>Jan!I71+Feb!I71+Mar!I71+Apr!I71+May!I71+Jun!I71</f>
        <v>70.510000000000005</v>
      </c>
      <c r="K71" s="82"/>
      <c r="L71" s="398"/>
      <c r="M71" s="397"/>
      <c r="N71" s="397"/>
      <c r="O71" s="398"/>
    </row>
    <row r="72" spans="1:15" s="52" customFormat="1" ht="13.5">
      <c r="A72" s="58"/>
      <c r="B72" s="52" t="s">
        <v>430</v>
      </c>
      <c r="G72" s="52">
        <f t="shared" si="2"/>
        <v>0</v>
      </c>
      <c r="H72" s="52">
        <v>20</v>
      </c>
      <c r="I72" s="61">
        <f t="shared" si="3"/>
        <v>20</v>
      </c>
      <c r="J72" s="90">
        <f>Jan!I72+Feb!I72+Mar!I72+Apr!I72+May!I72+Jun!I72</f>
        <v>120</v>
      </c>
      <c r="K72" s="82"/>
      <c r="L72" s="398"/>
      <c r="M72" s="397"/>
      <c r="N72" s="397"/>
      <c r="O72" s="398"/>
    </row>
    <row r="73" spans="1:15" s="52" customFormat="1" ht="13.5">
      <c r="A73" s="58"/>
      <c r="I73" s="61"/>
      <c r="J73" s="90"/>
      <c r="K73" s="82"/>
      <c r="L73" s="398"/>
      <c r="M73" s="397"/>
      <c r="N73" s="397"/>
      <c r="O73" s="398"/>
    </row>
    <row r="74" spans="1:15" s="52" customFormat="1" ht="13.5">
      <c r="A74" s="58" t="s">
        <v>426</v>
      </c>
      <c r="B74" s="52" t="s">
        <v>58</v>
      </c>
      <c r="G74" s="52">
        <f t="shared" si="2"/>
        <v>104.40000000000002</v>
      </c>
      <c r="H74" s="52">
        <v>35</v>
      </c>
      <c r="I74" s="61">
        <f t="shared" si="3"/>
        <v>-69.40000000000002</v>
      </c>
      <c r="J74" s="90">
        <f>Jan!I74+Feb!I74+Mar!I74+Apr!I74+May!I74+Jun!I74</f>
        <v>-254.65000000000003</v>
      </c>
      <c r="K74" s="82"/>
      <c r="L74" s="398"/>
      <c r="M74" s="397">
        <f>6.82+5.64+3.5+7.06+2.4+8.94+4.39+6.74+8.66+6.19+5.95+6.82+11.43+5.8+2.4+7.21+2.5+1.95</f>
        <v>104.40000000000002</v>
      </c>
      <c r="N74" s="397"/>
      <c r="O74" s="398"/>
    </row>
    <row r="75" spans="1:15" s="52" customFormat="1" ht="14.25" thickBot="1">
      <c r="A75" s="58"/>
      <c r="I75" s="61"/>
      <c r="J75" s="90"/>
      <c r="K75" s="82"/>
      <c r="L75" s="398"/>
      <c r="M75" s="397"/>
      <c r="N75" s="397"/>
      <c r="O75" s="398"/>
    </row>
    <row r="76" spans="1:15" s="52" customFormat="1" ht="14.25" thickBot="1">
      <c r="A76" s="99" t="s">
        <v>433</v>
      </c>
      <c r="B76" s="140">
        <f>B78+B90+B96+B101+B110+B115+B120+B125+B138+B141+B146+B149</f>
        <v>6858.4999999999991</v>
      </c>
      <c r="C76" s="140">
        <f>C78+C90+C96+C101+C110+C115+C120+C125+C138+C141+C146+C149</f>
        <v>5711</v>
      </c>
      <c r="D76" s="140">
        <f>D78+D90+D96+D101+D110+D115+D120+D125+D138+D141+D146+D149</f>
        <v>1749.33</v>
      </c>
      <c r="I76" s="61"/>
      <c r="J76" s="90"/>
      <c r="K76" s="82"/>
      <c r="L76" s="398"/>
      <c r="M76" s="397"/>
      <c r="N76" s="397"/>
      <c r="O76" s="398"/>
    </row>
    <row r="77" spans="1:15" s="52" customFormat="1" ht="13.5">
      <c r="A77" s="99"/>
      <c r="B77" s="380"/>
      <c r="C77" s="380"/>
      <c r="D77" s="380"/>
      <c r="I77" s="61"/>
      <c r="J77" s="90"/>
      <c r="K77" s="82"/>
      <c r="L77" s="398"/>
      <c r="M77" s="397"/>
      <c r="N77" s="397"/>
      <c r="O77" s="398"/>
    </row>
    <row r="78" spans="1:15" s="52" customFormat="1" ht="13.5">
      <c r="A78" s="58" t="s">
        <v>710</v>
      </c>
      <c r="B78" s="380">
        <f>SUM(G79:G88)</f>
        <v>5369.5399999999991</v>
      </c>
      <c r="C78" s="380">
        <f>SUM(H79:H80)</f>
        <v>2500</v>
      </c>
      <c r="D78" s="380">
        <f>SUM(I79:I80)</f>
        <v>27.289999999999964</v>
      </c>
      <c r="I78" s="61"/>
      <c r="J78" s="90"/>
      <c r="K78" s="82"/>
      <c r="L78" s="398"/>
      <c r="M78" s="397"/>
      <c r="N78" s="397"/>
      <c r="O78" s="398"/>
    </row>
    <row r="79" spans="1:15" s="52" customFormat="1" ht="13.5">
      <c r="B79" s="52" t="s">
        <v>798</v>
      </c>
      <c r="G79" s="52">
        <f t="shared" si="2"/>
        <v>2472.71</v>
      </c>
      <c r="H79" s="52">
        <v>2500</v>
      </c>
      <c r="I79" s="61">
        <f t="shared" si="3"/>
        <v>27.289999999999964</v>
      </c>
      <c r="J79" s="90">
        <f>Jan!I79+Feb!I79+Mar!I79+Apr!I79+May!I79+Jun!I79</f>
        <v>163.73999999999978</v>
      </c>
      <c r="K79" s="82"/>
      <c r="L79" s="398">
        <v>2472.71</v>
      </c>
      <c r="M79" s="397"/>
      <c r="N79" s="397"/>
      <c r="O79" s="398"/>
    </row>
    <row r="80" spans="1:15" s="52" customFormat="1" ht="13.5">
      <c r="A80" s="58"/>
      <c r="B80" s="52" t="s">
        <v>801</v>
      </c>
      <c r="G80" s="52">
        <f t="shared" si="2"/>
        <v>0</v>
      </c>
      <c r="H80" s="52">
        <v>0</v>
      </c>
      <c r="I80" s="61">
        <f t="shared" si="3"/>
        <v>0</v>
      </c>
      <c r="J80" s="90">
        <f>Jan!I80+Feb!I80+Mar!I80+Apr!I80+May!I80+Jun!I80</f>
        <v>0</v>
      </c>
      <c r="K80" s="82"/>
      <c r="L80" s="398"/>
      <c r="M80" s="397"/>
      <c r="N80" s="397"/>
      <c r="O80" s="398"/>
    </row>
    <row r="81" spans="1:17" s="52" customFormat="1" ht="13.5">
      <c r="A81" s="58"/>
      <c r="B81" s="52" t="s">
        <v>421</v>
      </c>
      <c r="G81" s="52">
        <f t="shared" si="2"/>
        <v>2651.99</v>
      </c>
      <c r="H81" s="52">
        <v>5000</v>
      </c>
      <c r="I81" s="61">
        <f t="shared" si="3"/>
        <v>2348.0100000000002</v>
      </c>
      <c r="J81" s="90">
        <f>Jan!I81+Feb!I81+Mar!I81+Apr!I81+May!I81+Jun!I81</f>
        <v>-68858.74000000002</v>
      </c>
      <c r="K81" s="82"/>
      <c r="L81" s="398">
        <f>26.9+1500+2+500+160</f>
        <v>2188.9</v>
      </c>
      <c r="M81" s="397"/>
      <c r="N81" s="397">
        <v>150</v>
      </c>
      <c r="O81" s="398">
        <f>-115.97-277.47-1.68-8.38-12.37-118.18-67.44-16.19-0.59+430.16+(283.02+218.18)</f>
        <v>313.08999999999992</v>
      </c>
      <c r="Q81" s="52" t="s">
        <v>1082</v>
      </c>
    </row>
    <row r="82" spans="1:17" s="52" customFormat="1" ht="13.5">
      <c r="A82" s="58"/>
      <c r="B82" s="52" t="s">
        <v>888</v>
      </c>
      <c r="G82" s="52">
        <f t="shared" si="2"/>
        <v>0</v>
      </c>
      <c r="H82" s="52">
        <v>1000</v>
      </c>
      <c r="I82" s="61">
        <f t="shared" si="3"/>
        <v>1000</v>
      </c>
      <c r="J82" s="90">
        <f>Jan!I82+Feb!I82+Mar!I82+Apr!I82+May!I82+Jun!I82</f>
        <v>-4622.75</v>
      </c>
      <c r="K82" s="82"/>
      <c r="L82" s="398"/>
      <c r="M82" s="397"/>
      <c r="N82" s="397"/>
      <c r="O82" s="398"/>
    </row>
    <row r="83" spans="1:17" s="52" customFormat="1" ht="13.5">
      <c r="A83" s="58"/>
      <c r="B83" s="52" t="s">
        <v>889</v>
      </c>
      <c r="G83" s="52">
        <f t="shared" si="2"/>
        <v>41.5</v>
      </c>
      <c r="H83" s="52">
        <v>50</v>
      </c>
      <c r="I83" s="61">
        <f t="shared" si="3"/>
        <v>8.5</v>
      </c>
      <c r="J83" s="90">
        <f>Jan!I83+Feb!I83+Mar!I83+Apr!I83+May!I83+Jun!I83</f>
        <v>-184.95</v>
      </c>
      <c r="K83" s="82"/>
      <c r="L83" s="398"/>
      <c r="M83" s="397">
        <f>30.63+10.87</f>
        <v>41.5</v>
      </c>
      <c r="N83" s="397"/>
      <c r="O83" s="398"/>
    </row>
    <row r="84" spans="1:17" s="52" customFormat="1" ht="13.5">
      <c r="A84" s="58"/>
      <c r="B84" s="52" t="s">
        <v>26</v>
      </c>
      <c r="G84" s="52">
        <f t="shared" si="2"/>
        <v>89.82</v>
      </c>
      <c r="H84" s="52">
        <v>100</v>
      </c>
      <c r="I84" s="61">
        <f t="shared" si="3"/>
        <v>10.180000000000007</v>
      </c>
      <c r="J84" s="90">
        <f>Jan!I84+Feb!I84+Mar!I84+Apr!I84+May!I84+Jun!I84</f>
        <v>202.92000000000002</v>
      </c>
      <c r="K84" s="82"/>
      <c r="L84" s="398">
        <v>89.82</v>
      </c>
      <c r="M84" s="397"/>
      <c r="N84" s="397"/>
      <c r="O84" s="398"/>
    </row>
    <row r="85" spans="1:17" s="52" customFormat="1" ht="13.5">
      <c r="A85" s="58"/>
      <c r="B85" s="52" t="s">
        <v>799</v>
      </c>
      <c r="D85" s="52" t="s">
        <v>1043</v>
      </c>
      <c r="G85" s="52">
        <f t="shared" si="2"/>
        <v>25.98</v>
      </c>
      <c r="H85" s="52">
        <v>70</v>
      </c>
      <c r="I85" s="61">
        <f t="shared" si="3"/>
        <v>44.019999999999996</v>
      </c>
      <c r="J85" s="90">
        <f>Jan!I85+Feb!I85+Mar!I85+Apr!I85+May!I85+Jun!I85</f>
        <v>-305.28000000000003</v>
      </c>
      <c r="K85" s="82"/>
      <c r="L85" s="398">
        <v>25.98</v>
      </c>
      <c r="M85" s="397"/>
      <c r="N85" s="397"/>
      <c r="O85" s="398"/>
    </row>
    <row r="86" spans="1:17" s="52" customFormat="1" ht="13.5">
      <c r="A86" s="58"/>
      <c r="B86" s="52" t="s">
        <v>799</v>
      </c>
      <c r="D86" s="52" t="s">
        <v>1044</v>
      </c>
      <c r="G86" s="52">
        <f t="shared" si="2"/>
        <v>23.84</v>
      </c>
      <c r="H86" s="52">
        <v>25</v>
      </c>
      <c r="I86" s="61">
        <f t="shared" si="3"/>
        <v>1.1600000000000001</v>
      </c>
      <c r="J86" s="90">
        <f>Jan!I86+Feb!I86+Mar!I86+Apr!I86+May!I86+Jun!I86</f>
        <v>31.319999999999997</v>
      </c>
      <c r="K86" s="82"/>
      <c r="L86" s="398">
        <v>23.84</v>
      </c>
      <c r="M86" s="397"/>
      <c r="N86" s="397"/>
      <c r="O86" s="398"/>
    </row>
    <row r="87" spans="1:17" s="52" customFormat="1" ht="13.5">
      <c r="A87" s="58"/>
      <c r="B87" s="52" t="s">
        <v>800</v>
      </c>
      <c r="G87" s="52">
        <f t="shared" si="2"/>
        <v>0</v>
      </c>
      <c r="H87" s="52">
        <v>40</v>
      </c>
      <c r="I87" s="61">
        <f t="shared" si="3"/>
        <v>40</v>
      </c>
      <c r="J87" s="90">
        <f>Jan!I87+Feb!I87+Mar!I87+Apr!I87+May!I87+Jun!I87</f>
        <v>-141.26999999999998</v>
      </c>
      <c r="K87" s="82"/>
      <c r="L87" s="398"/>
      <c r="M87" s="397"/>
      <c r="N87" s="397"/>
      <c r="O87" s="398"/>
    </row>
    <row r="88" spans="1:17" s="52" customFormat="1" ht="13.5">
      <c r="A88" s="58"/>
      <c r="B88" s="52" t="s">
        <v>802</v>
      </c>
      <c r="G88" s="52">
        <f t="shared" si="2"/>
        <v>63.7</v>
      </c>
      <c r="H88" s="52">
        <v>100</v>
      </c>
      <c r="I88" s="61">
        <f t="shared" si="3"/>
        <v>36.299999999999997</v>
      </c>
      <c r="J88" s="90">
        <f>Jan!I88+Feb!I88+Mar!I88+Apr!I88+May!I88+Jun!I88</f>
        <v>374.68</v>
      </c>
      <c r="K88" s="82"/>
      <c r="L88" s="398"/>
      <c r="M88" s="397">
        <f>63.7</f>
        <v>63.7</v>
      </c>
      <c r="N88" s="397"/>
      <c r="O88" s="398"/>
    </row>
    <row r="89" spans="1:17" s="52" customFormat="1" ht="13.5">
      <c r="I89" s="61"/>
      <c r="J89" s="90"/>
      <c r="K89" s="82"/>
      <c r="L89" s="398"/>
      <c r="M89" s="397"/>
      <c r="N89" s="397"/>
      <c r="O89" s="398"/>
    </row>
    <row r="90" spans="1:17" s="52" customFormat="1" ht="13.5">
      <c r="A90" s="58" t="s">
        <v>39</v>
      </c>
      <c r="B90" s="58">
        <f>SUM(G91:G94)</f>
        <v>49.79</v>
      </c>
      <c r="C90" s="58">
        <f>SUM(H91:H94)</f>
        <v>360</v>
      </c>
      <c r="D90" s="58">
        <f>C90-B90</f>
        <v>310.20999999999998</v>
      </c>
      <c r="I90" s="61"/>
      <c r="J90" s="90"/>
      <c r="K90" s="82"/>
      <c r="L90" s="398"/>
      <c r="M90" s="397"/>
      <c r="N90" s="397"/>
      <c r="O90" s="398"/>
    </row>
    <row r="91" spans="1:17" s="52" customFormat="1" ht="13.5">
      <c r="B91" s="52" t="s">
        <v>26</v>
      </c>
      <c r="C91" s="52" t="s">
        <v>27</v>
      </c>
      <c r="G91" s="52">
        <f t="shared" si="2"/>
        <v>49.79</v>
      </c>
      <c r="H91" s="52">
        <v>100</v>
      </c>
      <c r="I91" s="61">
        <f t="shared" si="3"/>
        <v>50.21</v>
      </c>
      <c r="J91" s="90">
        <f>Jan!I91+Feb!I91+Mar!I91+Apr!I91+May!I91+Jun!I91</f>
        <v>181.63000000000002</v>
      </c>
      <c r="K91" s="82"/>
      <c r="L91" s="398">
        <v>49.79</v>
      </c>
      <c r="M91" s="397"/>
      <c r="N91" s="397"/>
      <c r="O91" s="398"/>
    </row>
    <row r="92" spans="1:17" s="52" customFormat="1" ht="13.5">
      <c r="B92" s="52" t="s">
        <v>28</v>
      </c>
      <c r="C92" s="52" t="s">
        <v>29</v>
      </c>
      <c r="G92" s="52">
        <f t="shared" si="2"/>
        <v>0</v>
      </c>
      <c r="H92" s="52">
        <v>40</v>
      </c>
      <c r="I92" s="61">
        <f t="shared" si="3"/>
        <v>40</v>
      </c>
      <c r="J92" s="90">
        <f>Jan!I92+Feb!I92+Mar!I92+Apr!I92+May!I92+Jun!I92</f>
        <v>145.4</v>
      </c>
      <c r="K92" s="82"/>
      <c r="L92" s="398"/>
      <c r="M92" s="397"/>
      <c r="N92" s="397"/>
      <c r="O92" s="398"/>
    </row>
    <row r="93" spans="1:17" s="52" customFormat="1" ht="13.5">
      <c r="B93" s="52" t="s">
        <v>40</v>
      </c>
      <c r="C93" s="52" t="s">
        <v>41</v>
      </c>
      <c r="D93" s="52" t="s">
        <v>321</v>
      </c>
      <c r="G93" s="52">
        <f t="shared" si="2"/>
        <v>0</v>
      </c>
      <c r="H93" s="52">
        <v>100</v>
      </c>
      <c r="I93" s="61">
        <f t="shared" si="3"/>
        <v>100</v>
      </c>
      <c r="J93" s="90">
        <f>Jan!I93+Feb!I93+Mar!I93+Apr!I93+May!I93+Jun!I93</f>
        <v>600</v>
      </c>
      <c r="K93" s="82"/>
      <c r="L93" s="398"/>
      <c r="M93" s="397"/>
      <c r="N93" s="397"/>
      <c r="O93" s="398"/>
    </row>
    <row r="94" spans="1:17" s="52" customFormat="1" ht="13.5">
      <c r="B94" s="52" t="s">
        <v>42</v>
      </c>
      <c r="C94" s="52" t="s">
        <v>43</v>
      </c>
      <c r="D94" s="52" t="s">
        <v>435</v>
      </c>
      <c r="G94" s="52">
        <f t="shared" si="2"/>
        <v>0</v>
      </c>
      <c r="H94" s="52">
        <v>120</v>
      </c>
      <c r="I94" s="61">
        <f t="shared" si="3"/>
        <v>120</v>
      </c>
      <c r="J94" s="90">
        <f>Jan!I94+Feb!I94+Mar!I94+Apr!I94+May!I94+Jun!I94</f>
        <v>219.8</v>
      </c>
      <c r="K94" s="82"/>
      <c r="L94" s="398"/>
      <c r="M94" s="397"/>
      <c r="N94" s="397"/>
      <c r="O94" s="398"/>
    </row>
    <row r="95" spans="1:17" s="52" customFormat="1" ht="13.5">
      <c r="I95" s="61"/>
      <c r="J95" s="90"/>
      <c r="K95" s="82"/>
      <c r="L95" s="398"/>
      <c r="M95" s="397"/>
      <c r="N95" s="397"/>
      <c r="O95" s="398"/>
    </row>
    <row r="96" spans="1:17" s="52" customFormat="1" ht="13.5">
      <c r="A96" s="58" t="s">
        <v>45</v>
      </c>
      <c r="B96" s="58">
        <f>SUM(G97:G99)</f>
        <v>0</v>
      </c>
      <c r="C96" s="58">
        <f>SUM(H97:H99)</f>
        <v>173</v>
      </c>
      <c r="D96" s="58">
        <f>C96-B96</f>
        <v>173</v>
      </c>
      <c r="I96" s="61"/>
      <c r="J96" s="90"/>
      <c r="K96" s="82"/>
      <c r="L96" s="398"/>
      <c r="M96" s="397"/>
      <c r="N96" s="397"/>
      <c r="O96" s="398"/>
    </row>
    <row r="97" spans="1:17" s="52" customFormat="1" ht="13.5">
      <c r="B97" s="52" t="s">
        <v>46</v>
      </c>
      <c r="D97" s="52" t="s">
        <v>437</v>
      </c>
      <c r="G97" s="52">
        <f t="shared" si="2"/>
        <v>0</v>
      </c>
      <c r="H97" s="52">
        <v>65</v>
      </c>
      <c r="I97" s="61">
        <f t="shared" si="3"/>
        <v>65</v>
      </c>
      <c r="J97" s="90">
        <f>Jan!I97+Feb!I97+Mar!I97+Apr!I97+May!I97+Jun!I97</f>
        <v>-340</v>
      </c>
      <c r="K97" s="82"/>
      <c r="L97" s="398"/>
      <c r="M97" s="397"/>
      <c r="N97" s="397"/>
      <c r="O97" s="398"/>
    </row>
    <row r="98" spans="1:17" s="52" customFormat="1" ht="13.5">
      <c r="B98" s="52" t="s">
        <v>47</v>
      </c>
      <c r="D98" s="52" t="s">
        <v>436</v>
      </c>
      <c r="G98" s="52">
        <f t="shared" si="2"/>
        <v>0</v>
      </c>
      <c r="H98" s="52">
        <v>72</v>
      </c>
      <c r="I98" s="61">
        <f t="shared" si="3"/>
        <v>72</v>
      </c>
      <c r="J98" s="90">
        <f>Jan!I98+Feb!I98+Mar!I98+Apr!I98+May!I98+Jun!I98</f>
        <v>-426</v>
      </c>
      <c r="K98" s="82"/>
      <c r="L98" s="398"/>
      <c r="M98" s="397"/>
      <c r="N98" s="397"/>
      <c r="O98" s="398"/>
    </row>
    <row r="99" spans="1:17" s="52" customFormat="1" ht="13.5">
      <c r="B99" s="52" t="s">
        <v>48</v>
      </c>
      <c r="D99" s="52" t="s">
        <v>445</v>
      </c>
      <c r="G99" s="52">
        <f t="shared" si="2"/>
        <v>0</v>
      </c>
      <c r="H99" s="52">
        <v>36</v>
      </c>
      <c r="I99" s="61">
        <f t="shared" si="3"/>
        <v>36</v>
      </c>
      <c r="J99" s="90">
        <f>Jan!I99+Feb!I99+Mar!I99+Apr!I99+May!I99+Jun!I99</f>
        <v>216</v>
      </c>
      <c r="K99" s="82"/>
      <c r="L99" s="398"/>
      <c r="M99" s="397"/>
      <c r="N99" s="397"/>
      <c r="O99" s="398"/>
    </row>
    <row r="100" spans="1:17" s="52" customFormat="1" ht="13.5">
      <c r="I100" s="61"/>
      <c r="J100" s="90"/>
      <c r="K100" s="82"/>
      <c r="L100" s="398"/>
      <c r="M100" s="397"/>
      <c r="N100" s="397"/>
      <c r="O100" s="398"/>
    </row>
    <row r="101" spans="1:17" s="52" customFormat="1" ht="13.5">
      <c r="A101" s="58" t="s">
        <v>49</v>
      </c>
      <c r="B101" s="58">
        <f>SUM(G102:G108)</f>
        <v>120</v>
      </c>
      <c r="C101" s="58">
        <f>SUM(H102:H108)</f>
        <v>178</v>
      </c>
      <c r="D101" s="58">
        <f>C101-B101</f>
        <v>58</v>
      </c>
      <c r="I101" s="61"/>
      <c r="J101" s="90"/>
      <c r="K101" s="82"/>
      <c r="L101" s="398"/>
      <c r="M101" s="397"/>
      <c r="N101" s="397"/>
      <c r="O101" s="398"/>
    </row>
    <row r="102" spans="1:17" s="52" customFormat="1" ht="13.5">
      <c r="B102" s="52" t="s">
        <v>438</v>
      </c>
      <c r="G102" s="52">
        <f t="shared" si="2"/>
        <v>0</v>
      </c>
      <c r="H102" s="52">
        <v>20</v>
      </c>
      <c r="I102" s="61">
        <f t="shared" si="3"/>
        <v>20</v>
      </c>
      <c r="J102" s="90">
        <f>Jan!I102+Feb!I102+Mar!I102+Apr!I102+May!I102+Jun!I102</f>
        <v>-3790.5199999999995</v>
      </c>
      <c r="K102" s="82"/>
      <c r="L102" s="398"/>
      <c r="M102" s="397"/>
      <c r="N102" s="397"/>
      <c r="O102" s="398"/>
    </row>
    <row r="103" spans="1:17" s="52" customFormat="1" ht="13.5">
      <c r="B103" s="52" t="s">
        <v>439</v>
      </c>
      <c r="G103" s="52">
        <f t="shared" si="2"/>
        <v>0</v>
      </c>
      <c r="H103" s="52">
        <v>5</v>
      </c>
      <c r="I103" s="61">
        <f t="shared" si="3"/>
        <v>5</v>
      </c>
      <c r="J103" s="90">
        <f>Jan!I103+Feb!I103+Mar!I103+Apr!I103+May!I103+Jun!I103</f>
        <v>-32.82</v>
      </c>
      <c r="K103" s="82"/>
      <c r="L103" s="398"/>
      <c r="M103" s="397"/>
      <c r="N103" s="397"/>
      <c r="O103" s="398"/>
    </row>
    <row r="104" spans="1:17" s="52" customFormat="1" ht="13.5">
      <c r="B104" s="52" t="s">
        <v>303</v>
      </c>
      <c r="G104" s="52">
        <f t="shared" si="2"/>
        <v>120</v>
      </c>
      <c r="H104" s="52">
        <v>65</v>
      </c>
      <c r="I104" s="61">
        <f t="shared" si="3"/>
        <v>-55</v>
      </c>
      <c r="J104" s="90">
        <f>Jan!I104+Feb!I104+Mar!I104+Apr!I104+May!I104+Jun!I104</f>
        <v>-118.74000000000001</v>
      </c>
      <c r="K104" s="82"/>
      <c r="L104" s="398">
        <v>120</v>
      </c>
      <c r="M104" s="397"/>
      <c r="N104" s="397"/>
      <c r="O104" s="398"/>
      <c r="Q104" s="52" t="s">
        <v>1121</v>
      </c>
    </row>
    <row r="105" spans="1:17" s="52" customFormat="1" ht="13.5">
      <c r="B105" s="52" t="s">
        <v>259</v>
      </c>
      <c r="G105" s="52">
        <f t="shared" si="2"/>
        <v>0</v>
      </c>
      <c r="H105" s="52">
        <v>15</v>
      </c>
      <c r="I105" s="61">
        <f t="shared" si="3"/>
        <v>15</v>
      </c>
      <c r="J105" s="90">
        <f>Jan!I105+Feb!I105+Mar!I105+Apr!I105+May!I105+Jun!I105</f>
        <v>90</v>
      </c>
      <c r="K105" s="82"/>
      <c r="L105" s="398"/>
      <c r="M105" s="397"/>
      <c r="N105" s="397"/>
      <c r="O105" s="398"/>
    </row>
    <row r="106" spans="1:17" s="52" customFormat="1" ht="13.5">
      <c r="B106" s="52" t="s">
        <v>299</v>
      </c>
      <c r="G106" s="52">
        <f t="shared" si="2"/>
        <v>0</v>
      </c>
      <c r="H106" s="52">
        <v>35</v>
      </c>
      <c r="I106" s="61">
        <f t="shared" si="3"/>
        <v>35</v>
      </c>
      <c r="J106" s="90">
        <f>Jan!I106+Feb!I106+Mar!I106+Apr!I106+May!I106+Jun!I106</f>
        <v>183.66</v>
      </c>
      <c r="K106" s="82"/>
      <c r="L106" s="398"/>
      <c r="M106" s="397"/>
      <c r="N106" s="397"/>
      <c r="O106" s="398"/>
    </row>
    <row r="107" spans="1:17" s="52" customFormat="1" ht="13.5">
      <c r="B107" s="52" t="s">
        <v>440</v>
      </c>
      <c r="G107" s="52">
        <f t="shared" si="2"/>
        <v>0</v>
      </c>
      <c r="H107" s="52">
        <v>26</v>
      </c>
      <c r="I107" s="61">
        <f t="shared" si="3"/>
        <v>26</v>
      </c>
      <c r="J107" s="90">
        <f>Jan!I107+Feb!I107+Mar!I107+Apr!I107+May!I107+Jun!I107</f>
        <v>-115</v>
      </c>
      <c r="K107" s="82"/>
      <c r="L107" s="398"/>
      <c r="M107" s="397"/>
      <c r="N107" s="397"/>
      <c r="O107" s="398"/>
    </row>
    <row r="108" spans="1:17" s="52" customFormat="1" ht="13.5">
      <c r="B108" s="52" t="s">
        <v>441</v>
      </c>
      <c r="G108" s="52">
        <f t="shared" si="2"/>
        <v>0</v>
      </c>
      <c r="H108" s="52">
        <v>12</v>
      </c>
      <c r="I108" s="61">
        <f t="shared" si="3"/>
        <v>12</v>
      </c>
      <c r="J108" s="90">
        <f>Jan!I108+Feb!I108+Mar!I108+Apr!I108+May!I108+Jun!I108</f>
        <v>-73.990000000000009</v>
      </c>
      <c r="K108" s="82"/>
      <c r="L108" s="398"/>
      <c r="M108" s="397"/>
      <c r="N108" s="397"/>
      <c r="O108" s="398"/>
    </row>
    <row r="109" spans="1:17" s="52" customFormat="1" ht="13.5">
      <c r="I109" s="61"/>
      <c r="J109" s="90"/>
      <c r="K109" s="82"/>
      <c r="L109" s="398"/>
      <c r="M109" s="397"/>
      <c r="N109" s="397"/>
      <c r="O109" s="398"/>
    </row>
    <row r="110" spans="1:17" s="52" customFormat="1" ht="13.5">
      <c r="A110" s="58" t="s">
        <v>236</v>
      </c>
      <c r="B110" s="58">
        <f>SUM(G111:G113)</f>
        <v>0</v>
      </c>
      <c r="C110" s="58">
        <f>SUM(H111:H113)</f>
        <v>470</v>
      </c>
      <c r="D110" s="58">
        <f>C110-B110</f>
        <v>470</v>
      </c>
      <c r="I110" s="61"/>
      <c r="J110" s="90"/>
      <c r="K110" s="82"/>
      <c r="L110" s="398"/>
      <c r="M110" s="397"/>
      <c r="N110" s="397"/>
      <c r="O110" s="398"/>
    </row>
    <row r="111" spans="1:17" s="52" customFormat="1" ht="13.5">
      <c r="B111" s="52" t="s">
        <v>482</v>
      </c>
      <c r="G111" s="52">
        <f t="shared" si="2"/>
        <v>0</v>
      </c>
      <c r="H111" s="52">
        <v>60</v>
      </c>
      <c r="I111" s="61">
        <f t="shared" si="3"/>
        <v>60</v>
      </c>
      <c r="J111" s="90">
        <f>Jan!I111+Feb!I111+Mar!I111+Apr!I111+May!I111+Jun!I111</f>
        <v>360</v>
      </c>
      <c r="K111" s="82"/>
      <c r="L111" s="398"/>
      <c r="M111" s="397"/>
      <c r="N111" s="397"/>
      <c r="O111" s="398"/>
    </row>
    <row r="112" spans="1:17" s="52" customFormat="1" ht="13.5">
      <c r="B112" s="52" t="s">
        <v>442</v>
      </c>
      <c r="G112" s="52">
        <f t="shared" si="2"/>
        <v>0</v>
      </c>
      <c r="H112" s="52">
        <v>400</v>
      </c>
      <c r="I112" s="61">
        <f t="shared" si="3"/>
        <v>400</v>
      </c>
      <c r="J112" s="90">
        <f>Jan!I112+Feb!I112+Mar!I112+Apr!I112+May!I112+Jun!I112</f>
        <v>2235</v>
      </c>
      <c r="K112" s="82"/>
      <c r="L112" s="398"/>
      <c r="M112" s="397"/>
      <c r="N112" s="397"/>
      <c r="O112" s="398"/>
    </row>
    <row r="113" spans="1:17" s="52" customFormat="1" ht="13.5">
      <c r="B113" s="52" t="s">
        <v>258</v>
      </c>
      <c r="G113" s="52">
        <f t="shared" si="2"/>
        <v>0</v>
      </c>
      <c r="H113" s="52">
        <v>10</v>
      </c>
      <c r="I113" s="61">
        <f t="shared" si="3"/>
        <v>10</v>
      </c>
      <c r="J113" s="90">
        <f>Jan!I113+Feb!I113+Mar!I113+Apr!I113+May!I113+Jun!I113</f>
        <v>60</v>
      </c>
      <c r="K113" s="82"/>
      <c r="L113" s="398"/>
      <c r="M113" s="397"/>
      <c r="N113" s="397"/>
      <c r="O113" s="398"/>
    </row>
    <row r="114" spans="1:17" s="52" customFormat="1" ht="13.5">
      <c r="I114" s="61"/>
      <c r="J114" s="90"/>
      <c r="K114" s="82"/>
      <c r="L114" s="398"/>
      <c r="M114" s="397"/>
      <c r="N114" s="397"/>
      <c r="O114" s="398"/>
    </row>
    <row r="115" spans="1:17" s="52" customFormat="1" ht="13.5">
      <c r="A115" s="58" t="s">
        <v>53</v>
      </c>
      <c r="B115" s="58">
        <f>SUM(G116:G118)</f>
        <v>105.91</v>
      </c>
      <c r="C115" s="58">
        <f>SUM(H116:H118)</f>
        <v>245</v>
      </c>
      <c r="D115" s="58">
        <f>C115-B115</f>
        <v>139.09</v>
      </c>
      <c r="I115" s="61"/>
      <c r="J115" s="90"/>
      <c r="K115" s="82"/>
      <c r="L115" s="398"/>
      <c r="M115" s="397"/>
      <c r="N115" s="397"/>
      <c r="O115" s="398"/>
    </row>
    <row r="116" spans="1:17" s="52" customFormat="1" ht="13.5">
      <c r="B116" s="52" t="s">
        <v>443</v>
      </c>
      <c r="G116" s="52">
        <f t="shared" ref="G116:G170" si="4">SUM(L116:O116)</f>
        <v>0</v>
      </c>
      <c r="H116" s="52">
        <v>90</v>
      </c>
      <c r="I116" s="61">
        <f t="shared" si="3"/>
        <v>90</v>
      </c>
      <c r="J116" s="90">
        <f>Jan!I116+Feb!I116+Mar!I116+Apr!I116+May!I116+Jun!I116</f>
        <v>-2298.3500000000004</v>
      </c>
      <c r="K116" s="82"/>
      <c r="L116" s="398"/>
      <c r="M116" s="397"/>
      <c r="N116" s="397"/>
      <c r="O116" s="398"/>
    </row>
    <row r="117" spans="1:17" s="52" customFormat="1" ht="13.5">
      <c r="B117" s="52" t="s">
        <v>54</v>
      </c>
      <c r="G117" s="52">
        <f t="shared" si="4"/>
        <v>0</v>
      </c>
      <c r="H117" s="52">
        <v>25</v>
      </c>
      <c r="I117" s="61">
        <f t="shared" si="3"/>
        <v>25</v>
      </c>
      <c r="J117" s="90">
        <f>Jan!I117+Feb!I117+Mar!I117+Apr!I117+May!I117+Jun!I117</f>
        <v>-83.4</v>
      </c>
      <c r="K117" s="82"/>
      <c r="L117" s="398"/>
      <c r="M117" s="397"/>
      <c r="N117" s="397"/>
      <c r="O117" s="398"/>
    </row>
    <row r="118" spans="1:17" s="52" customFormat="1" ht="13.5">
      <c r="B118" s="54" t="s">
        <v>444</v>
      </c>
      <c r="G118" s="52">
        <f t="shared" si="4"/>
        <v>105.91</v>
      </c>
      <c r="H118" s="52">
        <v>130</v>
      </c>
      <c r="I118" s="61">
        <f t="shared" si="3"/>
        <v>24.090000000000003</v>
      </c>
      <c r="J118" s="90">
        <f>Jan!I118+Feb!I118+Mar!I118+Apr!I118+May!I118+Jun!I118</f>
        <v>-69.339999999999975</v>
      </c>
      <c r="K118" s="82"/>
      <c r="L118" s="398"/>
      <c r="M118" s="397">
        <f>38.4+37.51+30</f>
        <v>105.91</v>
      </c>
      <c r="N118" s="397"/>
      <c r="O118" s="398"/>
      <c r="Q118" s="52" t="s">
        <v>1072</v>
      </c>
    </row>
    <row r="119" spans="1:17" s="52" customFormat="1" ht="13.5">
      <c r="I119" s="61"/>
      <c r="J119" s="90"/>
      <c r="K119" s="82"/>
      <c r="L119" s="398"/>
      <c r="M119" s="397"/>
      <c r="N119" s="397"/>
      <c r="O119" s="398"/>
    </row>
    <row r="120" spans="1:17" s="52" customFormat="1" ht="13.5">
      <c r="A120" s="58" t="s">
        <v>59</v>
      </c>
      <c r="B120" s="58">
        <f>SUM(G121:G123)</f>
        <v>0</v>
      </c>
      <c r="C120" s="58">
        <f>SUM(H121:H123)</f>
        <v>415</v>
      </c>
      <c r="D120" s="58">
        <f>C120-B120</f>
        <v>415</v>
      </c>
      <c r="I120" s="61"/>
      <c r="J120" s="90"/>
      <c r="K120" s="82"/>
      <c r="L120" s="398"/>
      <c r="M120" s="397"/>
      <c r="N120" s="397"/>
      <c r="O120" s="398"/>
    </row>
    <row r="121" spans="1:17" s="52" customFormat="1" ht="13.5">
      <c r="B121" s="52" t="s">
        <v>484</v>
      </c>
      <c r="D121" s="52" t="s">
        <v>60</v>
      </c>
      <c r="G121" s="52">
        <f t="shared" si="4"/>
        <v>0</v>
      </c>
      <c r="H121" s="52">
        <v>150</v>
      </c>
      <c r="I121" s="61">
        <f t="shared" si="3"/>
        <v>150</v>
      </c>
      <c r="J121" s="90">
        <f>Jan!I121+Feb!I121+Mar!I121+Apr!I121+May!I121+Jun!I121</f>
        <v>900</v>
      </c>
      <c r="K121" s="82"/>
      <c r="L121" s="398"/>
      <c r="M121" s="397"/>
      <c r="N121" s="397"/>
      <c r="O121" s="398"/>
    </row>
    <row r="122" spans="1:17" s="52" customFormat="1" ht="13.5">
      <c r="A122" s="58"/>
      <c r="B122" s="52" t="s">
        <v>483</v>
      </c>
      <c r="G122" s="52">
        <f t="shared" si="4"/>
        <v>0</v>
      </c>
      <c r="H122" s="52">
        <v>215</v>
      </c>
      <c r="I122" s="61">
        <f t="shared" si="3"/>
        <v>215</v>
      </c>
      <c r="J122" s="90">
        <f>Jan!I122+Feb!I122+Mar!I122+Apr!I122+May!I122+Jun!I122</f>
        <v>780</v>
      </c>
      <c r="K122" s="82"/>
      <c r="L122" s="398"/>
      <c r="M122" s="397"/>
      <c r="N122" s="397"/>
      <c r="O122" s="398"/>
    </row>
    <row r="123" spans="1:17" s="52" customFormat="1" ht="13.5">
      <c r="A123" s="58"/>
      <c r="B123" s="52" t="s">
        <v>468</v>
      </c>
      <c r="G123" s="52">
        <f t="shared" si="4"/>
        <v>0</v>
      </c>
      <c r="H123" s="52">
        <v>50</v>
      </c>
      <c r="I123" s="61">
        <f t="shared" si="3"/>
        <v>50</v>
      </c>
      <c r="J123" s="90">
        <f>Jan!I123+Feb!I123+Mar!I123+Apr!I123+May!I123+Jun!I123</f>
        <v>-1340</v>
      </c>
      <c r="K123" s="82"/>
      <c r="L123" s="398"/>
      <c r="M123" s="397"/>
      <c r="N123" s="397"/>
      <c r="O123" s="398"/>
      <c r="Q123" s="52" t="s">
        <v>1071</v>
      </c>
    </row>
    <row r="124" spans="1:17" s="52" customFormat="1" ht="13.5">
      <c r="A124" s="58"/>
      <c r="I124" s="61"/>
      <c r="J124" s="90"/>
      <c r="K124" s="82"/>
      <c r="L124" s="398"/>
      <c r="M124" s="397"/>
      <c r="N124" s="397"/>
      <c r="O124" s="398"/>
    </row>
    <row r="125" spans="1:17" s="52" customFormat="1" ht="13.5">
      <c r="A125" s="58" t="s">
        <v>50</v>
      </c>
      <c r="B125" s="58">
        <f>SUM(G126:G136)</f>
        <v>1100.73</v>
      </c>
      <c r="C125" s="58">
        <f>SUM(H126:H136)</f>
        <v>740</v>
      </c>
      <c r="D125" s="58">
        <f>C125-B125</f>
        <v>-360.73</v>
      </c>
      <c r="I125" s="61"/>
      <c r="J125" s="90"/>
      <c r="K125" s="82"/>
      <c r="L125" s="398"/>
      <c r="M125" s="397"/>
      <c r="N125" s="397"/>
      <c r="O125" s="398"/>
    </row>
    <row r="126" spans="1:17" s="52" customFormat="1" ht="13.5">
      <c r="B126" s="52" t="s">
        <v>51</v>
      </c>
      <c r="G126" s="52">
        <f t="shared" si="4"/>
        <v>111.1</v>
      </c>
      <c r="H126" s="52">
        <v>100</v>
      </c>
      <c r="I126" s="61">
        <f t="shared" si="3"/>
        <v>-11.099999999999994</v>
      </c>
      <c r="J126" s="90">
        <f>Jan!I126+Feb!I126+Mar!I126+Apr!I126+May!I126+Jun!I126</f>
        <v>-589.1</v>
      </c>
      <c r="K126" s="82"/>
      <c r="L126" s="398">
        <f>300-188.9</f>
        <v>111.1</v>
      </c>
      <c r="M126" s="397"/>
      <c r="N126" s="397"/>
      <c r="O126" s="398"/>
      <c r="Q126" s="120">
        <v>42180</v>
      </c>
    </row>
    <row r="127" spans="1:17" s="52" customFormat="1" ht="14.25" thickBot="1">
      <c r="B127" s="52" t="s">
        <v>453</v>
      </c>
      <c r="G127" s="52">
        <f t="shared" si="4"/>
        <v>682.43999999999994</v>
      </c>
      <c r="H127" s="52">
        <v>500</v>
      </c>
      <c r="I127" s="61">
        <f t="shared" si="3"/>
        <v>-182.43999999999994</v>
      </c>
      <c r="J127" s="90">
        <f>Jan!I127+Feb!I127+Mar!I127+Apr!I127+May!I127+Jun!I127</f>
        <v>802.77000000000032</v>
      </c>
      <c r="K127" s="82"/>
      <c r="L127" s="398"/>
      <c r="M127" s="397">
        <f>7.25+27.87</f>
        <v>35.120000000000005</v>
      </c>
      <c r="N127" s="397">
        <f>58.54+27.53+115.96+32.33+87.19+36.12+37.56+100.48+67.45+84.16</f>
        <v>647.31999999999994</v>
      </c>
      <c r="O127" s="398"/>
      <c r="Q127" s="52" t="s">
        <v>1086</v>
      </c>
    </row>
    <row r="128" spans="1:17" s="52" customFormat="1" ht="14.25" thickBot="1">
      <c r="C128" s="52" t="s">
        <v>446</v>
      </c>
      <c r="E128" s="88"/>
      <c r="I128" s="61"/>
      <c r="J128" s="90"/>
      <c r="K128" s="82"/>
      <c r="L128" s="398"/>
      <c r="M128" s="397"/>
      <c r="N128" s="397"/>
      <c r="O128" s="398"/>
    </row>
    <row r="129" spans="1:17" s="52" customFormat="1" ht="14.25" thickBot="1">
      <c r="C129" s="52" t="s">
        <v>447</v>
      </c>
      <c r="E129" s="88"/>
      <c r="I129" s="61"/>
      <c r="J129" s="90"/>
      <c r="K129" s="82"/>
      <c r="L129" s="398"/>
      <c r="M129" s="397"/>
      <c r="N129" s="397"/>
      <c r="O129" s="398"/>
    </row>
    <row r="130" spans="1:17" s="52" customFormat="1" ht="14.25">
      <c r="B130" s="52" t="s">
        <v>300</v>
      </c>
      <c r="G130" s="52">
        <f t="shared" si="4"/>
        <v>207.21</v>
      </c>
      <c r="H130" s="52">
        <v>50</v>
      </c>
      <c r="I130" s="61">
        <f t="shared" si="3"/>
        <v>-157.21</v>
      </c>
      <c r="J130" s="90">
        <f>Jan!I130+Feb!I130+Mar!I130+Apr!I130+May!I130+Jun!I130</f>
        <v>-511.28</v>
      </c>
      <c r="K130" s="82"/>
      <c r="L130" s="398"/>
      <c r="M130" s="397">
        <f>(293.05-85.84)</f>
        <v>207.21</v>
      </c>
      <c r="N130" s="397"/>
      <c r="O130" s="398"/>
      <c r="Q130" s="144" t="s">
        <v>1065</v>
      </c>
    </row>
    <row r="131" spans="1:17" s="52" customFormat="1" ht="14.25" thickBot="1">
      <c r="B131" s="52" t="s">
        <v>52</v>
      </c>
      <c r="G131" s="52">
        <f t="shared" si="4"/>
        <v>14.14</v>
      </c>
      <c r="H131" s="52">
        <v>70</v>
      </c>
      <c r="I131" s="61">
        <f t="shared" si="3"/>
        <v>55.86</v>
      </c>
      <c r="J131" s="90">
        <f>Jan!I131+Feb!I131+Mar!I131+Apr!I131+May!I131+Jun!I131</f>
        <v>213.26000000000005</v>
      </c>
      <c r="K131" s="82"/>
      <c r="L131" s="398"/>
      <c r="M131" s="397">
        <v>14.14</v>
      </c>
      <c r="N131" s="397"/>
      <c r="O131" s="398"/>
      <c r="Q131" s="52" t="s">
        <v>1071</v>
      </c>
    </row>
    <row r="132" spans="1:17" s="52" customFormat="1" ht="14.25" thickBot="1">
      <c r="C132" s="259" t="s">
        <v>448</v>
      </c>
      <c r="D132" s="260"/>
      <c r="E132" s="88">
        <v>14.14</v>
      </c>
      <c r="I132" s="61"/>
      <c r="J132" s="90"/>
      <c r="K132" s="82"/>
      <c r="L132" s="398"/>
      <c r="M132" s="397"/>
      <c r="N132" s="397"/>
      <c r="O132" s="398"/>
    </row>
    <row r="133" spans="1:17" s="52" customFormat="1" ht="14.25" thickBot="1">
      <c r="C133" s="259" t="s">
        <v>449</v>
      </c>
      <c r="D133" s="260"/>
      <c r="E133" s="88"/>
      <c r="I133" s="61"/>
      <c r="J133" s="90"/>
      <c r="K133" s="82"/>
      <c r="L133" s="398"/>
      <c r="M133" s="397"/>
      <c r="N133" s="397"/>
      <c r="O133" s="398"/>
    </row>
    <row r="134" spans="1:17" s="52" customFormat="1" ht="14.25" thickBot="1">
      <c r="C134" s="259" t="s">
        <v>450</v>
      </c>
      <c r="D134" s="260"/>
      <c r="E134" s="88"/>
      <c r="I134" s="61"/>
      <c r="J134" s="90"/>
      <c r="K134" s="82"/>
      <c r="L134" s="398"/>
      <c r="M134" s="397"/>
      <c r="N134" s="397"/>
      <c r="O134" s="398"/>
    </row>
    <row r="135" spans="1:17" s="52" customFormat="1" ht="14.25" thickBot="1">
      <c r="C135" s="259" t="s">
        <v>451</v>
      </c>
      <c r="D135" s="260"/>
      <c r="E135" s="88"/>
      <c r="I135" s="61"/>
      <c r="J135" s="90"/>
      <c r="K135" s="82"/>
      <c r="L135" s="398"/>
      <c r="M135" s="397"/>
      <c r="N135" s="397"/>
      <c r="O135" s="398"/>
    </row>
    <row r="136" spans="1:17" s="52" customFormat="1" ht="13.5">
      <c r="B136" s="52" t="s">
        <v>452</v>
      </c>
      <c r="G136" s="52">
        <f t="shared" si="4"/>
        <v>85.84</v>
      </c>
      <c r="H136" s="52">
        <v>20</v>
      </c>
      <c r="I136" s="61">
        <f t="shared" ref="I136:I151" si="5">H136-G136</f>
        <v>-65.84</v>
      </c>
      <c r="J136" s="90">
        <f>Jan!I136+Feb!I136+Mar!I136+Apr!I136+May!I136+Jun!I136</f>
        <v>34.159999999999997</v>
      </c>
      <c r="K136" s="82"/>
      <c r="L136" s="398"/>
      <c r="M136" s="397">
        <f>85.84</f>
        <v>85.84</v>
      </c>
      <c r="N136" s="397"/>
      <c r="O136" s="398"/>
    </row>
    <row r="137" spans="1:17" s="52" customFormat="1" ht="13.5">
      <c r="I137" s="61"/>
      <c r="J137" s="90"/>
      <c r="K137" s="82"/>
      <c r="L137" s="398"/>
      <c r="M137" s="397"/>
      <c r="N137" s="397"/>
      <c r="O137" s="398"/>
    </row>
    <row r="138" spans="1:17" s="52" customFormat="1" ht="13.5">
      <c r="A138" s="58" t="s">
        <v>65</v>
      </c>
      <c r="B138" s="58">
        <f>G139</f>
        <v>0</v>
      </c>
      <c r="C138" s="58">
        <f>H139</f>
        <v>140</v>
      </c>
      <c r="D138" s="58">
        <f>I139</f>
        <v>140</v>
      </c>
      <c r="I138" s="61"/>
      <c r="J138" s="90"/>
      <c r="K138" s="82"/>
      <c r="L138" s="398"/>
      <c r="M138" s="397"/>
      <c r="N138" s="397"/>
      <c r="O138" s="398"/>
    </row>
    <row r="139" spans="1:17" s="52" customFormat="1" ht="13.5">
      <c r="B139" s="52" t="s">
        <v>66</v>
      </c>
      <c r="G139" s="52">
        <f t="shared" si="4"/>
        <v>0</v>
      </c>
      <c r="H139" s="52">
        <v>140</v>
      </c>
      <c r="I139" s="61">
        <f t="shared" si="5"/>
        <v>140</v>
      </c>
      <c r="J139" s="90">
        <f>Jan!I139+Feb!I139+Mar!I139+Apr!I139+May!I139+Jun!I139</f>
        <v>583.43000000000006</v>
      </c>
      <c r="K139" s="82"/>
      <c r="L139" s="398"/>
      <c r="M139" s="397"/>
      <c r="N139" s="397"/>
      <c r="O139" s="398"/>
    </row>
    <row r="140" spans="1:17" s="52" customFormat="1" ht="13.5">
      <c r="I140" s="61"/>
      <c r="J140" s="90"/>
      <c r="K140" s="82"/>
      <c r="L140" s="398"/>
      <c r="M140" s="397"/>
      <c r="N140" s="397"/>
      <c r="O140" s="398"/>
    </row>
    <row r="141" spans="1:17" s="52" customFormat="1" ht="13.5">
      <c r="A141" s="58" t="s">
        <v>271</v>
      </c>
      <c r="B141" s="58">
        <f>SUM(G142:G144)</f>
        <v>52.730000000000004</v>
      </c>
      <c r="C141" s="58">
        <f>SUM(H142:H144)</f>
        <v>230</v>
      </c>
      <c r="D141" s="58">
        <f>C141-B141</f>
        <v>177.26999999999998</v>
      </c>
      <c r="I141" s="61"/>
      <c r="J141" s="90"/>
      <c r="K141" s="82"/>
      <c r="L141" s="398"/>
      <c r="M141" s="397"/>
      <c r="N141" s="397"/>
      <c r="O141" s="398"/>
    </row>
    <row r="142" spans="1:17" s="52" customFormat="1" ht="13.5">
      <c r="B142" s="52" t="s">
        <v>266</v>
      </c>
      <c r="G142" s="52">
        <f t="shared" si="4"/>
        <v>52.730000000000004</v>
      </c>
      <c r="H142" s="52">
        <v>100</v>
      </c>
      <c r="I142" s="61">
        <f t="shared" si="5"/>
        <v>47.269999999999996</v>
      </c>
      <c r="J142" s="90">
        <f>Jan!I142+Feb!I142+Mar!I142+Apr!I142+May!I142+Jun!I142</f>
        <v>-367.38000000000005</v>
      </c>
      <c r="K142" s="82"/>
      <c r="L142" s="398"/>
      <c r="M142" s="397">
        <f>17.83+21.85+13.05</f>
        <v>52.730000000000004</v>
      </c>
      <c r="N142" s="397"/>
      <c r="O142" s="398"/>
    </row>
    <row r="143" spans="1:17" s="52" customFormat="1" ht="13.5">
      <c r="B143" s="52" t="s">
        <v>454</v>
      </c>
      <c r="G143" s="52">
        <f t="shared" si="4"/>
        <v>0</v>
      </c>
      <c r="H143" s="52">
        <v>100</v>
      </c>
      <c r="I143" s="61">
        <f t="shared" si="5"/>
        <v>100</v>
      </c>
      <c r="J143" s="90">
        <f>Jan!I143+Feb!I143+Mar!I143+Apr!I143+May!I143+Jun!I143</f>
        <v>600</v>
      </c>
      <c r="K143" s="82"/>
      <c r="L143" s="398"/>
      <c r="M143" s="397"/>
      <c r="N143" s="397"/>
      <c r="O143" s="398"/>
    </row>
    <row r="144" spans="1:17" s="52" customFormat="1" ht="13.5">
      <c r="B144" s="52" t="s">
        <v>455</v>
      </c>
      <c r="G144" s="52">
        <f t="shared" si="4"/>
        <v>0</v>
      </c>
      <c r="H144" s="52">
        <v>30</v>
      </c>
      <c r="I144" s="61">
        <f t="shared" si="5"/>
        <v>30</v>
      </c>
      <c r="J144" s="90">
        <f>Jan!I144+Feb!I144+Mar!I144+Apr!I144+May!I144+Jun!I144</f>
        <v>180</v>
      </c>
      <c r="K144" s="82"/>
      <c r="L144" s="398"/>
      <c r="M144" s="397"/>
      <c r="N144" s="397"/>
      <c r="O144" s="398"/>
    </row>
    <row r="145" spans="1:17" s="52" customFormat="1" ht="13.5">
      <c r="I145" s="61"/>
      <c r="J145" s="90"/>
      <c r="K145" s="82"/>
      <c r="L145" s="398"/>
      <c r="M145" s="397"/>
      <c r="N145" s="397"/>
      <c r="O145" s="398"/>
    </row>
    <row r="146" spans="1:17" s="52" customFormat="1" ht="13.5">
      <c r="A146" s="58" t="s">
        <v>67</v>
      </c>
      <c r="B146" s="58">
        <f>G147</f>
        <v>9.8000000000000007</v>
      </c>
      <c r="C146" s="58">
        <f>H147</f>
        <v>10</v>
      </c>
      <c r="D146" s="58">
        <f>C146-B146</f>
        <v>0.19999999999999929</v>
      </c>
      <c r="I146" s="61"/>
      <c r="J146" s="90"/>
      <c r="K146" s="82"/>
      <c r="L146" s="398"/>
      <c r="M146" s="397"/>
      <c r="N146" s="397"/>
      <c r="O146" s="398"/>
    </row>
    <row r="147" spans="1:17" s="52" customFormat="1" ht="13.5">
      <c r="B147" s="52" t="s">
        <v>68</v>
      </c>
      <c r="G147" s="52">
        <f t="shared" si="4"/>
        <v>9.8000000000000007</v>
      </c>
      <c r="H147" s="52">
        <v>10</v>
      </c>
      <c r="I147" s="61">
        <f t="shared" si="5"/>
        <v>0.19999999999999929</v>
      </c>
      <c r="J147" s="90">
        <f>Jan!I147+Feb!I147+Mar!I147+Apr!I147+May!I147+Jun!I147</f>
        <v>47.05</v>
      </c>
      <c r="K147" s="82"/>
      <c r="L147" s="398"/>
      <c r="M147" s="397">
        <v>9.8000000000000007</v>
      </c>
      <c r="N147" s="397"/>
      <c r="O147" s="398"/>
      <c r="Q147" s="52" t="s">
        <v>599</v>
      </c>
    </row>
    <row r="148" spans="1:17" s="52" customFormat="1" ht="13.5">
      <c r="I148" s="61"/>
      <c r="J148" s="90"/>
      <c r="K148" s="82"/>
      <c r="L148" s="398"/>
      <c r="M148" s="397"/>
      <c r="N148" s="397"/>
      <c r="O148" s="398"/>
    </row>
    <row r="149" spans="1:17" s="52" customFormat="1" ht="13.5">
      <c r="A149" s="58" t="s">
        <v>269</v>
      </c>
      <c r="B149" s="58">
        <f>SUM(G150:G151)</f>
        <v>50</v>
      </c>
      <c r="C149" s="58">
        <f>SUM(H150:H151)</f>
        <v>250</v>
      </c>
      <c r="D149" s="58">
        <f>C149-B149</f>
        <v>200</v>
      </c>
      <c r="I149" s="61"/>
      <c r="J149" s="90"/>
      <c r="K149" s="82"/>
      <c r="L149" s="398"/>
      <c r="M149" s="397"/>
      <c r="N149" s="397"/>
      <c r="O149" s="398"/>
    </row>
    <row r="150" spans="1:17" s="52" customFormat="1" ht="13.5">
      <c r="B150" s="52" t="s">
        <v>63</v>
      </c>
      <c r="G150" s="52">
        <f t="shared" si="4"/>
        <v>50</v>
      </c>
      <c r="H150" s="52">
        <v>150</v>
      </c>
      <c r="I150" s="61">
        <f t="shared" si="5"/>
        <v>100</v>
      </c>
      <c r="J150" s="90">
        <f>Jan!I150+Feb!I150+Mar!I150+Apr!I150+May!I150+Jun!I150</f>
        <v>850</v>
      </c>
      <c r="K150" s="82"/>
      <c r="L150" s="398"/>
      <c r="M150" s="397"/>
      <c r="N150" s="397">
        <v>50</v>
      </c>
      <c r="O150" s="398"/>
      <c r="Q150" s="52" t="s">
        <v>1089</v>
      </c>
    </row>
    <row r="151" spans="1:17" s="52" customFormat="1" ht="13.5">
      <c r="B151" s="52" t="s">
        <v>64</v>
      </c>
      <c r="D151" s="52" t="s">
        <v>270</v>
      </c>
      <c r="G151" s="52">
        <f t="shared" si="4"/>
        <v>0</v>
      </c>
      <c r="H151" s="52">
        <v>100</v>
      </c>
      <c r="I151" s="61">
        <f t="shared" si="5"/>
        <v>100</v>
      </c>
      <c r="J151" s="90">
        <f>Jan!I151+Feb!I151+Mar!I151+Apr!I151+May!I151+Jun!I151</f>
        <v>391.11</v>
      </c>
      <c r="K151" s="87"/>
      <c r="L151" s="398"/>
      <c r="M151" s="397"/>
      <c r="N151" s="397"/>
      <c r="O151" s="398"/>
    </row>
    <row r="152" spans="1:17" s="52" customFormat="1" ht="13.5">
      <c r="I152" s="61"/>
      <c r="J152" s="90"/>
      <c r="K152" s="87"/>
      <c r="L152" s="398"/>
      <c r="M152" s="397"/>
      <c r="N152" s="397"/>
      <c r="O152" s="398"/>
    </row>
    <row r="153" spans="1:17" ht="13.5">
      <c r="A153" s="52"/>
      <c r="B153" s="52"/>
      <c r="C153" s="52"/>
      <c r="D153" s="52"/>
      <c r="E153" s="52"/>
      <c r="F153" s="52"/>
      <c r="G153" s="52"/>
      <c r="H153" s="52"/>
      <c r="I153" s="61"/>
      <c r="J153" s="90"/>
      <c r="L153" s="398"/>
      <c r="M153" s="397"/>
      <c r="N153" s="397"/>
      <c r="O153" s="398"/>
    </row>
    <row r="154" spans="1:17" ht="13.5">
      <c r="A154" s="58" t="s">
        <v>459</v>
      </c>
      <c r="B154" s="52"/>
      <c r="C154" s="52"/>
      <c r="D154" s="52"/>
      <c r="E154" s="52"/>
      <c r="F154" s="52"/>
      <c r="G154" s="52"/>
      <c r="H154" s="52"/>
      <c r="I154" s="61"/>
      <c r="J154" s="90"/>
      <c r="L154" s="398"/>
      <c r="M154" s="397"/>
      <c r="N154" s="397"/>
      <c r="O154" s="398"/>
    </row>
    <row r="155" spans="1:17" ht="13.5">
      <c r="A155" s="52"/>
      <c r="B155" s="52">
        <f>SUM(G156:G170)</f>
        <v>0</v>
      </c>
      <c r="C155" s="52">
        <f>SUM(H156:H170)</f>
        <v>610</v>
      </c>
      <c r="D155" s="58">
        <f>C155-B155</f>
        <v>610</v>
      </c>
      <c r="E155" s="52"/>
      <c r="F155" s="52"/>
      <c r="G155" s="52"/>
      <c r="H155" s="52"/>
      <c r="I155" s="61"/>
      <c r="J155" s="90"/>
      <c r="L155" s="398"/>
      <c r="M155" s="397"/>
      <c r="N155" s="397"/>
      <c r="O155" s="398"/>
    </row>
    <row r="156" spans="1:17" ht="13.5">
      <c r="A156" s="58" t="s">
        <v>461</v>
      </c>
      <c r="B156" s="52"/>
      <c r="C156" s="52"/>
      <c r="D156" s="52"/>
      <c r="E156" s="52"/>
      <c r="F156" s="52"/>
      <c r="G156" s="52"/>
      <c r="H156" s="52"/>
      <c r="I156" s="61"/>
      <c r="J156" s="90"/>
      <c r="L156" s="398"/>
      <c r="M156" s="397"/>
      <c r="N156" s="397"/>
      <c r="O156" s="398"/>
    </row>
    <row r="157" spans="1:17" ht="14.25" thickBot="1">
      <c r="A157" s="52"/>
      <c r="B157" s="52" t="s">
        <v>267</v>
      </c>
      <c r="C157" s="52"/>
      <c r="D157" s="52"/>
      <c r="E157" s="52"/>
      <c r="F157" s="52"/>
      <c r="G157" s="52">
        <f t="shared" si="4"/>
        <v>0</v>
      </c>
      <c r="H157" s="52">
        <v>100</v>
      </c>
      <c r="I157" s="61">
        <f t="shared" ref="I157:I170" si="6">H157-G157</f>
        <v>100</v>
      </c>
      <c r="J157" s="90">
        <f>Jan!I157+Feb!I157+Mar!I157+Apr!I157+May!I157+Jun!I157</f>
        <v>600</v>
      </c>
      <c r="L157" s="398"/>
      <c r="M157" s="397"/>
      <c r="N157" s="397"/>
      <c r="O157" s="398"/>
      <c r="P157" s="65" t="s">
        <v>700</v>
      </c>
    </row>
    <row r="158" spans="1:17" ht="14.25" thickBot="1">
      <c r="A158" s="88">
        <f>SUM(G157:G161)</f>
        <v>0</v>
      </c>
      <c r="B158" s="52" t="s">
        <v>268</v>
      </c>
      <c r="C158" s="52"/>
      <c r="D158" s="52"/>
      <c r="E158" s="52"/>
      <c r="F158" s="52"/>
      <c r="G158" s="52">
        <f t="shared" si="4"/>
        <v>0</v>
      </c>
      <c r="H158" s="52">
        <v>100</v>
      </c>
      <c r="I158" s="61">
        <f t="shared" si="6"/>
        <v>100</v>
      </c>
      <c r="J158" s="90">
        <f>Jan!I158+Feb!I158+Mar!I158+Apr!I158+May!I158+Jun!I158</f>
        <v>600</v>
      </c>
      <c r="L158" s="398"/>
      <c r="M158" s="397"/>
      <c r="N158" s="397"/>
      <c r="O158" s="398"/>
    </row>
    <row r="159" spans="1:17" ht="13.5">
      <c r="A159" s="52"/>
      <c r="B159" s="52" t="s">
        <v>61</v>
      </c>
      <c r="C159" s="52"/>
      <c r="D159" s="52"/>
      <c r="E159" s="52"/>
      <c r="F159" s="52"/>
      <c r="G159" s="52">
        <f t="shared" si="4"/>
        <v>0</v>
      </c>
      <c r="H159" s="52">
        <v>30</v>
      </c>
      <c r="I159" s="61">
        <f t="shared" si="6"/>
        <v>30</v>
      </c>
      <c r="J159" s="90">
        <f>Jan!I159+Feb!I159+Mar!I159+Apr!I159+May!I159+Jun!I159</f>
        <v>180</v>
      </c>
      <c r="L159" s="398"/>
      <c r="M159" s="397"/>
      <c r="N159" s="397"/>
      <c r="O159" s="398"/>
    </row>
    <row r="160" spans="1:17" ht="13.5">
      <c r="A160" s="52"/>
      <c r="B160" s="52" t="s">
        <v>62</v>
      </c>
      <c r="C160" s="52"/>
      <c r="D160" s="52"/>
      <c r="E160" s="52"/>
      <c r="F160" s="52"/>
      <c r="G160" s="52">
        <f t="shared" si="4"/>
        <v>0</v>
      </c>
      <c r="H160" s="52">
        <v>50</v>
      </c>
      <c r="I160" s="61">
        <f t="shared" si="6"/>
        <v>50</v>
      </c>
      <c r="J160" s="90">
        <f>Jan!I160+Feb!I160+Mar!I160+Apr!I160+May!I160+Jun!I160</f>
        <v>225</v>
      </c>
      <c r="L160" s="398"/>
      <c r="M160" s="397"/>
      <c r="N160" s="397"/>
      <c r="O160" s="398"/>
    </row>
    <row r="161" spans="1:15" ht="13.5">
      <c r="A161" s="52"/>
      <c r="B161" s="52" t="s">
        <v>486</v>
      </c>
      <c r="C161" s="52"/>
      <c r="D161" s="52"/>
      <c r="E161" s="52"/>
      <c r="F161" s="52"/>
      <c r="G161" s="52">
        <f t="shared" si="4"/>
        <v>0</v>
      </c>
      <c r="H161" s="52">
        <v>10</v>
      </c>
      <c r="I161" s="61">
        <f t="shared" si="6"/>
        <v>10</v>
      </c>
      <c r="J161" s="90">
        <f>Jan!I161+Feb!I161+Mar!I161+Apr!I161+May!I161+Jun!I161</f>
        <v>60</v>
      </c>
      <c r="L161" s="398"/>
      <c r="M161" s="397"/>
      <c r="N161" s="397"/>
      <c r="O161" s="398"/>
    </row>
    <row r="162" spans="1:15" ht="13.5">
      <c r="A162" s="52"/>
      <c r="B162" s="52"/>
      <c r="C162" s="52"/>
      <c r="D162" s="52"/>
      <c r="E162" s="52"/>
      <c r="F162" s="52"/>
      <c r="G162" s="52"/>
      <c r="H162" s="52"/>
      <c r="I162" s="61"/>
      <c r="J162" s="90"/>
      <c r="L162" s="398"/>
      <c r="M162" s="397"/>
      <c r="N162" s="397"/>
      <c r="O162" s="398"/>
    </row>
    <row r="163" spans="1:15" ht="13.5">
      <c r="A163" s="58" t="s">
        <v>460</v>
      </c>
      <c r="B163" s="52"/>
      <c r="C163" s="52"/>
      <c r="D163" s="52"/>
      <c r="E163" s="52"/>
      <c r="F163" s="52"/>
      <c r="G163" s="52"/>
      <c r="H163" s="52"/>
      <c r="I163" s="61"/>
      <c r="J163" s="90"/>
      <c r="L163" s="398"/>
      <c r="M163" s="397"/>
      <c r="N163" s="397"/>
      <c r="O163" s="398"/>
    </row>
    <row r="164" spans="1:15" ht="14.25" thickBot="1">
      <c r="A164" s="52"/>
      <c r="B164" s="52" t="s">
        <v>456</v>
      </c>
      <c r="C164" s="52"/>
      <c r="D164" s="52"/>
      <c r="E164" s="52"/>
      <c r="F164" s="52"/>
      <c r="G164" s="52">
        <f t="shared" si="4"/>
        <v>0</v>
      </c>
      <c r="H164" s="52">
        <v>30</v>
      </c>
      <c r="I164" s="61">
        <f t="shared" si="6"/>
        <v>30</v>
      </c>
      <c r="J164" s="90">
        <f>Jan!I164+Feb!I164+Mar!I164+Apr!I164+May!I164+Jun!I164</f>
        <v>146.82999999999998</v>
      </c>
      <c r="L164" s="398"/>
      <c r="M164" s="397"/>
      <c r="N164" s="397"/>
      <c r="O164" s="398"/>
    </row>
    <row r="165" spans="1:15" ht="14.25" thickBot="1">
      <c r="A165" s="88">
        <f>SUM(G164:G168)</f>
        <v>0</v>
      </c>
      <c r="B165" s="52" t="s">
        <v>457</v>
      </c>
      <c r="C165" s="52"/>
      <c r="D165" s="52"/>
      <c r="E165" s="52"/>
      <c r="F165" s="52"/>
      <c r="G165" s="52">
        <f t="shared" si="4"/>
        <v>0</v>
      </c>
      <c r="H165" s="52">
        <v>30</v>
      </c>
      <c r="I165" s="61">
        <f t="shared" si="6"/>
        <v>30</v>
      </c>
      <c r="J165" s="90">
        <f>Jan!I165+Feb!I165+Mar!I165+Apr!I165+May!I165+Jun!I165</f>
        <v>170</v>
      </c>
      <c r="L165" s="398"/>
      <c r="M165" s="397"/>
      <c r="N165" s="397"/>
      <c r="O165" s="398"/>
    </row>
    <row r="166" spans="1:15" ht="13.5">
      <c r="A166" s="52"/>
      <c r="B166" s="52" t="s">
        <v>462</v>
      </c>
      <c r="C166" s="52"/>
      <c r="D166" s="52"/>
      <c r="E166" s="52"/>
      <c r="F166" s="52"/>
      <c r="G166" s="52">
        <f t="shared" si="4"/>
        <v>0</v>
      </c>
      <c r="H166" s="52">
        <v>30</v>
      </c>
      <c r="I166" s="61">
        <f t="shared" si="6"/>
        <v>30</v>
      </c>
      <c r="J166" s="90">
        <f>Jan!I166+Feb!I166+Mar!I166+Apr!I166+May!I166+Jun!I166</f>
        <v>180</v>
      </c>
      <c r="L166" s="398"/>
      <c r="M166" s="397"/>
      <c r="N166" s="397"/>
      <c r="O166" s="398"/>
    </row>
    <row r="167" spans="1:15" ht="13.5">
      <c r="A167" s="52"/>
      <c r="B167" s="52" t="s">
        <v>458</v>
      </c>
      <c r="C167" s="52"/>
      <c r="D167" s="52"/>
      <c r="E167" s="52"/>
      <c r="F167" s="52"/>
      <c r="G167" s="52">
        <f t="shared" si="4"/>
        <v>0</v>
      </c>
      <c r="H167" s="52">
        <v>30</v>
      </c>
      <c r="I167" s="61">
        <f t="shared" si="6"/>
        <v>30</v>
      </c>
      <c r="J167" s="90">
        <f>Jan!I167+Feb!I167+Mar!I167+Apr!I167+May!I167+Jun!I167</f>
        <v>180</v>
      </c>
      <c r="L167" s="398"/>
      <c r="M167" s="397"/>
      <c r="N167" s="397"/>
      <c r="O167" s="398"/>
    </row>
    <row r="168" spans="1:15" ht="13.5">
      <c r="A168" s="52"/>
      <c r="B168" s="52" t="s">
        <v>485</v>
      </c>
      <c r="C168" s="52"/>
      <c r="D168" s="52"/>
      <c r="E168" s="52"/>
      <c r="F168" s="52"/>
      <c r="G168" s="52">
        <f t="shared" si="4"/>
        <v>0</v>
      </c>
      <c r="H168" s="52">
        <v>100</v>
      </c>
      <c r="I168" s="61">
        <f t="shared" si="6"/>
        <v>100</v>
      </c>
      <c r="J168" s="90">
        <f>Jan!I168+Feb!I168+Mar!I168+Apr!I168+May!I168+Jun!I168</f>
        <v>600</v>
      </c>
      <c r="L168" s="398"/>
      <c r="M168" s="397"/>
      <c r="N168" s="397"/>
      <c r="O168" s="398"/>
    </row>
    <row r="169" spans="1:15" ht="13.5">
      <c r="A169" s="52"/>
      <c r="B169" s="52"/>
      <c r="C169" s="52"/>
      <c r="D169" s="52"/>
      <c r="E169" s="52"/>
      <c r="F169" s="52"/>
      <c r="G169" s="52"/>
      <c r="H169" s="52"/>
      <c r="I169" s="61"/>
      <c r="J169" s="90"/>
      <c r="L169" s="398"/>
      <c r="M169" s="397"/>
      <c r="N169" s="397"/>
      <c r="O169" s="398"/>
    </row>
    <row r="170" spans="1:15" ht="13.5">
      <c r="A170" s="58" t="s">
        <v>272</v>
      </c>
      <c r="B170" s="52"/>
      <c r="C170" s="52"/>
      <c r="D170" s="52"/>
      <c r="E170" s="52"/>
      <c r="F170" s="52"/>
      <c r="G170" s="52">
        <f t="shared" si="4"/>
        <v>0</v>
      </c>
      <c r="H170" s="52">
        <v>100</v>
      </c>
      <c r="I170" s="61">
        <f t="shared" si="6"/>
        <v>100</v>
      </c>
      <c r="J170" s="90">
        <f>Jan!I170+Feb!I170+Mar!I170+Apr!I170+May!I170+Jun!I170</f>
        <v>600</v>
      </c>
      <c r="L170" s="398"/>
      <c r="M170" s="397"/>
      <c r="N170" s="397"/>
      <c r="O170" s="398"/>
    </row>
  </sheetData>
  <sheetProtection selectLockedCells="1" selectUnlockedCells="1"/>
  <pageMargins left="0.75" right="0.75" top="1" bottom="1" header="0.51180555555555551" footer="0.51180555555555551"/>
  <pageSetup firstPageNumber="0" orientation="portrait" horizontalDpi="300" verticalDpi="300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0"/>
  <sheetViews>
    <sheetView topLeftCell="A39" zoomScale="84" zoomScaleNormal="84" workbookViewId="0">
      <selection activeCell="L51" sqref="L51"/>
    </sheetView>
  </sheetViews>
  <sheetFormatPr defaultColWidth="9" defaultRowHeight="15.75"/>
  <cols>
    <col min="1" max="1" width="24.42578125" style="74" customWidth="1"/>
    <col min="2" max="2" width="18" style="65" customWidth="1"/>
    <col min="3" max="3" width="17.140625" style="65" customWidth="1"/>
    <col min="4" max="5" width="16.5703125" style="65" customWidth="1"/>
    <col min="6" max="6" width="15.28515625" style="65" customWidth="1"/>
    <col min="7" max="7" width="13.5703125" style="65" customWidth="1"/>
    <col min="8" max="8" width="13.85546875" style="65" customWidth="1"/>
    <col min="9" max="10" width="14" style="65" customWidth="1"/>
    <col min="11" max="11" width="2.28515625" style="80" customWidth="1"/>
    <col min="12" max="12" width="11.5703125" style="65" customWidth="1"/>
    <col min="13" max="13" width="11.85546875" style="65" customWidth="1"/>
    <col min="14" max="15" width="11.5703125" style="65" customWidth="1"/>
    <col min="16" max="16" width="1.7109375" style="65" customWidth="1"/>
    <col min="17" max="17" width="11.7109375" style="65" customWidth="1"/>
    <col min="18" max="18" width="11.5703125" style="65" customWidth="1"/>
    <col min="19" max="16384" width="9" style="65"/>
  </cols>
  <sheetData>
    <row r="1" spans="1:17">
      <c r="A1" s="71" t="s">
        <v>182</v>
      </c>
      <c r="B1" s="72">
        <v>2015</v>
      </c>
      <c r="C1" s="72"/>
      <c r="L1" s="73" t="s">
        <v>492</v>
      </c>
    </row>
    <row r="2" spans="1:17">
      <c r="A2" s="71" t="s">
        <v>171</v>
      </c>
      <c r="B2" s="73" t="s">
        <v>12</v>
      </c>
      <c r="C2" s="73"/>
      <c r="M2" s="73"/>
    </row>
    <row r="3" spans="1:17">
      <c r="M3" s="73"/>
      <c r="O3"/>
      <c r="P3"/>
      <c r="Q3"/>
    </row>
    <row r="4" spans="1:17">
      <c r="A4" s="71" t="s">
        <v>4</v>
      </c>
      <c r="B4" s="76">
        <f>SUM(G5:G8)</f>
        <v>15968.92</v>
      </c>
      <c r="C4" s="76"/>
      <c r="F4" s="93"/>
      <c r="G4" s="65" t="s">
        <v>31</v>
      </c>
      <c r="L4" s="77"/>
      <c r="O4"/>
      <c r="P4"/>
      <c r="Q4"/>
    </row>
    <row r="5" spans="1:17" ht="12.75">
      <c r="A5" s="65" t="s">
        <v>24</v>
      </c>
      <c r="B5" s="121"/>
      <c r="C5" s="121"/>
      <c r="F5" s="93"/>
      <c r="G5" s="121">
        <f>SUM(B5:E5)</f>
        <v>0</v>
      </c>
      <c r="H5" s="77"/>
      <c r="I5" s="77"/>
      <c r="J5" s="77"/>
      <c r="K5" s="81"/>
      <c r="L5" s="77"/>
      <c r="O5"/>
      <c r="P5"/>
      <c r="Q5"/>
    </row>
    <row r="6" spans="1:17" ht="12.75">
      <c r="A6" s="65" t="s">
        <v>230</v>
      </c>
      <c r="B6" s="65">
        <v>1881.84</v>
      </c>
      <c r="C6" s="75">
        <v>1881.84</v>
      </c>
      <c r="F6" s="93"/>
      <c r="G6" s="121">
        <f>SUM(B6:E6)</f>
        <v>3763.68</v>
      </c>
      <c r="H6" s="77"/>
      <c r="I6" s="77"/>
      <c r="J6" s="77"/>
      <c r="K6" s="81"/>
      <c r="L6" s="77"/>
      <c r="O6"/>
      <c r="P6"/>
      <c r="Q6"/>
    </row>
    <row r="7" spans="1:17" ht="12.75">
      <c r="A7" s="65" t="s">
        <v>964</v>
      </c>
      <c r="B7" s="65">
        <v>4046.95</v>
      </c>
      <c r="C7" s="65">
        <v>4111.34</v>
      </c>
      <c r="D7" s="65">
        <v>4046.95</v>
      </c>
      <c r="F7" s="93"/>
      <c r="G7" s="121">
        <f>SUM(B7:E7)</f>
        <v>12205.24</v>
      </c>
      <c r="H7" s="77" t="s">
        <v>1103</v>
      </c>
      <c r="I7" s="77">
        <v>6679.56</v>
      </c>
      <c r="J7" s="77">
        <f>G7-I7</f>
        <v>5525.6799999999994</v>
      </c>
      <c r="K7" s="81"/>
      <c r="L7" s="77"/>
      <c r="O7" s="75"/>
    </row>
    <row r="8" spans="1:17">
      <c r="F8" s="93"/>
      <c r="G8" s="121"/>
      <c r="H8" s="77"/>
      <c r="I8" s="77"/>
      <c r="J8" s="77"/>
      <c r="K8" s="81"/>
      <c r="P8" s="75"/>
    </row>
    <row r="9" spans="1:17" ht="13.5">
      <c r="A9" s="58"/>
      <c r="B9" s="62"/>
      <c r="C9" s="52"/>
      <c r="D9" s="52"/>
      <c r="E9" s="52"/>
      <c r="F9" s="261"/>
      <c r="G9" s="55"/>
      <c r="H9" s="52"/>
      <c r="I9" s="61" t="s">
        <v>34</v>
      </c>
      <c r="J9" s="90" t="s">
        <v>280</v>
      </c>
      <c r="M9" s="52"/>
    </row>
    <row r="10" spans="1:17" s="52" customFormat="1" ht="13.5">
      <c r="A10" s="58"/>
      <c r="B10" s="62"/>
      <c r="F10" s="261"/>
      <c r="G10" s="55" t="s">
        <v>234</v>
      </c>
      <c r="H10" s="52" t="s">
        <v>38</v>
      </c>
      <c r="I10" s="63" t="s">
        <v>37</v>
      </c>
      <c r="J10" s="91" t="s">
        <v>37</v>
      </c>
      <c r="K10" s="82"/>
    </row>
    <row r="11" spans="1:17" s="52" customFormat="1" ht="13.5">
      <c r="A11" s="58" t="s">
        <v>275</v>
      </c>
      <c r="B11" s="262">
        <f>G11</f>
        <v>750</v>
      </c>
      <c r="D11" s="52" t="s">
        <v>277</v>
      </c>
      <c r="E11" s="52">
        <f>G11/B4</f>
        <v>4.6966231905476385E-2</v>
      </c>
      <c r="F11" s="261"/>
      <c r="G11" s="53">
        <f>Tithe!D12</f>
        <v>750</v>
      </c>
      <c r="H11" s="52">
        <v>1200</v>
      </c>
      <c r="I11" s="64">
        <f>H11-G11</f>
        <v>450</v>
      </c>
      <c r="J11" s="92">
        <f>Jan!I11+Feb!I11+Mar!I11+Apr!I11+May!I11+Jun!I11+July!I11</f>
        <v>3150</v>
      </c>
      <c r="K11" s="83"/>
    </row>
    <row r="12" spans="1:17" s="52" customFormat="1" ht="13.5">
      <c r="I12" s="64"/>
      <c r="J12" s="92"/>
      <c r="K12" s="84"/>
      <c r="L12" s="269" t="s">
        <v>493</v>
      </c>
    </row>
    <row r="13" spans="1:17" s="52" customFormat="1" ht="13.5">
      <c r="A13" s="58" t="s">
        <v>465</v>
      </c>
      <c r="B13" s="262">
        <f>SUM(G14:G20)</f>
        <v>4595</v>
      </c>
      <c r="F13" s="261"/>
      <c r="G13" s="55"/>
      <c r="I13" s="64"/>
      <c r="J13" s="92"/>
      <c r="K13" s="84"/>
      <c r="L13" s="52" t="s">
        <v>1101</v>
      </c>
    </row>
    <row r="14" spans="1:17" s="52" customFormat="1" ht="13.5">
      <c r="B14" s="58" t="s">
        <v>385</v>
      </c>
      <c r="E14" s="52" t="s">
        <v>466</v>
      </c>
      <c r="F14" s="261"/>
      <c r="G14" s="52">
        <v>4595</v>
      </c>
      <c r="H14" s="52">
        <v>800</v>
      </c>
      <c r="I14" s="64">
        <f t="shared" ref="I14:I20" si="0">H14-G14</f>
        <v>-3795</v>
      </c>
      <c r="J14" s="92">
        <f>Jan!I14+Feb!I14+Mar!I14+Apr!I14+May!I14+Jun!I14+July!I14</f>
        <v>1005</v>
      </c>
      <c r="K14" s="84"/>
      <c r="L14" s="52" t="s">
        <v>1118</v>
      </c>
    </row>
    <row r="15" spans="1:17" s="52" customFormat="1" ht="13.5">
      <c r="B15" s="58" t="s">
        <v>261</v>
      </c>
      <c r="E15" s="52" t="s">
        <v>466</v>
      </c>
      <c r="F15" s="261"/>
      <c r="H15" s="52">
        <v>200</v>
      </c>
      <c r="I15" s="64">
        <f t="shared" si="0"/>
        <v>200</v>
      </c>
      <c r="J15" s="92">
        <f>Jan!I15+Feb!I15+Mar!I15+Apr!I15+May!I15+Jun!I15+July!I15</f>
        <v>1400</v>
      </c>
      <c r="K15" s="84"/>
      <c r="L15" s="52" t="s">
        <v>1119</v>
      </c>
    </row>
    <row r="16" spans="1:17" s="52" customFormat="1" ht="13.5">
      <c r="B16" s="58" t="s">
        <v>292</v>
      </c>
      <c r="E16" s="52" t="s">
        <v>466</v>
      </c>
      <c r="F16" s="261"/>
      <c r="H16" s="52">
        <v>300</v>
      </c>
      <c r="I16" s="64">
        <f t="shared" si="0"/>
        <v>300</v>
      </c>
      <c r="J16" s="92">
        <f>Jan!I16+Feb!I16+Mar!I16+Apr!I16+May!I16+Jun!I16+July!I16</f>
        <v>2100</v>
      </c>
      <c r="K16" s="84"/>
    </row>
    <row r="17" spans="1:12" s="52" customFormat="1" ht="13.5">
      <c r="B17" s="58" t="s">
        <v>464</v>
      </c>
      <c r="E17" s="52" t="s">
        <v>466</v>
      </c>
      <c r="F17" s="261"/>
      <c r="H17" s="52">
        <v>200</v>
      </c>
      <c r="I17" s="64">
        <f t="shared" si="0"/>
        <v>200</v>
      </c>
      <c r="J17" s="92"/>
      <c r="K17" s="84"/>
    </row>
    <row r="18" spans="1:12" s="52" customFormat="1" ht="15.95" customHeight="1">
      <c r="B18" s="58" t="s">
        <v>263</v>
      </c>
      <c r="E18" s="52" t="s">
        <v>467</v>
      </c>
      <c r="F18" s="261"/>
      <c r="H18" s="52">
        <v>50</v>
      </c>
      <c r="I18" s="64">
        <f t="shared" si="0"/>
        <v>50</v>
      </c>
      <c r="J18" s="92">
        <f>Jan!I18+Feb!I18+Mar!I18+Apr!I18+May!I18+Jun!I18+July!I18</f>
        <v>350</v>
      </c>
      <c r="K18" s="84"/>
    </row>
    <row r="19" spans="1:12" s="52" customFormat="1" ht="15.95" customHeight="1">
      <c r="B19" s="58" t="s">
        <v>262</v>
      </c>
      <c r="E19" s="52" t="s">
        <v>467</v>
      </c>
      <c r="F19" s="261"/>
      <c r="H19" s="52">
        <v>200</v>
      </c>
      <c r="I19" s="64">
        <f t="shared" si="0"/>
        <v>200</v>
      </c>
      <c r="J19" s="92"/>
      <c r="K19" s="84"/>
    </row>
    <row r="20" spans="1:12" s="52" customFormat="1" ht="15.95" customHeight="1">
      <c r="B20" s="58" t="s">
        <v>293</v>
      </c>
      <c r="E20" s="52" t="s">
        <v>467</v>
      </c>
      <c r="H20" s="52">
        <v>300</v>
      </c>
      <c r="I20" s="64">
        <f t="shared" si="0"/>
        <v>300</v>
      </c>
      <c r="J20" s="92">
        <f>Jan!I20+Feb!I20+Mar!I20+Apr!I20+May!I20+Jun!I20+July!I20</f>
        <v>2100</v>
      </c>
      <c r="K20" s="84"/>
    </row>
    <row r="21" spans="1:12" s="52" customFormat="1" ht="15.95" customHeight="1">
      <c r="A21" s="58"/>
      <c r="F21" s="261"/>
      <c r="I21" s="64"/>
      <c r="J21" s="92"/>
      <c r="K21" s="84"/>
      <c r="L21" s="58" t="s">
        <v>494</v>
      </c>
    </row>
    <row r="22" spans="1:12" s="52" customFormat="1" ht="15.95" customHeight="1">
      <c r="A22" s="58" t="s">
        <v>278</v>
      </c>
      <c r="B22" s="263">
        <f>G22</f>
        <v>0</v>
      </c>
      <c r="F22" s="261"/>
      <c r="H22" s="52">
        <v>700</v>
      </c>
      <c r="I22" s="64">
        <f>H22-G22</f>
        <v>700</v>
      </c>
      <c r="J22" s="92">
        <f>Jan!I22+Feb!I22+Mar!I22+Apr!I22+May!I22+Jun!I22+July!I22</f>
        <v>4900</v>
      </c>
      <c r="K22" s="84"/>
      <c r="L22" s="52" t="s">
        <v>1117</v>
      </c>
    </row>
    <row r="23" spans="1:12" s="52" customFormat="1" ht="15.95" customHeight="1">
      <c r="A23" s="58" t="s">
        <v>416</v>
      </c>
      <c r="B23" s="62" t="s">
        <v>415</v>
      </c>
      <c r="E23" s="52" t="s">
        <v>467</v>
      </c>
      <c r="F23" s="261"/>
      <c r="G23" s="53"/>
      <c r="I23" s="64"/>
      <c r="J23" s="92"/>
      <c r="K23" s="84"/>
      <c r="L23" s="52" t="s">
        <v>1132</v>
      </c>
    </row>
    <row r="24" spans="1:12" s="52" customFormat="1" ht="15.95" customHeight="1">
      <c r="A24" s="58" t="s">
        <v>279</v>
      </c>
      <c r="B24" s="262">
        <f>SUM(G25:G26)</f>
        <v>0</v>
      </c>
      <c r="F24" s="261"/>
      <c r="G24" s="53"/>
      <c r="I24" s="64"/>
      <c r="J24" s="92"/>
      <c r="K24" s="84"/>
    </row>
    <row r="25" spans="1:12" s="52" customFormat="1" ht="15.95" customHeight="1">
      <c r="B25" s="58" t="s">
        <v>255</v>
      </c>
      <c r="E25" s="52" t="s">
        <v>467</v>
      </c>
      <c r="F25" s="261"/>
      <c r="G25" s="53">
        <v>0</v>
      </c>
      <c r="H25" s="52">
        <v>500</v>
      </c>
      <c r="I25" s="64">
        <f>H25-G25</f>
        <v>500</v>
      </c>
      <c r="J25" s="92">
        <f>Jan!I25+Feb!I25+Mar!I25+Apr!I25+May!I25+Jun!I25+July!I25</f>
        <v>3500</v>
      </c>
      <c r="K25" s="84"/>
    </row>
    <row r="26" spans="1:12" s="52" customFormat="1" ht="12.75" customHeight="1">
      <c r="B26" s="58" t="s">
        <v>265</v>
      </c>
      <c r="E26" s="52" t="s">
        <v>466</v>
      </c>
      <c r="F26" s="261"/>
      <c r="G26" s="53">
        <v>0</v>
      </c>
      <c r="H26" s="52">
        <v>300</v>
      </c>
      <c r="I26" s="64">
        <f>H26-G26</f>
        <v>300</v>
      </c>
      <c r="J26" s="95">
        <f>Jan!I26+Feb!I26+Mar!I26+Apr!I26+May!I26+Jun!I26+July!I26</f>
        <v>2100</v>
      </c>
      <c r="K26" s="84"/>
    </row>
    <row r="27" spans="1:12" s="52" customFormat="1" ht="12.75" customHeight="1">
      <c r="A27" s="58"/>
      <c r="F27" s="261"/>
      <c r="G27" s="66"/>
      <c r="H27" s="66"/>
      <c r="I27" s="68"/>
      <c r="J27" s="79"/>
      <c r="K27" s="79"/>
    </row>
    <row r="28" spans="1:12" s="52" customFormat="1" ht="12.75" customHeight="1" thickBot="1">
      <c r="A28" s="58"/>
      <c r="B28" s="58"/>
      <c r="F28" s="261"/>
      <c r="G28" s="67">
        <f>SUM(G14:G26)</f>
        <v>4595</v>
      </c>
      <c r="H28" s="67">
        <f>SUM(H11:H26)</f>
        <v>4750</v>
      </c>
      <c r="I28" s="67">
        <f>SUM(I11:I26)</f>
        <v>-595</v>
      </c>
      <c r="J28" s="67">
        <f>SUM(J11:J26)</f>
        <v>20605</v>
      </c>
      <c r="K28" s="85"/>
    </row>
    <row r="29" spans="1:12" s="52" customFormat="1" ht="12.75" customHeight="1" thickTop="1" thickBot="1">
      <c r="H29" s="56"/>
      <c r="I29" s="56"/>
      <c r="J29" s="56"/>
      <c r="K29" s="85"/>
      <c r="L29" s="58" t="s">
        <v>495</v>
      </c>
    </row>
    <row r="30" spans="1:12" s="52" customFormat="1" ht="12.75" customHeight="1" thickBot="1">
      <c r="A30" s="58" t="s">
        <v>283</v>
      </c>
      <c r="B30" s="58"/>
      <c r="F30" s="261"/>
      <c r="G30" s="88"/>
      <c r="H30" s="56"/>
      <c r="I30" s="56"/>
      <c r="J30" s="56"/>
      <c r="K30" s="85"/>
    </row>
    <row r="31" spans="1:12" s="52" customFormat="1" ht="12.75" customHeight="1">
      <c r="A31" s="99" t="s">
        <v>276</v>
      </c>
      <c r="B31" s="58"/>
      <c r="F31" s="261"/>
      <c r="G31" s="266">
        <f>B4-G11-G28+G30</f>
        <v>10623.92</v>
      </c>
      <c r="H31" s="56"/>
      <c r="I31" s="56"/>
      <c r="J31" s="56"/>
      <c r="K31" s="85"/>
      <c r="L31" s="56"/>
    </row>
    <row r="32" spans="1:12" s="52" customFormat="1" ht="12.75" customHeight="1">
      <c r="A32" s="52" t="s">
        <v>478</v>
      </c>
      <c r="B32" s="99"/>
      <c r="C32" s="54"/>
      <c r="D32" s="54"/>
      <c r="E32" s="54"/>
      <c r="F32" s="265"/>
      <c r="G32" s="267">
        <f>G46</f>
        <v>11980.910000000002</v>
      </c>
      <c r="H32" s="56"/>
      <c r="I32" s="56"/>
      <c r="J32" s="56"/>
      <c r="K32" s="85"/>
      <c r="L32" s="56"/>
    </row>
    <row r="33" spans="1:17" s="52" customFormat="1" ht="12.75" customHeight="1">
      <c r="A33" s="58" t="s">
        <v>558</v>
      </c>
      <c r="B33" s="58"/>
      <c r="F33" s="261"/>
      <c r="G33" s="78">
        <f>G31-G32-M42-N42</f>
        <v>-1356.9900000000016</v>
      </c>
      <c r="H33" s="56"/>
      <c r="I33" s="56"/>
      <c r="J33" s="56"/>
      <c r="K33" s="85"/>
      <c r="L33" s="56"/>
    </row>
    <row r="34" spans="1:17" s="52" customFormat="1" ht="12.75" customHeight="1">
      <c r="H34" s="56"/>
      <c r="I34" s="56"/>
      <c r="J34" s="56"/>
      <c r="K34" s="85"/>
      <c r="L34" s="56"/>
    </row>
    <row r="35" spans="1:17" s="52" customFormat="1" ht="12.75" customHeight="1">
      <c r="A35" s="58" t="s">
        <v>469</v>
      </c>
      <c r="B35" s="58"/>
      <c r="E35" s="52">
        <f>B47</f>
        <v>4602.34</v>
      </c>
      <c r="F35" s="261"/>
      <c r="G35" s="128"/>
      <c r="H35" s="56"/>
      <c r="I35" s="56"/>
      <c r="J35" s="56"/>
      <c r="K35" s="85"/>
      <c r="L35" s="56"/>
    </row>
    <row r="36" spans="1:17" s="52" customFormat="1" ht="12.75" customHeight="1">
      <c r="A36" s="58" t="s">
        <v>433</v>
      </c>
      <c r="B36" s="58"/>
      <c r="E36" s="52">
        <f>B76</f>
        <v>7378.5700000000006</v>
      </c>
      <c r="F36" s="261"/>
      <c r="G36" s="78"/>
      <c r="H36" s="56"/>
      <c r="I36" s="56"/>
      <c r="J36" s="56"/>
      <c r="K36" s="85"/>
      <c r="L36" s="56"/>
    </row>
    <row r="37" spans="1:17" s="52" customFormat="1" ht="13.5">
      <c r="A37" s="58"/>
      <c r="B37" s="58" t="s">
        <v>470</v>
      </c>
      <c r="D37" s="52">
        <f>B101+B110</f>
        <v>133.61000000000001</v>
      </c>
      <c r="F37" s="261"/>
      <c r="G37" s="78"/>
      <c r="H37" s="56"/>
      <c r="I37" s="56"/>
      <c r="J37" s="56"/>
      <c r="K37" s="85"/>
      <c r="L37" s="56"/>
    </row>
    <row r="38" spans="1:17" s="52" customFormat="1" ht="14.25" thickBot="1">
      <c r="A38" s="58"/>
      <c r="B38" s="58" t="s">
        <v>471</v>
      </c>
      <c r="D38" s="52">
        <f>B90</f>
        <v>67.900000000000006</v>
      </c>
      <c r="F38" s="261"/>
      <c r="G38" s="78"/>
      <c r="H38" s="56"/>
      <c r="I38" s="56"/>
      <c r="J38" s="56"/>
      <c r="K38" s="85"/>
      <c r="L38" s="56"/>
    </row>
    <row r="39" spans="1:17" s="52" customFormat="1" ht="14.25" thickBot="1">
      <c r="A39" s="58"/>
      <c r="B39" s="58" t="s">
        <v>472</v>
      </c>
      <c r="D39" s="52">
        <f>B96</f>
        <v>0</v>
      </c>
      <c r="F39" s="261"/>
      <c r="G39" s="89"/>
      <c r="H39" s="56"/>
      <c r="I39" s="56"/>
      <c r="J39" s="56"/>
      <c r="K39" s="85"/>
      <c r="L39" s="56"/>
    </row>
    <row r="40" spans="1:17" s="52" customFormat="1" ht="13.5">
      <c r="A40" s="58"/>
      <c r="B40" s="58" t="s">
        <v>473</v>
      </c>
      <c r="D40" s="52">
        <f>B115</f>
        <v>32.22</v>
      </c>
      <c r="F40" s="261"/>
      <c r="G40" s="98"/>
      <c r="H40" s="56"/>
      <c r="I40" s="56"/>
      <c r="J40" s="56"/>
      <c r="K40" s="85"/>
      <c r="L40" s="56"/>
      <c r="Q40" s="52">
        <f>M41+1140.46</f>
        <v>2423.37</v>
      </c>
    </row>
    <row r="41" spans="1:17" s="52" customFormat="1" ht="13.5">
      <c r="A41" s="99"/>
      <c r="B41" s="58" t="s">
        <v>474</v>
      </c>
      <c r="D41" s="52">
        <f>B120</f>
        <v>425</v>
      </c>
      <c r="F41" s="261"/>
      <c r="G41" s="98"/>
      <c r="H41" s="56"/>
      <c r="I41" s="56"/>
      <c r="J41" s="56"/>
      <c r="K41" s="85"/>
      <c r="L41" s="56"/>
      <c r="M41" s="52">
        <f>M46+M44+M43+M42</f>
        <v>1282.9100000000001</v>
      </c>
      <c r="N41" s="52">
        <f>N46+N44+N43+N42</f>
        <v>912.1400000000001</v>
      </c>
      <c r="O41" s="52">
        <f>O46+O44+O43+O42</f>
        <v>3340.78</v>
      </c>
      <c r="Q41" s="52">
        <f>Q40-2004.5</f>
        <v>418.86999999999989</v>
      </c>
    </row>
    <row r="42" spans="1:17" s="52" customFormat="1" ht="13.5">
      <c r="B42" s="58" t="s">
        <v>475</v>
      </c>
      <c r="C42" s="59"/>
      <c r="D42" s="59">
        <f>B138</f>
        <v>105.35</v>
      </c>
      <c r="F42" s="261"/>
      <c r="G42" s="98"/>
      <c r="H42" s="56"/>
      <c r="I42" s="56"/>
      <c r="J42" s="56"/>
      <c r="K42" s="85"/>
      <c r="L42" s="52" t="s">
        <v>324</v>
      </c>
    </row>
    <row r="43" spans="1:17" s="52" customFormat="1" ht="13.5">
      <c r="B43" s="58" t="s">
        <v>476</v>
      </c>
      <c r="D43" s="52">
        <f>B125+B141+B146+B149</f>
        <v>1674.4099999999999</v>
      </c>
      <c r="F43" s="261"/>
      <c r="I43" s="61"/>
      <c r="J43" s="90" t="s">
        <v>280</v>
      </c>
      <c r="K43" s="82"/>
    </row>
    <row r="44" spans="1:17" s="52" customFormat="1" ht="13.5">
      <c r="A44" s="58" t="s">
        <v>477</v>
      </c>
      <c r="E44" s="52">
        <f>B155</f>
        <v>0</v>
      </c>
      <c r="F44" s="261"/>
      <c r="G44" s="55"/>
      <c r="I44" s="61" t="s">
        <v>34</v>
      </c>
      <c r="J44" s="90" t="s">
        <v>281</v>
      </c>
      <c r="K44" s="82"/>
      <c r="L44" s="52" t="s">
        <v>1064</v>
      </c>
      <c r="M44" s="52">
        <v>100</v>
      </c>
    </row>
    <row r="45" spans="1:17" s="52" customFormat="1" ht="13.5">
      <c r="A45" s="58"/>
      <c r="F45" s="261"/>
      <c r="G45" s="55" t="s">
        <v>234</v>
      </c>
      <c r="H45" s="52" t="s">
        <v>38</v>
      </c>
      <c r="I45" s="63" t="s">
        <v>37</v>
      </c>
      <c r="J45" s="91" t="s">
        <v>282</v>
      </c>
      <c r="K45" s="83"/>
      <c r="L45" s="391" t="s">
        <v>235</v>
      </c>
      <c r="M45" s="392" t="s">
        <v>497</v>
      </c>
      <c r="N45" s="392" t="s">
        <v>805</v>
      </c>
      <c r="O45" s="392" t="s">
        <v>806</v>
      </c>
    </row>
    <row r="46" spans="1:17" s="52" customFormat="1" ht="14.25" thickBot="1">
      <c r="D46"/>
      <c r="E46" s="264"/>
      <c r="F46" s="261"/>
      <c r="G46" s="94">
        <f>SUM(G48:G170)</f>
        <v>11980.910000000002</v>
      </c>
      <c r="H46" s="94">
        <f>SUM(H48:H170)</f>
        <v>14050</v>
      </c>
      <c r="I46" s="94">
        <f>H46-G46</f>
        <v>2069.0899999999983</v>
      </c>
      <c r="J46" s="94">
        <f>SUM(J48:J170)</f>
        <v>-66353.570000000065</v>
      </c>
      <c r="K46" s="86"/>
      <c r="L46" s="393">
        <f>SUM(L49:L170)</f>
        <v>6545.079999999999</v>
      </c>
      <c r="M46" s="394">
        <f>SUM(M49:M170)</f>
        <v>1182.9100000000001</v>
      </c>
      <c r="N46" s="395">
        <f>SUM(N49:N170)</f>
        <v>912.1400000000001</v>
      </c>
      <c r="O46" s="395">
        <f>SUM(O49:O170)</f>
        <v>3340.78</v>
      </c>
    </row>
    <row r="47" spans="1:17" s="52" customFormat="1" ht="14.25" thickBot="1">
      <c r="A47" s="99" t="s">
        <v>434</v>
      </c>
      <c r="B47" s="259">
        <f>B48+B61+B65</f>
        <v>4602.34</v>
      </c>
      <c r="C47" s="259">
        <f>C48+C61+C65</f>
        <v>1344</v>
      </c>
      <c r="D47" s="88">
        <f>D48+D61+D65</f>
        <v>-3258.3399999999997</v>
      </c>
      <c r="I47" s="61"/>
      <c r="J47" s="90"/>
      <c r="K47" s="82"/>
      <c r="L47" s="396"/>
      <c r="M47" s="397"/>
      <c r="N47" s="397"/>
      <c r="O47" s="398"/>
    </row>
    <row r="48" spans="1:17" s="52" customFormat="1" ht="13.5">
      <c r="A48" s="58" t="s">
        <v>419</v>
      </c>
      <c r="B48" s="58">
        <f>SUM(G49:G57)</f>
        <v>4216.58</v>
      </c>
      <c r="C48" s="58">
        <f>SUM(H49:H57)</f>
        <v>864</v>
      </c>
      <c r="D48" s="58">
        <f>SUM(I49:I57)</f>
        <v>-3352.58</v>
      </c>
      <c r="I48" s="61"/>
      <c r="J48" s="90"/>
      <c r="K48" s="82"/>
      <c r="L48" s="396"/>
      <c r="M48" s="397"/>
      <c r="N48" s="397"/>
      <c r="O48" s="398"/>
    </row>
    <row r="49" spans="1:17" s="52" customFormat="1" ht="13.5">
      <c r="B49" s="52" t="s">
        <v>327</v>
      </c>
      <c r="G49" s="52">
        <f>SUM(L49:O49)</f>
        <v>0</v>
      </c>
      <c r="H49" s="52">
        <v>0</v>
      </c>
      <c r="I49" s="61">
        <f t="shared" ref="I49:I57" si="1">H49-G49</f>
        <v>0</v>
      </c>
      <c r="J49" s="90">
        <f>Jan!I49+Feb!I49+Mar!I49+Apr!I49+May!I49+Jun!I49+July!I49</f>
        <v>0</v>
      </c>
      <c r="K49" s="82"/>
      <c r="L49" s="396"/>
      <c r="M49" s="397"/>
      <c r="N49" s="397"/>
      <c r="O49" s="398"/>
    </row>
    <row r="50" spans="1:17" s="52" customFormat="1" ht="13.5">
      <c r="A50" s="58"/>
      <c r="B50" s="52" t="s">
        <v>421</v>
      </c>
      <c r="G50" s="52">
        <f t="shared" ref="G50:G113" si="2">SUM(L50:O50)</f>
        <v>1509.63</v>
      </c>
      <c r="H50" s="52">
        <v>100</v>
      </c>
      <c r="I50" s="61">
        <f t="shared" si="1"/>
        <v>-1409.63</v>
      </c>
      <c r="J50" s="90">
        <f>Jan!I50+Feb!I50+Mar!I50+Apr!I50+May!I50+Jun!I50+July!I50</f>
        <v>-809.63000000000011</v>
      </c>
      <c r="K50" s="82"/>
      <c r="L50" s="396"/>
      <c r="M50" s="397"/>
      <c r="N50" s="397"/>
      <c r="O50" s="398">
        <v>1509.63</v>
      </c>
      <c r="Q50" s="52" t="s">
        <v>1115</v>
      </c>
    </row>
    <row r="51" spans="1:17" s="52" customFormat="1" ht="13.5">
      <c r="A51" s="58"/>
      <c r="B51" s="52" t="s">
        <v>422</v>
      </c>
      <c r="G51" s="52">
        <f t="shared" si="2"/>
        <v>75</v>
      </c>
      <c r="H51" s="52">
        <v>100</v>
      </c>
      <c r="I51" s="61">
        <f t="shared" si="1"/>
        <v>25</v>
      </c>
      <c r="J51" s="90">
        <f>Jan!I51+Feb!I51+Mar!I51+Apr!I51+May!I51+Jun!I51+July!I51</f>
        <v>625</v>
      </c>
      <c r="K51" s="82"/>
      <c r="L51" s="396">
        <f>50+25</f>
        <v>75</v>
      </c>
      <c r="M51" s="397"/>
      <c r="N51" s="397"/>
      <c r="O51" s="398"/>
      <c r="Q51" s="52" t="s">
        <v>1102</v>
      </c>
    </row>
    <row r="52" spans="1:17" s="52" customFormat="1" ht="13.5">
      <c r="A52" s="58"/>
      <c r="B52" s="52" t="s">
        <v>420</v>
      </c>
      <c r="G52" s="52">
        <f t="shared" si="2"/>
        <v>0</v>
      </c>
      <c r="H52" s="52">
        <v>100</v>
      </c>
      <c r="I52" s="61">
        <f t="shared" si="1"/>
        <v>100</v>
      </c>
      <c r="J52" s="90">
        <f>Jan!I52+Feb!I52+Mar!I52+Apr!I52+May!I52+Jun!I52+July!I52</f>
        <v>700</v>
      </c>
      <c r="K52" s="82"/>
      <c r="L52" s="396"/>
      <c r="M52" s="397"/>
      <c r="N52" s="397"/>
      <c r="O52" s="398"/>
    </row>
    <row r="53" spans="1:17" s="52" customFormat="1" ht="13.5">
      <c r="A53" s="58"/>
      <c r="B53" s="52" t="s">
        <v>463</v>
      </c>
      <c r="G53" s="52">
        <f t="shared" si="2"/>
        <v>564</v>
      </c>
      <c r="H53" s="52">
        <v>564</v>
      </c>
      <c r="I53" s="61">
        <f t="shared" si="1"/>
        <v>0</v>
      </c>
      <c r="J53" s="90">
        <f>Jan!I53+Feb!I53+Mar!I53+Apr!I53+May!I53+Jun!I53+July!I53</f>
        <v>0</v>
      </c>
      <c r="K53" s="82"/>
      <c r="L53" s="396">
        <v>564</v>
      </c>
      <c r="M53" s="397"/>
      <c r="N53" s="397"/>
      <c r="O53" s="398"/>
    </row>
    <row r="54" spans="1:17" s="52" customFormat="1" ht="13.5">
      <c r="A54" s="58"/>
      <c r="B54" s="52" t="s">
        <v>429</v>
      </c>
      <c r="G54" s="52">
        <f t="shared" si="2"/>
        <v>0</v>
      </c>
      <c r="H54" s="52">
        <v>60</v>
      </c>
      <c r="I54" s="61">
        <f t="shared" si="1"/>
        <v>60</v>
      </c>
      <c r="J54" s="90">
        <f>Jan!I54+Feb!I54+Mar!I54+Apr!I54+May!I54+Jun!I54+July!I54</f>
        <v>-208</v>
      </c>
      <c r="K54" s="82"/>
      <c r="L54" s="396"/>
      <c r="M54" s="397"/>
      <c r="N54" s="397"/>
      <c r="O54" s="398"/>
    </row>
    <row r="55" spans="1:17" s="52" customFormat="1" ht="13.5">
      <c r="A55" s="58"/>
      <c r="B55" s="52" t="s">
        <v>328</v>
      </c>
      <c r="G55" s="52">
        <f t="shared" si="2"/>
        <v>1636.68</v>
      </c>
      <c r="H55" s="52">
        <f>1636.68+50.81</f>
        <v>1687.49</v>
      </c>
      <c r="I55" s="61">
        <f t="shared" si="1"/>
        <v>50.809999999999945</v>
      </c>
      <c r="J55" s="90">
        <f>Jan!I55+Feb!I55+Mar!I55+Apr!I55+May!I55+Jun!I55+July!I55</f>
        <v>125.78999999999951</v>
      </c>
      <c r="K55" s="82"/>
      <c r="L55" s="398">
        <v>1636.68</v>
      </c>
      <c r="M55" s="397"/>
      <c r="N55" s="397"/>
      <c r="O55" s="398"/>
    </row>
    <row r="56" spans="1:17" s="52" customFormat="1" ht="13.5">
      <c r="A56" s="58"/>
      <c r="B56" s="52" t="s">
        <v>384</v>
      </c>
      <c r="G56" s="52">
        <f t="shared" si="2"/>
        <v>431.27</v>
      </c>
      <c r="H56" s="52">
        <v>312.51</v>
      </c>
      <c r="I56" s="61">
        <f t="shared" si="1"/>
        <v>-118.75999999999999</v>
      </c>
      <c r="J56" s="90">
        <f>Jan!I56+Feb!I56+Mar!I56+Apr!I56+May!I56+Jun!I56+July!I56</f>
        <v>-329.6400000000001</v>
      </c>
      <c r="K56" s="82"/>
      <c r="L56" s="398">
        <v>431.27</v>
      </c>
      <c r="M56" s="397"/>
      <c r="N56" s="397"/>
      <c r="O56" s="398"/>
    </row>
    <row r="57" spans="1:17" s="52" customFormat="1" ht="13.5">
      <c r="A57" s="58"/>
      <c r="B57" s="52" t="s">
        <v>350</v>
      </c>
      <c r="G57" s="52">
        <f t="shared" si="2"/>
        <v>0</v>
      </c>
      <c r="H57" s="52">
        <v>-2060</v>
      </c>
      <c r="I57" s="61">
        <f t="shared" si="1"/>
        <v>-2060</v>
      </c>
      <c r="J57" s="90">
        <f>Jan!I57+Feb!I57+Mar!I57+Apr!I57+May!I57+Jun!I57+July!I57</f>
        <v>-2060</v>
      </c>
      <c r="K57" s="82"/>
      <c r="L57" s="398"/>
      <c r="M57" s="397"/>
      <c r="N57" s="397"/>
      <c r="O57" s="398"/>
    </row>
    <row r="58" spans="1:17" s="52" customFormat="1" ht="13.5">
      <c r="I58" s="61"/>
      <c r="J58" s="90"/>
      <c r="K58" s="82"/>
      <c r="L58" s="398"/>
      <c r="M58" s="397"/>
      <c r="N58" s="397"/>
      <c r="O58" s="398"/>
    </row>
    <row r="59" spans="1:17" s="52" customFormat="1" ht="13.5">
      <c r="I59" s="61"/>
      <c r="J59" s="90"/>
      <c r="K59" s="82"/>
      <c r="L59" s="398"/>
      <c r="M59" s="397"/>
      <c r="N59" s="397"/>
      <c r="O59" s="398"/>
    </row>
    <row r="60" spans="1:17" s="52" customFormat="1" ht="13.5">
      <c r="A60" s="58" t="s">
        <v>427</v>
      </c>
      <c r="I60" s="61"/>
      <c r="J60" s="90"/>
      <c r="K60" s="82"/>
      <c r="L60" s="398"/>
      <c r="M60" s="397"/>
      <c r="N60" s="397"/>
      <c r="O60" s="398"/>
    </row>
    <row r="61" spans="1:17" s="52" customFormat="1" ht="13.5">
      <c r="A61" s="58"/>
      <c r="B61" s="58">
        <f>SUM(G62:G63)</f>
        <v>106.47</v>
      </c>
      <c r="C61" s="58">
        <f>SUM(H62:H63)</f>
        <v>170</v>
      </c>
      <c r="D61" s="58">
        <f>C61-B61</f>
        <v>63.53</v>
      </c>
      <c r="I61" s="61"/>
      <c r="J61" s="90"/>
      <c r="K61" s="82"/>
      <c r="L61" s="398"/>
      <c r="M61" s="397"/>
      <c r="N61" s="397"/>
      <c r="O61" s="398"/>
    </row>
    <row r="62" spans="1:17" s="52" customFormat="1" ht="13.5">
      <c r="A62" s="58"/>
      <c r="B62" s="52" t="s">
        <v>431</v>
      </c>
      <c r="G62" s="52">
        <f t="shared" si="2"/>
        <v>0</v>
      </c>
      <c r="H62" s="52">
        <v>70</v>
      </c>
      <c r="I62" s="61">
        <f t="shared" ref="I62:I131" si="3">H62-G62</f>
        <v>70</v>
      </c>
      <c r="J62" s="90">
        <f>Jan!I62+Feb!I62+Mar!I62+Apr!I62+May!I62+Jun!I62+July!I62</f>
        <v>96.549999999999983</v>
      </c>
      <c r="K62" s="82"/>
      <c r="L62" s="398"/>
      <c r="M62" s="397"/>
      <c r="N62" s="397"/>
      <c r="O62" s="398"/>
    </row>
    <row r="63" spans="1:17" s="52" customFormat="1" ht="13.5">
      <c r="A63" s="58"/>
      <c r="B63" s="52" t="s">
        <v>432</v>
      </c>
      <c r="D63" s="65"/>
      <c r="G63" s="52">
        <f t="shared" si="2"/>
        <v>106.47</v>
      </c>
      <c r="H63" s="52">
        <v>100</v>
      </c>
      <c r="I63" s="61">
        <f t="shared" si="3"/>
        <v>-6.4699999999999989</v>
      </c>
      <c r="J63" s="90">
        <f>Jan!I63+Feb!I63+Mar!I63+Apr!I63+May!I63+Jun!I63+July!I63</f>
        <v>24.08</v>
      </c>
      <c r="K63" s="82"/>
      <c r="L63" s="398"/>
      <c r="M63" s="397">
        <v>106.47</v>
      </c>
      <c r="N63" s="397"/>
      <c r="O63" s="398"/>
    </row>
    <row r="64" spans="1:17" s="52" customFormat="1" ht="13.5">
      <c r="A64" s="58"/>
      <c r="I64" s="61"/>
      <c r="J64" s="90"/>
      <c r="K64" s="82"/>
      <c r="L64" s="398"/>
      <c r="M64" s="397"/>
      <c r="N64" s="397"/>
      <c r="O64" s="398"/>
    </row>
    <row r="65" spans="1:17" s="52" customFormat="1" ht="13.5">
      <c r="A65" s="58" t="s">
        <v>428</v>
      </c>
      <c r="B65" s="58">
        <f>SUM(G66:G74)</f>
        <v>279.29000000000002</v>
      </c>
      <c r="C65" s="58">
        <f>SUM(H66:H74)</f>
        <v>310</v>
      </c>
      <c r="D65" s="58">
        <f>C65-B65</f>
        <v>30.70999999999998</v>
      </c>
      <c r="I65" s="61"/>
      <c r="J65" s="90"/>
      <c r="K65" s="82"/>
      <c r="L65" s="398"/>
      <c r="M65" s="397"/>
      <c r="N65" s="397"/>
      <c r="O65" s="398"/>
    </row>
    <row r="66" spans="1:17" s="52" customFormat="1" ht="13.5">
      <c r="B66" s="52" t="s">
        <v>55</v>
      </c>
      <c r="G66" s="52">
        <f t="shared" si="2"/>
        <v>5.47</v>
      </c>
      <c r="H66" s="52">
        <v>60</v>
      </c>
      <c r="I66" s="61">
        <f t="shared" si="3"/>
        <v>54.53</v>
      </c>
      <c r="J66" s="90">
        <f>Jan!I66+Feb!I66+Mar!I66+Apr!I66+May!I66+Jun!I66+July!I66</f>
        <v>286.61</v>
      </c>
      <c r="K66" s="82"/>
      <c r="L66" s="398"/>
      <c r="M66" s="397">
        <v>5.47</v>
      </c>
      <c r="N66" s="397"/>
      <c r="O66" s="398"/>
    </row>
    <row r="67" spans="1:17" s="52" customFormat="1" ht="13.5">
      <c r="B67" s="52" t="s">
        <v>56</v>
      </c>
      <c r="D67" s="52" t="s">
        <v>57</v>
      </c>
      <c r="G67" s="52">
        <f t="shared" si="2"/>
        <v>30</v>
      </c>
      <c r="H67" s="52">
        <v>140</v>
      </c>
      <c r="I67" s="61">
        <f t="shared" si="3"/>
        <v>110</v>
      </c>
      <c r="J67" s="90">
        <f>Jan!I67+Feb!I67+Mar!I67+Apr!I67+May!I67+Jun!I67+July!I67</f>
        <v>268.75</v>
      </c>
      <c r="K67" s="82"/>
      <c r="L67" s="398"/>
      <c r="M67" s="397">
        <f>10+20</f>
        <v>30</v>
      </c>
      <c r="N67" s="397"/>
      <c r="O67" s="398"/>
    </row>
    <row r="68" spans="1:17" s="52" customFormat="1" ht="13.5">
      <c r="I68" s="61"/>
      <c r="J68" s="90"/>
      <c r="K68" s="82"/>
      <c r="L68" s="398"/>
      <c r="M68" s="397"/>
      <c r="N68" s="397"/>
      <c r="O68" s="398"/>
    </row>
    <row r="69" spans="1:17" s="52" customFormat="1" ht="13.5">
      <c r="A69" s="58" t="s">
        <v>423</v>
      </c>
      <c r="I69" s="61"/>
      <c r="J69" s="90"/>
      <c r="K69" s="82"/>
      <c r="L69" s="398"/>
      <c r="M69" s="397"/>
      <c r="N69" s="397"/>
      <c r="O69" s="398"/>
    </row>
    <row r="70" spans="1:17" s="52" customFormat="1" ht="13.5">
      <c r="B70" s="52" t="s">
        <v>424</v>
      </c>
      <c r="G70" s="52">
        <f t="shared" si="2"/>
        <v>0</v>
      </c>
      <c r="H70" s="52">
        <v>25</v>
      </c>
      <c r="I70" s="61">
        <f t="shared" si="3"/>
        <v>25</v>
      </c>
      <c r="J70" s="90">
        <f>Jan!I70+Feb!I70+Mar!I70+Apr!I70+May!I70+Jun!I70+July!I70</f>
        <v>103.6</v>
      </c>
      <c r="K70" s="82"/>
      <c r="L70" s="398"/>
      <c r="M70" s="397"/>
      <c r="N70" s="397"/>
      <c r="O70" s="398"/>
    </row>
    <row r="71" spans="1:17" s="52" customFormat="1" ht="13.5">
      <c r="A71" s="58"/>
      <c r="B71" s="52" t="s">
        <v>425</v>
      </c>
      <c r="G71" s="52">
        <f t="shared" si="2"/>
        <v>0</v>
      </c>
      <c r="H71" s="52">
        <v>30</v>
      </c>
      <c r="I71" s="61">
        <f t="shared" si="3"/>
        <v>30</v>
      </c>
      <c r="J71" s="90">
        <f>Jan!I71+Feb!I71+Mar!I71+Apr!I71+May!I71+Jun!I71+July!I71</f>
        <v>100.51</v>
      </c>
      <c r="K71" s="82"/>
      <c r="L71" s="398"/>
      <c r="M71" s="397"/>
      <c r="N71" s="397"/>
      <c r="O71" s="398"/>
    </row>
    <row r="72" spans="1:17" s="52" customFormat="1" ht="13.5">
      <c r="A72" s="58"/>
      <c r="B72" s="52" t="s">
        <v>430</v>
      </c>
      <c r="G72" s="52">
        <f t="shared" si="2"/>
        <v>180.91</v>
      </c>
      <c r="H72" s="52">
        <v>20</v>
      </c>
      <c r="I72" s="61">
        <f t="shared" si="3"/>
        <v>-160.91</v>
      </c>
      <c r="J72" s="90">
        <f>Jan!I72+Feb!I72+Mar!I72+Apr!I72+May!I72+Jun!I72+July!I72</f>
        <v>-40.909999999999997</v>
      </c>
      <c r="K72" s="82"/>
      <c r="L72" s="398"/>
      <c r="M72" s="397">
        <f>97.75+29.4+53.76</f>
        <v>180.91</v>
      </c>
      <c r="N72" s="397"/>
      <c r="O72" s="398"/>
      <c r="Q72" s="52" t="s">
        <v>1099</v>
      </c>
    </row>
    <row r="73" spans="1:17" s="52" customFormat="1" ht="13.5">
      <c r="A73" s="58"/>
      <c r="I73" s="61"/>
      <c r="J73" s="90"/>
      <c r="K73" s="82"/>
      <c r="L73" s="398"/>
      <c r="M73" s="397"/>
      <c r="N73" s="397"/>
      <c r="O73" s="398"/>
    </row>
    <row r="74" spans="1:17" s="52" customFormat="1" ht="13.5">
      <c r="A74" s="58" t="s">
        <v>426</v>
      </c>
      <c r="B74" s="52" t="s">
        <v>58</v>
      </c>
      <c r="G74" s="52">
        <f t="shared" si="2"/>
        <v>62.910000000000004</v>
      </c>
      <c r="H74" s="52">
        <v>35</v>
      </c>
      <c r="I74" s="61">
        <f t="shared" si="3"/>
        <v>-27.910000000000004</v>
      </c>
      <c r="J74" s="90">
        <f>Jan!I74+Feb!I74+Mar!I74+Apr!I74+May!I74+Jun!I74+July!I74</f>
        <v>-282.56000000000006</v>
      </c>
      <c r="K74" s="82"/>
      <c r="L74" s="398"/>
      <c r="M74" s="397">
        <f>5.57+7.62+2.4+6.94+2.4+2.4+1.67+3.81+2.03+5.41+2.4+3.27+1.08+2.4+3.99+3.27+3+3.25</f>
        <v>62.910000000000004</v>
      </c>
      <c r="N74" s="397"/>
      <c r="O74" s="398"/>
    </row>
    <row r="75" spans="1:17" s="52" customFormat="1" ht="14.25" thickBot="1">
      <c r="A75" s="58"/>
      <c r="I75" s="61">
        <f t="shared" si="3"/>
        <v>0</v>
      </c>
      <c r="J75" s="90">
        <f>Jan!I75+Feb!I75+Mar!I75+Apr!I75+May!I75+Jun!I75+July!I75</f>
        <v>0</v>
      </c>
      <c r="K75" s="82"/>
      <c r="L75" s="398"/>
      <c r="M75" s="397"/>
      <c r="N75" s="397"/>
      <c r="O75" s="398"/>
    </row>
    <row r="76" spans="1:17" s="52" customFormat="1" ht="14.25" thickBot="1">
      <c r="A76" s="99" t="s">
        <v>433</v>
      </c>
      <c r="B76" s="140">
        <f>B78+B90+B96+B101+B110+B115+B120+B125+B138+B141+B146+B149</f>
        <v>7378.5700000000006</v>
      </c>
      <c r="C76" s="140">
        <f>C78+C90+C96+C101+C110+C115+C120+C125+C138+C141+C146+C149</f>
        <v>5711</v>
      </c>
      <c r="D76" s="140">
        <f>D78+D90+D96+D101+D110+D115+D120+D125+D138+D141+D146+D149</f>
        <v>799.8</v>
      </c>
      <c r="I76" s="61">
        <f t="shared" si="3"/>
        <v>0</v>
      </c>
      <c r="J76" s="90">
        <f>Jan!I76+Feb!I76+Mar!I76+Apr!I76+May!I76+Jun!I76+July!I76</f>
        <v>0</v>
      </c>
      <c r="K76" s="82"/>
      <c r="L76" s="398"/>
      <c r="M76" s="397"/>
      <c r="N76" s="397"/>
      <c r="O76" s="398"/>
    </row>
    <row r="77" spans="1:17" s="52" customFormat="1" ht="13.5">
      <c r="A77" s="99"/>
      <c r="B77" s="380"/>
      <c r="C77" s="380"/>
      <c r="D77" s="380"/>
      <c r="I77" s="61">
        <f t="shared" si="3"/>
        <v>0</v>
      </c>
      <c r="J77" s="90">
        <f>Jan!I77+Feb!I77+Mar!I77+Apr!I77+May!I77+Jun!I77+July!I77</f>
        <v>0</v>
      </c>
      <c r="K77" s="82"/>
      <c r="L77" s="398"/>
      <c r="M77" s="397"/>
      <c r="N77" s="397"/>
      <c r="O77" s="398"/>
    </row>
    <row r="78" spans="1:17" s="52" customFormat="1" ht="13.5">
      <c r="A78" s="58" t="s">
        <v>710</v>
      </c>
      <c r="B78" s="380">
        <f>SUM(G79:G88)</f>
        <v>4940.08</v>
      </c>
      <c r="C78" s="380">
        <f>SUM(H79:H80)</f>
        <v>2500</v>
      </c>
      <c r="D78" s="380">
        <f>SUM(I79:I80)</f>
        <v>27.289999999999964</v>
      </c>
      <c r="I78" s="61">
        <f t="shared" si="3"/>
        <v>0</v>
      </c>
      <c r="J78" s="90">
        <f>Jan!I78+Feb!I78+Mar!I78+Apr!I78+May!I78+Jun!I78+July!I78</f>
        <v>0</v>
      </c>
      <c r="K78" s="82"/>
      <c r="L78" s="398"/>
      <c r="M78" s="397"/>
      <c r="N78" s="397"/>
      <c r="O78" s="398"/>
    </row>
    <row r="79" spans="1:17" s="52" customFormat="1" ht="13.5">
      <c r="B79" s="52" t="s">
        <v>798</v>
      </c>
      <c r="G79" s="52">
        <f t="shared" si="2"/>
        <v>2472.71</v>
      </c>
      <c r="H79" s="52">
        <v>2500</v>
      </c>
      <c r="I79" s="61">
        <f t="shared" si="3"/>
        <v>27.289999999999964</v>
      </c>
      <c r="J79" s="90">
        <f>Jan!I79+Feb!I79+Mar!I79+Apr!I79+May!I79+Jun!I79+July!I79</f>
        <v>191.02999999999975</v>
      </c>
      <c r="K79" s="82"/>
      <c r="L79" s="398">
        <v>2472.71</v>
      </c>
      <c r="M79" s="397"/>
      <c r="N79" s="397"/>
      <c r="O79" s="398"/>
    </row>
    <row r="80" spans="1:17" s="52" customFormat="1" ht="13.5">
      <c r="A80" s="58"/>
      <c r="B80" s="52" t="s">
        <v>801</v>
      </c>
      <c r="G80" s="52">
        <f t="shared" si="2"/>
        <v>0</v>
      </c>
      <c r="H80" s="52">
        <v>0</v>
      </c>
      <c r="I80" s="61">
        <f t="shared" si="3"/>
        <v>0</v>
      </c>
      <c r="J80" s="90">
        <f>Jan!I80+Feb!I80+Mar!I80+Apr!I80+May!I80+Jun!I80+July!I80</f>
        <v>0</v>
      </c>
      <c r="K80" s="82"/>
      <c r="L80" s="398"/>
      <c r="M80" s="397"/>
      <c r="N80" s="397"/>
      <c r="O80" s="398"/>
    </row>
    <row r="81" spans="1:15" s="52" customFormat="1" ht="13.5">
      <c r="A81" s="58"/>
      <c r="B81" s="52" t="s">
        <v>421</v>
      </c>
      <c r="G81" s="52">
        <f t="shared" si="2"/>
        <v>2231.15</v>
      </c>
      <c r="H81" s="52">
        <v>5000</v>
      </c>
      <c r="I81" s="61">
        <f t="shared" si="3"/>
        <v>2768.85</v>
      </c>
      <c r="J81" s="90">
        <f>Jan!I81+Feb!I81+Mar!I81+Apr!I81+May!I81+Jun!I81+July!I81</f>
        <v>-66089.890000000014</v>
      </c>
      <c r="K81" s="82"/>
      <c r="L81" s="398">
        <v>400</v>
      </c>
      <c r="M81" s="397"/>
      <c r="N81" s="397"/>
      <c r="O81" s="398">
        <f>-32.63+14.09+391.13-69.18-25.28+(1148.07+404.95)</f>
        <v>1831.15</v>
      </c>
    </row>
    <row r="82" spans="1:15" s="52" customFormat="1" ht="13.5">
      <c r="A82" s="58"/>
      <c r="B82" s="52" t="s">
        <v>888</v>
      </c>
      <c r="G82" s="52">
        <f t="shared" si="2"/>
        <v>0</v>
      </c>
      <c r="H82" s="52">
        <v>1000</v>
      </c>
      <c r="I82" s="61">
        <f t="shared" si="3"/>
        <v>1000</v>
      </c>
      <c r="J82" s="90">
        <f>Jan!I82+Feb!I82+Mar!I82+Apr!I82+May!I82+Jun!I82+July!I82</f>
        <v>-3622.75</v>
      </c>
      <c r="K82" s="82"/>
      <c r="L82" s="398"/>
      <c r="M82" s="397"/>
      <c r="N82" s="397"/>
      <c r="O82" s="398"/>
    </row>
    <row r="83" spans="1:15" s="52" customFormat="1" ht="13.5">
      <c r="A83" s="58"/>
      <c r="B83" s="52" t="s">
        <v>889</v>
      </c>
      <c r="G83" s="52">
        <f t="shared" si="2"/>
        <v>0</v>
      </c>
      <c r="H83" s="52">
        <v>50</v>
      </c>
      <c r="I83" s="61">
        <f t="shared" si="3"/>
        <v>50</v>
      </c>
      <c r="J83" s="90">
        <f>Jan!I83+Feb!I83+Mar!I83+Apr!I83+May!I83+Jun!I83+July!I83</f>
        <v>-134.94999999999999</v>
      </c>
      <c r="K83" s="82"/>
      <c r="L83" s="398"/>
      <c r="M83" s="397"/>
      <c r="N83" s="397"/>
      <c r="O83" s="398"/>
    </row>
    <row r="84" spans="1:15" s="52" customFormat="1" ht="13.5">
      <c r="A84" s="58"/>
      <c r="B84" s="52" t="s">
        <v>26</v>
      </c>
      <c r="G84" s="52">
        <f t="shared" si="2"/>
        <v>124.61</v>
      </c>
      <c r="H84" s="52">
        <v>100</v>
      </c>
      <c r="I84" s="61">
        <f t="shared" si="3"/>
        <v>-24.61</v>
      </c>
      <c r="J84" s="90">
        <f>Jan!I84+Feb!I84+Mar!I84+Apr!I84+May!I84+Jun!I84+July!I84</f>
        <v>178.31</v>
      </c>
      <c r="K84" s="82"/>
      <c r="L84" s="398">
        <v>124.61</v>
      </c>
      <c r="M84" s="397"/>
      <c r="N84" s="397"/>
      <c r="O84" s="398"/>
    </row>
    <row r="85" spans="1:15" s="52" customFormat="1" ht="13.5">
      <c r="A85" s="58"/>
      <c r="B85" s="52" t="s">
        <v>799</v>
      </c>
      <c r="C85" s="52" t="s">
        <v>824</v>
      </c>
      <c r="D85" s="52" t="s">
        <v>1043</v>
      </c>
      <c r="G85" s="52">
        <f t="shared" si="2"/>
        <v>23.63</v>
      </c>
      <c r="H85" s="52">
        <v>70</v>
      </c>
      <c r="I85" s="61">
        <f t="shared" si="3"/>
        <v>46.370000000000005</v>
      </c>
      <c r="J85" s="90">
        <f>Jan!I85+Feb!I85+Mar!I85+Apr!I85+May!I85+Jun!I85+July!I85</f>
        <v>-258.91000000000003</v>
      </c>
      <c r="K85" s="82"/>
      <c r="L85" s="398">
        <v>23.63</v>
      </c>
      <c r="M85" s="397"/>
      <c r="N85" s="397"/>
      <c r="O85" s="398"/>
    </row>
    <row r="86" spans="1:15" s="52" customFormat="1" ht="13.5">
      <c r="A86" s="58"/>
      <c r="B86" s="52" t="s">
        <v>799</v>
      </c>
      <c r="C86" s="52" t="s">
        <v>824</v>
      </c>
      <c r="D86" s="52" t="s">
        <v>1044</v>
      </c>
      <c r="G86" s="52">
        <f t="shared" si="2"/>
        <v>24.28</v>
      </c>
      <c r="H86" s="52">
        <v>25</v>
      </c>
      <c r="I86" s="61">
        <f t="shared" si="3"/>
        <v>0.71999999999999886</v>
      </c>
      <c r="J86" s="90">
        <f>Jan!I86+Feb!I86+Mar!I86+Apr!I86+May!I86+Jun!I86+July!I86</f>
        <v>32.039999999999992</v>
      </c>
      <c r="K86" s="82"/>
      <c r="L86" s="398">
        <v>24.28</v>
      </c>
      <c r="M86" s="397"/>
      <c r="N86" s="397"/>
      <c r="O86" s="398"/>
    </row>
    <row r="87" spans="1:15" s="52" customFormat="1" ht="13.5">
      <c r="A87" s="58"/>
      <c r="B87" s="52" t="s">
        <v>800</v>
      </c>
      <c r="G87" s="52">
        <f t="shared" si="2"/>
        <v>0</v>
      </c>
      <c r="H87" s="52">
        <v>40</v>
      </c>
      <c r="I87" s="61">
        <f t="shared" si="3"/>
        <v>40</v>
      </c>
      <c r="J87" s="90">
        <f>Jan!I87+Feb!I87+Mar!I87+Apr!I87+May!I87+Jun!I87+July!I87</f>
        <v>-101.26999999999998</v>
      </c>
      <c r="K87" s="82"/>
      <c r="L87" s="398"/>
      <c r="M87" s="397"/>
      <c r="N87" s="397"/>
      <c r="O87" s="398"/>
    </row>
    <row r="88" spans="1:15" s="52" customFormat="1" ht="13.5">
      <c r="A88" s="58"/>
      <c r="B88" s="52" t="s">
        <v>802</v>
      </c>
      <c r="C88" s="52" t="s">
        <v>1090</v>
      </c>
      <c r="G88" s="52">
        <f t="shared" si="2"/>
        <v>63.7</v>
      </c>
      <c r="H88" s="52">
        <v>100</v>
      </c>
      <c r="I88" s="61">
        <f t="shared" si="3"/>
        <v>36.299999999999997</v>
      </c>
      <c r="J88" s="90">
        <f>Jan!I88+Feb!I88+Mar!I88+Apr!I88+May!I88+Jun!I88+July!I88</f>
        <v>410.98</v>
      </c>
      <c r="K88" s="82"/>
      <c r="L88" s="398"/>
      <c r="M88" s="397">
        <v>63.7</v>
      </c>
      <c r="N88" s="397"/>
      <c r="O88" s="398"/>
    </row>
    <row r="89" spans="1:15" s="52" customFormat="1" ht="13.5">
      <c r="A89" s="58"/>
      <c r="I89" s="61"/>
      <c r="J89" s="90"/>
      <c r="K89" s="82"/>
      <c r="L89" s="398"/>
      <c r="M89" s="397"/>
      <c r="N89" s="397"/>
      <c r="O89" s="398"/>
    </row>
    <row r="90" spans="1:15" s="52" customFormat="1" ht="13.5">
      <c r="A90" s="58" t="s">
        <v>39</v>
      </c>
      <c r="B90" s="58">
        <f>SUM(G91:G94)</f>
        <v>67.900000000000006</v>
      </c>
      <c r="C90" s="58">
        <f>SUM(H91:H94)</f>
        <v>360</v>
      </c>
      <c r="D90" s="58">
        <f>C90-B90</f>
        <v>292.10000000000002</v>
      </c>
      <c r="I90" s="61"/>
      <c r="J90" s="90"/>
      <c r="K90" s="82"/>
      <c r="L90" s="398"/>
      <c r="M90" s="397"/>
      <c r="N90" s="397"/>
      <c r="O90" s="398"/>
    </row>
    <row r="91" spans="1:15" s="52" customFormat="1" ht="13.5">
      <c r="B91" s="52" t="s">
        <v>26</v>
      </c>
      <c r="C91" s="52" t="s">
        <v>27</v>
      </c>
      <c r="G91" s="52">
        <f t="shared" si="2"/>
        <v>67.900000000000006</v>
      </c>
      <c r="H91" s="52">
        <v>100</v>
      </c>
      <c r="I91" s="61">
        <f t="shared" si="3"/>
        <v>32.099999999999994</v>
      </c>
      <c r="J91" s="90">
        <f>Jan!I91+Feb!I91+Mar!I91+Apr!I91+May!I91+Jun!I91+July!I91</f>
        <v>213.73000000000002</v>
      </c>
      <c r="K91" s="82"/>
      <c r="L91" s="398">
        <v>67.900000000000006</v>
      </c>
      <c r="M91" s="397"/>
      <c r="N91" s="397"/>
      <c r="O91" s="398"/>
    </row>
    <row r="92" spans="1:15" s="52" customFormat="1" ht="13.5">
      <c r="B92" s="52" t="s">
        <v>28</v>
      </c>
      <c r="C92" s="52" t="s">
        <v>29</v>
      </c>
      <c r="G92" s="52">
        <f t="shared" si="2"/>
        <v>0</v>
      </c>
      <c r="H92" s="52">
        <v>40</v>
      </c>
      <c r="I92" s="61">
        <f t="shared" si="3"/>
        <v>40</v>
      </c>
      <c r="J92" s="90">
        <f>Jan!I92+Feb!I92+Mar!I92+Apr!I92+May!I92+Jun!I92+July!I92</f>
        <v>185.4</v>
      </c>
      <c r="K92" s="82"/>
      <c r="L92" s="398"/>
      <c r="M92" s="397"/>
      <c r="N92" s="397"/>
      <c r="O92" s="398"/>
    </row>
    <row r="93" spans="1:15" s="52" customFormat="1" ht="13.5">
      <c r="B93" s="52" t="s">
        <v>40</v>
      </c>
      <c r="C93" s="52" t="s">
        <v>41</v>
      </c>
      <c r="D93" s="52" t="s">
        <v>321</v>
      </c>
      <c r="G93" s="52">
        <f t="shared" si="2"/>
        <v>0</v>
      </c>
      <c r="H93" s="52">
        <v>100</v>
      </c>
      <c r="I93" s="61">
        <f t="shared" si="3"/>
        <v>100</v>
      </c>
      <c r="J93" s="90">
        <f>Jan!I93+Feb!I93+Mar!I93+Apr!I93+May!I93+Jun!I93+July!I93</f>
        <v>700</v>
      </c>
      <c r="K93" s="82"/>
      <c r="L93" s="398"/>
      <c r="M93" s="397"/>
      <c r="N93" s="397"/>
      <c r="O93" s="398"/>
    </row>
    <row r="94" spans="1:15" s="52" customFormat="1" ht="13.5">
      <c r="B94" s="52" t="s">
        <v>42</v>
      </c>
      <c r="C94" s="52" t="s">
        <v>43</v>
      </c>
      <c r="D94" s="52" t="s">
        <v>435</v>
      </c>
      <c r="G94" s="52">
        <f t="shared" si="2"/>
        <v>0</v>
      </c>
      <c r="H94" s="52">
        <v>120</v>
      </c>
      <c r="I94" s="61">
        <f t="shared" si="3"/>
        <v>120</v>
      </c>
      <c r="J94" s="90">
        <f>Jan!I94+Feb!I94+Mar!I94+Apr!I94+May!I94+Jun!I94+July!I94</f>
        <v>339.8</v>
      </c>
      <c r="K94" s="82"/>
      <c r="L94" s="398"/>
      <c r="M94" s="397"/>
      <c r="N94" s="397"/>
      <c r="O94" s="398"/>
    </row>
    <row r="95" spans="1:15" s="52" customFormat="1" ht="13.5">
      <c r="I95" s="61"/>
      <c r="J95" s="90"/>
      <c r="K95" s="82"/>
      <c r="L95" s="398"/>
      <c r="M95" s="397"/>
      <c r="N95" s="397"/>
      <c r="O95" s="398"/>
    </row>
    <row r="96" spans="1:15" s="52" customFormat="1" ht="13.5">
      <c r="A96" s="58" t="s">
        <v>45</v>
      </c>
      <c r="B96" s="58">
        <f>SUM(G97:G99)</f>
        <v>0</v>
      </c>
      <c r="C96" s="58">
        <f>SUM(H97:H99)</f>
        <v>173</v>
      </c>
      <c r="D96" s="58">
        <f>C96-B96</f>
        <v>173</v>
      </c>
      <c r="I96" s="61"/>
      <c r="J96" s="90"/>
      <c r="K96" s="82"/>
      <c r="L96" s="398"/>
      <c r="M96" s="397"/>
      <c r="N96" s="397"/>
      <c r="O96" s="398"/>
    </row>
    <row r="97" spans="1:17" s="52" customFormat="1" ht="13.5">
      <c r="B97" s="52" t="s">
        <v>46</v>
      </c>
      <c r="D97" s="52" t="s">
        <v>437</v>
      </c>
      <c r="G97" s="52">
        <f t="shared" si="2"/>
        <v>0</v>
      </c>
      <c r="H97" s="52">
        <v>65</v>
      </c>
      <c r="I97" s="61">
        <f t="shared" si="3"/>
        <v>65</v>
      </c>
      <c r="J97" s="90">
        <f>Jan!I97+Feb!I97+Mar!I97+Apr!I97+May!I97+Jun!I97+July!I97</f>
        <v>-275</v>
      </c>
      <c r="K97" s="82"/>
      <c r="L97" s="398"/>
      <c r="M97" s="397"/>
      <c r="N97" s="397"/>
      <c r="O97" s="398"/>
    </row>
    <row r="98" spans="1:17" s="52" customFormat="1" ht="13.5">
      <c r="B98" s="52" t="s">
        <v>47</v>
      </c>
      <c r="D98" s="52" t="s">
        <v>436</v>
      </c>
      <c r="G98" s="52">
        <f t="shared" si="2"/>
        <v>0</v>
      </c>
      <c r="H98" s="52">
        <v>72</v>
      </c>
      <c r="I98" s="61">
        <f t="shared" si="3"/>
        <v>72</v>
      </c>
      <c r="J98" s="90">
        <f>Jan!I98+Feb!I98+Mar!I98+Apr!I98+May!I98+Jun!I98+July!I98</f>
        <v>-354</v>
      </c>
      <c r="K98" s="82"/>
      <c r="L98" s="398"/>
      <c r="M98" s="397"/>
      <c r="N98" s="397"/>
      <c r="O98" s="398"/>
    </row>
    <row r="99" spans="1:17" s="52" customFormat="1" ht="13.5">
      <c r="B99" s="52" t="s">
        <v>48</v>
      </c>
      <c r="D99" s="52" t="s">
        <v>445</v>
      </c>
      <c r="G99" s="52">
        <f t="shared" si="2"/>
        <v>0</v>
      </c>
      <c r="H99" s="52">
        <v>36</v>
      </c>
      <c r="I99" s="61">
        <f t="shared" si="3"/>
        <v>36</v>
      </c>
      <c r="J99" s="90">
        <f>Jan!I99+Feb!I99+Mar!I99+Apr!I99+May!I99+Jun!I99+July!I99</f>
        <v>252</v>
      </c>
      <c r="K99" s="82"/>
      <c r="L99" s="398"/>
      <c r="M99" s="397"/>
      <c r="N99" s="397"/>
      <c r="O99" s="398"/>
    </row>
    <row r="100" spans="1:17" s="52" customFormat="1" ht="13.5">
      <c r="I100" s="61"/>
      <c r="J100" s="90"/>
      <c r="K100" s="82"/>
      <c r="L100" s="398"/>
      <c r="M100" s="397"/>
      <c r="N100" s="397"/>
      <c r="O100" s="398"/>
    </row>
    <row r="101" spans="1:17" s="52" customFormat="1" ht="13.5">
      <c r="A101" s="58" t="s">
        <v>49</v>
      </c>
      <c r="B101" s="58">
        <f>SUM(G102:G108)</f>
        <v>111.09</v>
      </c>
      <c r="C101" s="58">
        <f>SUM(H102:H108)</f>
        <v>178</v>
      </c>
      <c r="D101" s="58">
        <f>C101-B101</f>
        <v>66.91</v>
      </c>
      <c r="I101" s="61"/>
      <c r="J101" s="90"/>
      <c r="K101" s="82"/>
      <c r="L101" s="398"/>
      <c r="M101" s="397"/>
      <c r="N101" s="397"/>
      <c r="O101" s="398"/>
    </row>
    <row r="102" spans="1:17" s="52" customFormat="1" ht="13.5">
      <c r="B102" s="52" t="s">
        <v>438</v>
      </c>
      <c r="G102" s="52">
        <f t="shared" si="2"/>
        <v>0</v>
      </c>
      <c r="H102" s="52">
        <v>20</v>
      </c>
      <c r="I102" s="61">
        <f t="shared" si="3"/>
        <v>20</v>
      </c>
      <c r="J102" s="90">
        <f>Jan!I102+Feb!I102+Mar!I102+Apr!I102+May!I102+Jun!I102+July!I102</f>
        <v>-3770.5199999999995</v>
      </c>
      <c r="K102" s="82"/>
      <c r="L102" s="398"/>
      <c r="M102" s="397"/>
      <c r="N102" s="397"/>
      <c r="O102" s="398"/>
    </row>
    <row r="103" spans="1:17" s="52" customFormat="1" ht="13.5">
      <c r="B103" s="52" t="s">
        <v>439</v>
      </c>
      <c r="G103" s="52">
        <f t="shared" si="2"/>
        <v>0</v>
      </c>
      <c r="H103" s="52">
        <v>5</v>
      </c>
      <c r="I103" s="61">
        <f t="shared" si="3"/>
        <v>5</v>
      </c>
      <c r="J103" s="90">
        <f>Jan!I103+Feb!I103+Mar!I103+Apr!I103+May!I103+Jun!I103+July!I103</f>
        <v>-27.82</v>
      </c>
      <c r="K103" s="82"/>
      <c r="L103" s="398"/>
      <c r="M103" s="397"/>
      <c r="N103" s="397"/>
      <c r="O103" s="398"/>
    </row>
    <row r="104" spans="1:17" s="52" customFormat="1" ht="13.5">
      <c r="B104" s="52" t="s">
        <v>303</v>
      </c>
      <c r="G104" s="52">
        <f t="shared" si="2"/>
        <v>111.09</v>
      </c>
      <c r="H104" s="52">
        <v>65</v>
      </c>
      <c r="I104" s="61">
        <f t="shared" si="3"/>
        <v>-46.09</v>
      </c>
      <c r="J104" s="90">
        <f>Jan!I104+Feb!I104+Mar!I104+Apr!I104+May!I104+Jun!I104+July!I104</f>
        <v>-164.83</v>
      </c>
      <c r="K104" s="82"/>
      <c r="L104" s="398"/>
      <c r="M104" s="397">
        <v>111.09</v>
      </c>
      <c r="N104" s="397"/>
      <c r="O104" s="398"/>
      <c r="Q104" s="52" t="s">
        <v>1098</v>
      </c>
    </row>
    <row r="105" spans="1:17" s="52" customFormat="1" ht="13.5">
      <c r="B105" s="52" t="s">
        <v>259</v>
      </c>
      <c r="G105" s="52">
        <f t="shared" si="2"/>
        <v>0</v>
      </c>
      <c r="H105" s="52">
        <v>15</v>
      </c>
      <c r="I105" s="61">
        <f t="shared" si="3"/>
        <v>15</v>
      </c>
      <c r="J105" s="90">
        <f>Jan!I105+Feb!I105+Mar!I105+Apr!I105+May!I105+Jun!I105+July!I105</f>
        <v>105</v>
      </c>
      <c r="K105" s="82"/>
      <c r="L105" s="398"/>
      <c r="M105" s="397"/>
      <c r="N105" s="397"/>
      <c r="O105" s="398"/>
    </row>
    <row r="106" spans="1:17" s="52" customFormat="1" ht="13.5">
      <c r="B106" s="52" t="s">
        <v>299</v>
      </c>
      <c r="G106" s="52">
        <f t="shared" si="2"/>
        <v>0</v>
      </c>
      <c r="H106" s="52">
        <v>35</v>
      </c>
      <c r="I106" s="61">
        <f t="shared" si="3"/>
        <v>35</v>
      </c>
      <c r="J106" s="90">
        <f>Jan!I106+Feb!I106+Mar!I106+Apr!I106+May!I106+Jun!I106+July!I106</f>
        <v>218.66</v>
      </c>
      <c r="K106" s="82"/>
      <c r="L106" s="398"/>
      <c r="M106" s="397"/>
      <c r="N106" s="397"/>
      <c r="O106" s="398"/>
    </row>
    <row r="107" spans="1:17" s="52" customFormat="1" ht="13.5">
      <c r="B107" s="52" t="s">
        <v>440</v>
      </c>
      <c r="G107" s="52">
        <f t="shared" si="2"/>
        <v>0</v>
      </c>
      <c r="H107" s="52">
        <v>26</v>
      </c>
      <c r="I107" s="61">
        <f t="shared" si="3"/>
        <v>26</v>
      </c>
      <c r="J107" s="90">
        <f>Jan!I107+Feb!I107+Mar!I107+Apr!I107+May!I107+Jun!I107+July!I107</f>
        <v>-89</v>
      </c>
      <c r="K107" s="82"/>
      <c r="L107" s="398"/>
      <c r="M107" s="397"/>
      <c r="N107" s="397"/>
      <c r="O107" s="398"/>
    </row>
    <row r="108" spans="1:17" s="52" customFormat="1" ht="13.5">
      <c r="B108" s="52" t="s">
        <v>441</v>
      </c>
      <c r="G108" s="52">
        <f t="shared" si="2"/>
        <v>0</v>
      </c>
      <c r="H108" s="52">
        <v>12</v>
      </c>
      <c r="I108" s="61">
        <f t="shared" si="3"/>
        <v>12</v>
      </c>
      <c r="J108" s="90">
        <f>Jan!I108+Feb!I108+Mar!I108+Apr!I108+May!I108+Jun!I108+July!I108</f>
        <v>-61.990000000000009</v>
      </c>
      <c r="K108" s="82"/>
      <c r="L108" s="398"/>
      <c r="M108" s="397"/>
      <c r="N108" s="397"/>
      <c r="O108" s="398"/>
    </row>
    <row r="109" spans="1:17" s="52" customFormat="1" ht="13.5">
      <c r="I109" s="61"/>
      <c r="J109" s="90"/>
      <c r="K109" s="82"/>
      <c r="L109" s="398"/>
      <c r="M109" s="397"/>
      <c r="N109" s="397"/>
      <c r="O109" s="398"/>
    </row>
    <row r="110" spans="1:17" s="52" customFormat="1" ht="13.5">
      <c r="A110" s="58" t="s">
        <v>236</v>
      </c>
      <c r="B110" s="58">
        <f>SUM(G111:G113)</f>
        <v>22.52</v>
      </c>
      <c r="C110" s="58">
        <f>SUM(H111:H113)</f>
        <v>470</v>
      </c>
      <c r="D110" s="58">
        <f>C110-B110</f>
        <v>447.48</v>
      </c>
      <c r="I110" s="61"/>
      <c r="J110" s="90"/>
      <c r="K110" s="82"/>
      <c r="L110" s="398"/>
      <c r="M110" s="397"/>
      <c r="N110" s="397"/>
      <c r="O110" s="398"/>
    </row>
    <row r="111" spans="1:17" s="52" customFormat="1" ht="13.5">
      <c r="B111" s="52" t="s">
        <v>482</v>
      </c>
      <c r="G111" s="52">
        <f t="shared" si="2"/>
        <v>0</v>
      </c>
      <c r="H111" s="52">
        <v>60</v>
      </c>
      <c r="I111" s="61">
        <f t="shared" si="3"/>
        <v>60</v>
      </c>
      <c r="J111" s="90">
        <f>Jan!I111+Feb!I111+Mar!I111+Apr!I111+May!I111+Jun!I111+July!I111</f>
        <v>420</v>
      </c>
      <c r="K111" s="82"/>
      <c r="L111" s="398"/>
      <c r="M111" s="397"/>
      <c r="N111" s="397"/>
      <c r="O111" s="398"/>
    </row>
    <row r="112" spans="1:17" s="52" customFormat="1" ht="13.5">
      <c r="B112" s="52" t="s">
        <v>442</v>
      </c>
      <c r="G112" s="52">
        <f t="shared" si="2"/>
        <v>0</v>
      </c>
      <c r="H112" s="52">
        <v>400</v>
      </c>
      <c r="I112" s="61">
        <f t="shared" si="3"/>
        <v>400</v>
      </c>
      <c r="J112" s="90">
        <f>Jan!I112+Feb!I112+Mar!I112+Apr!I112+May!I112+Jun!I112+July!I112</f>
        <v>2635</v>
      </c>
      <c r="K112" s="82"/>
      <c r="L112" s="398"/>
      <c r="M112" s="397"/>
      <c r="N112" s="397"/>
      <c r="O112" s="398"/>
    </row>
    <row r="113" spans="1:18" s="52" customFormat="1" ht="13.5">
      <c r="B113" s="52" t="s">
        <v>258</v>
      </c>
      <c r="G113" s="52">
        <f t="shared" si="2"/>
        <v>22.52</v>
      </c>
      <c r="H113" s="52">
        <v>10</v>
      </c>
      <c r="I113" s="61">
        <f t="shared" si="3"/>
        <v>-12.52</v>
      </c>
      <c r="J113" s="90">
        <f>Jan!I113+Feb!I113+Mar!I113+Apr!I113+May!I113+Jun!I113+July!I113</f>
        <v>47.480000000000004</v>
      </c>
      <c r="K113" s="82"/>
      <c r="L113" s="398"/>
      <c r="M113" s="397">
        <v>22.52</v>
      </c>
      <c r="N113" s="397"/>
      <c r="O113" s="398"/>
      <c r="Q113" s="52" t="s">
        <v>1076</v>
      </c>
    </row>
    <row r="114" spans="1:18" s="52" customFormat="1" ht="13.5">
      <c r="I114" s="61"/>
      <c r="J114" s="90"/>
      <c r="K114" s="82"/>
      <c r="L114" s="398"/>
      <c r="M114" s="397"/>
      <c r="N114" s="397"/>
      <c r="O114" s="398"/>
    </row>
    <row r="115" spans="1:18" s="52" customFormat="1" ht="13.5">
      <c r="A115" s="58" t="s">
        <v>53</v>
      </c>
      <c r="B115" s="58">
        <f>SUM(G116:G118)</f>
        <v>32.22</v>
      </c>
      <c r="C115" s="58">
        <f>SUM(H116:H118)</f>
        <v>245</v>
      </c>
      <c r="D115" s="58">
        <f>C115-B115</f>
        <v>212.78</v>
      </c>
      <c r="I115" s="61"/>
      <c r="J115" s="90"/>
      <c r="K115" s="82"/>
      <c r="L115" s="398"/>
      <c r="M115" s="397"/>
      <c r="N115" s="397"/>
      <c r="O115" s="398"/>
    </row>
    <row r="116" spans="1:18" s="52" customFormat="1" ht="13.5">
      <c r="B116" s="52" t="s">
        <v>443</v>
      </c>
      <c r="G116" s="52">
        <f t="shared" ref="G116:G170" si="4">SUM(L116:O116)</f>
        <v>0</v>
      </c>
      <c r="H116" s="52">
        <v>90</v>
      </c>
      <c r="I116" s="61">
        <f t="shared" si="3"/>
        <v>90</v>
      </c>
      <c r="J116" s="90">
        <f>Jan!I116+Feb!I116+Mar!I116+Apr!I116+May!I116+Jun!I116+July!I116</f>
        <v>-2208.3500000000004</v>
      </c>
      <c r="K116" s="82"/>
      <c r="L116" s="398"/>
      <c r="M116" s="397"/>
      <c r="N116" s="397"/>
      <c r="O116" s="398"/>
    </row>
    <row r="117" spans="1:18" s="52" customFormat="1" ht="13.5">
      <c r="B117" s="52" t="s">
        <v>54</v>
      </c>
      <c r="G117" s="52">
        <f t="shared" si="4"/>
        <v>0</v>
      </c>
      <c r="H117" s="52">
        <v>25</v>
      </c>
      <c r="I117" s="61">
        <f t="shared" si="3"/>
        <v>25</v>
      </c>
      <c r="J117" s="90">
        <f>Jan!I117+Feb!I117+Mar!I117+Apr!I117+May!I117+Jun!I117+July!I117</f>
        <v>-58.400000000000006</v>
      </c>
      <c r="K117" s="82"/>
      <c r="L117" s="398"/>
      <c r="M117" s="397"/>
      <c r="N117" s="397"/>
      <c r="O117" s="398"/>
    </row>
    <row r="118" spans="1:18" s="52" customFormat="1" ht="13.5">
      <c r="B118" s="54" t="s">
        <v>444</v>
      </c>
      <c r="G118" s="52">
        <f t="shared" si="4"/>
        <v>32.22</v>
      </c>
      <c r="H118" s="52">
        <v>130</v>
      </c>
      <c r="I118" s="61">
        <f t="shared" si="3"/>
        <v>97.78</v>
      </c>
      <c r="J118" s="90">
        <f>Jan!I118+Feb!I118+Mar!I118+Apr!I118+May!I118+Jun!I118+July!I118</f>
        <v>28.440000000000026</v>
      </c>
      <c r="K118" s="82"/>
      <c r="L118" s="398"/>
      <c r="M118" s="397">
        <f>32.22</f>
        <v>32.22</v>
      </c>
      <c r="N118" s="397"/>
      <c r="O118" s="398"/>
    </row>
    <row r="119" spans="1:18" s="52" customFormat="1" ht="13.5">
      <c r="I119" s="61"/>
      <c r="J119" s="90"/>
      <c r="K119" s="82"/>
      <c r="L119" s="398"/>
      <c r="M119" s="397"/>
      <c r="N119" s="397"/>
      <c r="O119" s="398"/>
    </row>
    <row r="120" spans="1:18" s="52" customFormat="1" ht="13.5">
      <c r="A120" s="58" t="s">
        <v>59</v>
      </c>
      <c r="B120" s="58">
        <f>SUM(G121:G123)</f>
        <v>425</v>
      </c>
      <c r="C120" s="58">
        <f>SUM(H121:H123)</f>
        <v>415</v>
      </c>
      <c r="D120" s="58">
        <f>C120-B120</f>
        <v>-10</v>
      </c>
      <c r="I120" s="61"/>
      <c r="J120" s="90"/>
      <c r="K120" s="82"/>
      <c r="L120" s="398"/>
      <c r="M120" s="397"/>
      <c r="N120" s="397"/>
      <c r="O120" s="398"/>
    </row>
    <row r="121" spans="1:18" s="52" customFormat="1" ht="13.5">
      <c r="B121" s="52" t="s">
        <v>484</v>
      </c>
      <c r="D121" s="52" t="s">
        <v>60</v>
      </c>
      <c r="G121" s="52">
        <f t="shared" si="4"/>
        <v>0</v>
      </c>
      <c r="H121" s="52">
        <v>150</v>
      </c>
      <c r="I121" s="61">
        <f t="shared" si="3"/>
        <v>150</v>
      </c>
      <c r="J121" s="90">
        <f>Jan!I121+Feb!I121+Mar!I121+Apr!I121+May!I121+Jun!I121+July!I121</f>
        <v>1050</v>
      </c>
      <c r="K121" s="82"/>
      <c r="L121" s="398"/>
      <c r="M121" s="397"/>
      <c r="N121" s="397"/>
      <c r="O121" s="398"/>
    </row>
    <row r="122" spans="1:18" s="52" customFormat="1" ht="13.5">
      <c r="A122" s="58"/>
      <c r="B122" s="52" t="s">
        <v>483</v>
      </c>
      <c r="G122" s="52">
        <f t="shared" si="4"/>
        <v>0</v>
      </c>
      <c r="H122" s="52">
        <v>215</v>
      </c>
      <c r="I122" s="61">
        <f t="shared" si="3"/>
        <v>215</v>
      </c>
      <c r="J122" s="90">
        <f>Jan!I122+Feb!I122+Mar!I122+Apr!I122+May!I122+Jun!I122+July!I122</f>
        <v>995</v>
      </c>
      <c r="K122" s="82"/>
      <c r="L122" s="398"/>
      <c r="M122" s="397"/>
      <c r="N122" s="397"/>
      <c r="O122" s="398"/>
    </row>
    <row r="123" spans="1:18" s="52" customFormat="1" ht="13.5">
      <c r="A123" s="58"/>
      <c r="B123" s="52" t="s">
        <v>468</v>
      </c>
      <c r="G123" s="52">
        <f t="shared" si="4"/>
        <v>425</v>
      </c>
      <c r="H123" s="52">
        <v>50</v>
      </c>
      <c r="I123" s="61">
        <f t="shared" si="3"/>
        <v>-375</v>
      </c>
      <c r="J123" s="90">
        <f>Jan!I123+Feb!I123+Mar!I123+Apr!I123+May!I123+Jun!I123+July!I123</f>
        <v>-1715</v>
      </c>
      <c r="K123" s="82"/>
      <c r="L123" s="398">
        <f>425</f>
        <v>425</v>
      </c>
      <c r="M123" s="397"/>
      <c r="N123" s="397"/>
      <c r="O123" s="398"/>
      <c r="Q123" s="52" t="s">
        <v>1105</v>
      </c>
    </row>
    <row r="124" spans="1:18" s="52" customFormat="1" ht="13.5">
      <c r="A124" s="58"/>
      <c r="I124" s="61"/>
      <c r="J124" s="90"/>
      <c r="K124" s="82"/>
      <c r="L124" s="398"/>
      <c r="M124" s="397"/>
      <c r="N124" s="397"/>
      <c r="O124" s="398"/>
    </row>
    <row r="125" spans="1:18" s="52" customFormat="1" ht="13.5">
      <c r="A125" s="58" t="s">
        <v>50</v>
      </c>
      <c r="B125" s="58">
        <f>SUM(G126:G136)</f>
        <v>1406.75</v>
      </c>
      <c r="C125" s="58">
        <f>SUM(H126:H136)</f>
        <v>740</v>
      </c>
      <c r="D125" s="58">
        <f>C125-B125</f>
        <v>-666.75</v>
      </c>
      <c r="I125" s="61"/>
      <c r="J125" s="90"/>
      <c r="K125" s="82"/>
      <c r="L125" s="398"/>
      <c r="M125" s="397"/>
      <c r="N125" s="397"/>
      <c r="O125" s="398"/>
    </row>
    <row r="126" spans="1:18" s="52" customFormat="1" ht="13.5">
      <c r="B126" s="52" t="s">
        <v>51</v>
      </c>
      <c r="G126" s="52">
        <f t="shared" si="4"/>
        <v>300</v>
      </c>
      <c r="H126" s="52">
        <v>100</v>
      </c>
      <c r="I126" s="61">
        <f t="shared" si="3"/>
        <v>-200</v>
      </c>
      <c r="J126" s="90">
        <f>Jan!I126+Feb!I126+Mar!I126+Apr!I126+May!I126+Jun!I126+July!I126</f>
        <v>-789.1</v>
      </c>
      <c r="K126" s="82"/>
      <c r="L126" s="398">
        <f>200+100</f>
        <v>300</v>
      </c>
      <c r="M126" s="397"/>
      <c r="N126" s="397"/>
      <c r="O126" s="398"/>
      <c r="Q126" s="120">
        <v>42192</v>
      </c>
      <c r="R126" s="120">
        <v>42210</v>
      </c>
    </row>
    <row r="127" spans="1:18" s="52" customFormat="1" ht="14.25" thickBot="1">
      <c r="B127" s="52" t="s">
        <v>453</v>
      </c>
      <c r="G127" s="52">
        <f t="shared" si="4"/>
        <v>925.75000000000011</v>
      </c>
      <c r="H127" s="52">
        <v>500</v>
      </c>
      <c r="I127" s="61">
        <f t="shared" si="3"/>
        <v>-425.75000000000011</v>
      </c>
      <c r="J127" s="90">
        <f>Jan!I127+Feb!I127+Mar!I127+Apr!I127+May!I127+Jun!I127+July!I127</f>
        <v>377.02000000000021</v>
      </c>
      <c r="K127" s="82"/>
      <c r="L127" s="398"/>
      <c r="M127" s="397">
        <f>63.62+114.33+36.66</f>
        <v>214.60999999999999</v>
      </c>
      <c r="N127" s="397">
        <f>81.85+108.85+73.87+52.73+54.07+77.95+11.79+74.45+83.39+37.86+54.33</f>
        <v>711.1400000000001</v>
      </c>
      <c r="O127" s="398"/>
      <c r="Q127" s="52" t="s">
        <v>1100</v>
      </c>
    </row>
    <row r="128" spans="1:18" s="52" customFormat="1" ht="14.25" thickBot="1">
      <c r="C128" s="52" t="s">
        <v>446</v>
      </c>
      <c r="E128" s="88"/>
      <c r="I128" s="61"/>
      <c r="J128" s="90"/>
      <c r="K128" s="82"/>
      <c r="L128" s="398"/>
      <c r="M128" s="397"/>
      <c r="N128" s="397"/>
      <c r="O128" s="398"/>
    </row>
    <row r="129" spans="1:17" s="52" customFormat="1" ht="14.25" thickBot="1">
      <c r="C129" s="52" t="s">
        <v>447</v>
      </c>
      <c r="E129" s="88">
        <f>36.66</f>
        <v>36.659999999999997</v>
      </c>
      <c r="I129" s="61"/>
      <c r="J129" s="90"/>
      <c r="K129" s="82"/>
      <c r="L129" s="398"/>
      <c r="M129" s="397"/>
      <c r="N129" s="397"/>
      <c r="O129" s="398"/>
    </row>
    <row r="130" spans="1:17" s="52" customFormat="1" ht="13.5">
      <c r="B130" s="52" t="s">
        <v>300</v>
      </c>
      <c r="G130" s="52">
        <f t="shared" si="4"/>
        <v>181</v>
      </c>
      <c r="H130" s="52">
        <v>50</v>
      </c>
      <c r="I130" s="61">
        <f t="shared" si="3"/>
        <v>-131</v>
      </c>
      <c r="J130" s="90">
        <f>Jan!I130+Feb!I130+Mar!I130+Apr!I130+May!I130+Jun!I130+July!I130</f>
        <v>-642.28</v>
      </c>
      <c r="K130" s="82"/>
      <c r="L130" s="398"/>
      <c r="M130" s="397"/>
      <c r="N130" s="397">
        <v>181</v>
      </c>
      <c r="O130" s="398"/>
      <c r="Q130" s="52" t="s">
        <v>1127</v>
      </c>
    </row>
    <row r="131" spans="1:17" s="52" customFormat="1" ht="14.25" thickBot="1">
      <c r="B131" s="52" t="s">
        <v>52</v>
      </c>
      <c r="G131" s="52">
        <f t="shared" si="4"/>
        <v>0</v>
      </c>
      <c r="H131" s="52">
        <v>70</v>
      </c>
      <c r="I131" s="61">
        <f t="shared" si="3"/>
        <v>70</v>
      </c>
      <c r="J131" s="90">
        <f>Jan!I131+Feb!I131+Mar!I131+Apr!I131+May!I131+Jun!I131+July!I131</f>
        <v>283.26000000000005</v>
      </c>
      <c r="K131" s="82"/>
      <c r="L131" s="398"/>
      <c r="M131" s="397"/>
      <c r="N131" s="397"/>
      <c r="O131" s="398"/>
    </row>
    <row r="132" spans="1:17" s="52" customFormat="1" ht="14.25" thickBot="1">
      <c r="C132" s="259" t="s">
        <v>448</v>
      </c>
      <c r="D132" s="260"/>
      <c r="E132" s="88"/>
      <c r="I132" s="61"/>
      <c r="J132" s="90"/>
      <c r="K132" s="82"/>
      <c r="L132" s="398"/>
      <c r="M132" s="397"/>
      <c r="N132" s="397"/>
      <c r="O132" s="398"/>
    </row>
    <row r="133" spans="1:17" s="52" customFormat="1" ht="14.25" thickBot="1">
      <c r="C133" s="259" t="s">
        <v>449</v>
      </c>
      <c r="D133" s="260"/>
      <c r="E133" s="88"/>
      <c r="I133" s="61"/>
      <c r="J133" s="90"/>
      <c r="K133" s="82"/>
      <c r="L133" s="398"/>
      <c r="M133" s="397"/>
      <c r="N133" s="397"/>
      <c r="O133" s="398"/>
    </row>
    <row r="134" spans="1:17" s="52" customFormat="1" ht="14.25" thickBot="1">
      <c r="C134" s="259" t="s">
        <v>450</v>
      </c>
      <c r="D134" s="260"/>
      <c r="E134" s="88"/>
      <c r="I134" s="61"/>
      <c r="J134" s="90"/>
      <c r="K134" s="82"/>
      <c r="L134" s="398"/>
      <c r="M134" s="397"/>
      <c r="N134" s="397"/>
      <c r="O134" s="398"/>
    </row>
    <row r="135" spans="1:17" s="52" customFormat="1" ht="14.25" thickBot="1">
      <c r="C135" s="259" t="s">
        <v>451</v>
      </c>
      <c r="D135" s="260"/>
      <c r="E135" s="88"/>
      <c r="I135" s="61"/>
      <c r="J135" s="90"/>
      <c r="K135" s="82"/>
      <c r="L135" s="398"/>
      <c r="M135" s="397"/>
      <c r="N135" s="397"/>
      <c r="O135" s="398"/>
    </row>
    <row r="136" spans="1:17" s="52" customFormat="1" ht="13.5">
      <c r="B136" s="52" t="s">
        <v>452</v>
      </c>
      <c r="G136" s="52">
        <f t="shared" si="4"/>
        <v>0</v>
      </c>
      <c r="H136" s="52">
        <v>20</v>
      </c>
      <c r="I136" s="61">
        <f t="shared" ref="I136:I151" si="5">H136-G136</f>
        <v>20</v>
      </c>
      <c r="J136" s="90">
        <f>Jan!I136+Feb!I136+Mar!I136+Apr!I136+May!I136+Jun!I136+July!I136</f>
        <v>54.16</v>
      </c>
      <c r="K136" s="82"/>
      <c r="L136" s="398"/>
      <c r="M136" s="397"/>
      <c r="N136" s="397"/>
      <c r="O136" s="398"/>
    </row>
    <row r="137" spans="1:17" s="52" customFormat="1" ht="13.5">
      <c r="I137" s="61"/>
      <c r="J137" s="90"/>
      <c r="K137" s="82"/>
      <c r="L137" s="398"/>
      <c r="M137" s="397"/>
      <c r="N137" s="397"/>
      <c r="O137" s="398"/>
    </row>
    <row r="138" spans="1:17" s="52" customFormat="1" ht="13.5">
      <c r="A138" s="58" t="s">
        <v>65</v>
      </c>
      <c r="B138" s="58">
        <f>G139</f>
        <v>105.35</v>
      </c>
      <c r="C138" s="58">
        <f>H139</f>
        <v>140</v>
      </c>
      <c r="D138" s="58">
        <f>I139</f>
        <v>34.650000000000006</v>
      </c>
      <c r="I138" s="61"/>
      <c r="J138" s="90"/>
      <c r="K138" s="82"/>
      <c r="L138" s="398"/>
      <c r="M138" s="397"/>
      <c r="N138" s="397"/>
      <c r="O138" s="398"/>
    </row>
    <row r="139" spans="1:17" s="52" customFormat="1" ht="13.5">
      <c r="B139" s="52" t="s">
        <v>66</v>
      </c>
      <c r="G139" s="52">
        <f t="shared" si="4"/>
        <v>105.35</v>
      </c>
      <c r="H139" s="52">
        <v>140</v>
      </c>
      <c r="I139" s="61">
        <f t="shared" si="5"/>
        <v>34.650000000000006</v>
      </c>
      <c r="J139" s="90">
        <f>Jan!I139+Feb!I139+Mar!I139+Apr!I139+May!I139+Jun!I139+July!I139</f>
        <v>618.08000000000004</v>
      </c>
      <c r="K139" s="82"/>
      <c r="L139" s="398"/>
      <c r="M139" s="397">
        <v>105.35</v>
      </c>
      <c r="N139" s="397"/>
      <c r="O139" s="398"/>
    </row>
    <row r="140" spans="1:17" s="52" customFormat="1" ht="13.5">
      <c r="I140" s="61"/>
      <c r="J140" s="90"/>
      <c r="K140" s="82"/>
      <c r="L140" s="398"/>
      <c r="M140" s="397"/>
      <c r="N140" s="397"/>
      <c r="O140" s="398"/>
    </row>
    <row r="141" spans="1:17" s="52" customFormat="1" ht="13.5">
      <c r="A141" s="58" t="s">
        <v>271</v>
      </c>
      <c r="B141" s="58">
        <f>SUM(G142:G144)</f>
        <v>267.65999999999997</v>
      </c>
      <c r="C141" s="58">
        <f>SUM(H142:H144)</f>
        <v>230</v>
      </c>
      <c r="D141" s="58">
        <f>C141-B141</f>
        <v>-37.659999999999968</v>
      </c>
      <c r="I141" s="61"/>
      <c r="J141" s="90"/>
      <c r="K141" s="82"/>
      <c r="L141" s="398"/>
      <c r="M141" s="397"/>
      <c r="N141" s="397"/>
      <c r="O141" s="398"/>
    </row>
    <row r="142" spans="1:17" s="52" customFormat="1" ht="13.5">
      <c r="B142" s="52" t="s">
        <v>266</v>
      </c>
      <c r="G142" s="52">
        <f t="shared" si="4"/>
        <v>166.34</v>
      </c>
      <c r="H142" s="52">
        <v>100</v>
      </c>
      <c r="I142" s="61">
        <f t="shared" si="5"/>
        <v>-66.34</v>
      </c>
      <c r="J142" s="90">
        <f>Jan!I142+Feb!I142+Mar!I142+Apr!I142+May!I142+Jun!I142+July!I142</f>
        <v>-433.72</v>
      </c>
      <c r="K142" s="82"/>
      <c r="L142" s="398"/>
      <c r="M142" s="397">
        <f>47.34+60+39</f>
        <v>146.34</v>
      </c>
      <c r="N142" s="397">
        <v>20</v>
      </c>
      <c r="O142" s="398"/>
      <c r="Q142" s="52" t="s">
        <v>1097</v>
      </c>
    </row>
    <row r="143" spans="1:17" s="52" customFormat="1" ht="13.5">
      <c r="B143" s="52" t="s">
        <v>1084</v>
      </c>
      <c r="G143" s="52">
        <f t="shared" si="4"/>
        <v>101.32</v>
      </c>
      <c r="H143" s="52">
        <v>100</v>
      </c>
      <c r="I143" s="61">
        <f t="shared" si="5"/>
        <v>-1.3199999999999932</v>
      </c>
      <c r="J143" s="90">
        <f>Jan!I143+Feb!I143+Mar!I143+Apr!I143+May!I143+Jun!I143+July!I143</f>
        <v>598.68000000000006</v>
      </c>
      <c r="K143" s="82"/>
      <c r="L143" s="398"/>
      <c r="M143" s="397">
        <f>62.39+16.68+22.25</f>
        <v>101.32</v>
      </c>
      <c r="N143" s="397"/>
      <c r="O143" s="398"/>
      <c r="Q143" s="52" t="s">
        <v>1085</v>
      </c>
    </row>
    <row r="144" spans="1:17" s="52" customFormat="1" ht="13.5">
      <c r="B144" s="52" t="s">
        <v>455</v>
      </c>
      <c r="G144" s="52">
        <f t="shared" si="4"/>
        <v>0</v>
      </c>
      <c r="H144" s="52">
        <v>30</v>
      </c>
      <c r="I144" s="61">
        <f t="shared" si="5"/>
        <v>30</v>
      </c>
      <c r="J144" s="90">
        <f>Jan!I144+Feb!I144+Mar!I144+Apr!I144+May!I144+Jun!I144+July!I144</f>
        <v>210</v>
      </c>
      <c r="K144" s="82"/>
      <c r="L144" s="398"/>
      <c r="M144" s="397"/>
      <c r="N144" s="397"/>
      <c r="O144" s="398"/>
      <c r="Q144" s="52" t="s">
        <v>91</v>
      </c>
    </row>
    <row r="145" spans="1:15" s="52" customFormat="1" ht="13.5">
      <c r="I145" s="61"/>
      <c r="J145" s="90"/>
      <c r="K145" s="82"/>
      <c r="L145" s="398"/>
      <c r="M145" s="397"/>
      <c r="N145" s="397"/>
      <c r="O145" s="398"/>
    </row>
    <row r="146" spans="1:15" s="52" customFormat="1" ht="13.5">
      <c r="A146" s="58" t="s">
        <v>67</v>
      </c>
      <c r="B146" s="58">
        <f>G147</f>
        <v>0</v>
      </c>
      <c r="C146" s="58">
        <f>H147</f>
        <v>10</v>
      </c>
      <c r="D146" s="58">
        <f>C146-B146</f>
        <v>10</v>
      </c>
      <c r="I146" s="61"/>
      <c r="J146" s="90"/>
      <c r="K146" s="82"/>
      <c r="L146" s="398"/>
      <c r="M146" s="397"/>
      <c r="N146" s="397"/>
      <c r="O146" s="398"/>
    </row>
    <row r="147" spans="1:15" s="52" customFormat="1" ht="13.5">
      <c r="B147" s="52" t="s">
        <v>68</v>
      </c>
      <c r="G147" s="52">
        <f t="shared" si="4"/>
        <v>0</v>
      </c>
      <c r="H147" s="52">
        <v>10</v>
      </c>
      <c r="I147" s="61">
        <f t="shared" si="5"/>
        <v>10</v>
      </c>
      <c r="J147" s="90">
        <f>Jan!I147+Feb!I147+Mar!I147+Apr!I147+May!I147+Jun!I147+July!I147</f>
        <v>57.05</v>
      </c>
      <c r="K147" s="82"/>
      <c r="L147" s="398"/>
      <c r="M147" s="397"/>
      <c r="N147" s="397"/>
      <c r="O147" s="398"/>
    </row>
    <row r="148" spans="1:15" s="52" customFormat="1" ht="13.5">
      <c r="I148" s="61"/>
      <c r="J148" s="90"/>
      <c r="K148" s="82"/>
      <c r="L148" s="398"/>
      <c r="M148" s="397"/>
      <c r="N148" s="397"/>
      <c r="O148" s="398"/>
    </row>
    <row r="149" spans="1:15" s="52" customFormat="1" ht="13.5">
      <c r="A149" s="58" t="s">
        <v>269</v>
      </c>
      <c r="B149" s="58">
        <f>SUM(G150:G151)</f>
        <v>0</v>
      </c>
      <c r="C149" s="58">
        <f>SUM(H150:H151)</f>
        <v>250</v>
      </c>
      <c r="D149" s="58">
        <f>C149-B149</f>
        <v>250</v>
      </c>
      <c r="I149" s="61"/>
      <c r="J149" s="90"/>
      <c r="K149" s="82"/>
      <c r="L149" s="398"/>
      <c r="M149" s="397"/>
      <c r="N149" s="397"/>
      <c r="O149" s="398"/>
    </row>
    <row r="150" spans="1:15" s="52" customFormat="1" ht="13.5">
      <c r="B150" s="52" t="s">
        <v>63</v>
      </c>
      <c r="G150" s="52">
        <f t="shared" si="4"/>
        <v>0</v>
      </c>
      <c r="H150" s="52">
        <v>150</v>
      </c>
      <c r="I150" s="61">
        <f t="shared" si="5"/>
        <v>150</v>
      </c>
      <c r="J150" s="90">
        <f>Jan!I150+Feb!I150+Mar!I150+Apr!I150+May!I150+Jun!I150+July!I150</f>
        <v>1000</v>
      </c>
      <c r="K150" s="82"/>
      <c r="L150" s="398"/>
      <c r="M150" s="397"/>
      <c r="N150" s="397"/>
      <c r="O150" s="398"/>
    </row>
    <row r="151" spans="1:15" s="52" customFormat="1" ht="13.5">
      <c r="B151" s="52" t="s">
        <v>64</v>
      </c>
      <c r="D151" s="52" t="s">
        <v>270</v>
      </c>
      <c r="G151" s="52">
        <f t="shared" si="4"/>
        <v>0</v>
      </c>
      <c r="H151" s="52">
        <v>100</v>
      </c>
      <c r="I151" s="61">
        <f t="shared" si="5"/>
        <v>100</v>
      </c>
      <c r="J151" s="90">
        <f>Jan!I151+Feb!I151+Mar!I151+Apr!I151+May!I151+Jun!I151+July!I151</f>
        <v>491.11</v>
      </c>
      <c r="K151" s="87"/>
      <c r="L151" s="398"/>
      <c r="M151" s="397"/>
      <c r="N151" s="397"/>
      <c r="O151" s="398"/>
    </row>
    <row r="152" spans="1:15" s="52" customFormat="1" ht="13.5">
      <c r="I152" s="61"/>
      <c r="J152" s="90"/>
      <c r="K152" s="87"/>
      <c r="L152" s="398"/>
      <c r="M152" s="397"/>
      <c r="N152" s="397"/>
      <c r="O152" s="398"/>
    </row>
    <row r="153" spans="1:15" ht="13.5">
      <c r="A153" s="52"/>
      <c r="B153" s="52"/>
      <c r="C153" s="52"/>
      <c r="D153" s="52"/>
      <c r="E153" s="52"/>
      <c r="F153" s="52"/>
      <c r="G153" s="52"/>
      <c r="H153" s="52"/>
      <c r="I153" s="61"/>
      <c r="J153" s="90"/>
      <c r="L153" s="398"/>
      <c r="M153" s="397"/>
      <c r="N153" s="397"/>
      <c r="O153" s="398"/>
    </row>
    <row r="154" spans="1:15" ht="13.5">
      <c r="A154" s="58" t="s">
        <v>459</v>
      </c>
      <c r="B154" s="52"/>
      <c r="C154" s="52"/>
      <c r="D154" s="52"/>
      <c r="E154" s="52"/>
      <c r="F154" s="52"/>
      <c r="G154" s="52"/>
      <c r="H154" s="52"/>
      <c r="I154" s="61"/>
      <c r="J154" s="90"/>
      <c r="L154" s="398"/>
      <c r="M154" s="397"/>
      <c r="N154" s="397"/>
      <c r="O154" s="398"/>
    </row>
    <row r="155" spans="1:15" ht="13.5">
      <c r="A155" s="52"/>
      <c r="B155" s="52">
        <f>SUM(G156:G170)</f>
        <v>0</v>
      </c>
      <c r="C155" s="52">
        <f>SUM(H156:H170)</f>
        <v>610</v>
      </c>
      <c r="D155" s="58">
        <f>C155-B155</f>
        <v>610</v>
      </c>
      <c r="E155" s="52"/>
      <c r="F155" s="52"/>
      <c r="G155" s="52"/>
      <c r="H155" s="52"/>
      <c r="I155" s="61"/>
      <c r="J155" s="90"/>
      <c r="L155" s="398"/>
      <c r="M155" s="397"/>
      <c r="N155" s="397"/>
      <c r="O155" s="398"/>
    </row>
    <row r="156" spans="1:15" ht="13.5">
      <c r="A156" s="58" t="s">
        <v>461</v>
      </c>
      <c r="B156" s="52"/>
      <c r="C156" s="52"/>
      <c r="D156" s="52"/>
      <c r="E156" s="52"/>
      <c r="F156" s="52"/>
      <c r="G156" s="52"/>
      <c r="H156" s="52"/>
      <c r="I156" s="61"/>
      <c r="J156" s="90"/>
      <c r="L156" s="398"/>
      <c r="M156" s="397"/>
      <c r="N156" s="397"/>
      <c r="O156" s="398"/>
    </row>
    <row r="157" spans="1:15" ht="14.25" thickBot="1">
      <c r="A157" s="52"/>
      <c r="B157" s="52" t="s">
        <v>267</v>
      </c>
      <c r="C157" s="52"/>
      <c r="D157" s="52"/>
      <c r="E157" s="52"/>
      <c r="F157" s="52"/>
      <c r="G157" s="52">
        <f t="shared" si="4"/>
        <v>0</v>
      </c>
      <c r="H157" s="52">
        <v>100</v>
      </c>
      <c r="I157" s="61">
        <f t="shared" ref="I157:I170" si="6">H157-G157</f>
        <v>100</v>
      </c>
      <c r="J157" s="90">
        <f>Jan!I157+Feb!I157+Mar!I157+Apr!I157+May!I157+Jun!I157+July!I157</f>
        <v>700</v>
      </c>
      <c r="L157" s="398"/>
      <c r="M157" s="397"/>
      <c r="N157" s="397"/>
      <c r="O157" s="398"/>
    </row>
    <row r="158" spans="1:15" ht="14.25" thickBot="1">
      <c r="A158" s="88">
        <f>SUM(G157:G161)</f>
        <v>0</v>
      </c>
      <c r="B158" s="52" t="s">
        <v>268</v>
      </c>
      <c r="C158" s="52"/>
      <c r="D158" s="52"/>
      <c r="E158" s="52"/>
      <c r="F158" s="52"/>
      <c r="G158" s="52">
        <f t="shared" si="4"/>
        <v>0</v>
      </c>
      <c r="H158" s="52">
        <v>100</v>
      </c>
      <c r="I158" s="61">
        <f t="shared" si="6"/>
        <v>100</v>
      </c>
      <c r="J158" s="90">
        <f>Jan!I158+Feb!I158+Mar!I158+Apr!I158+May!I158+Jun!I158+July!I158</f>
        <v>700</v>
      </c>
      <c r="L158" s="398"/>
      <c r="M158" s="397"/>
      <c r="N158" s="397"/>
      <c r="O158" s="398"/>
    </row>
    <row r="159" spans="1:15" ht="13.5">
      <c r="A159" s="52"/>
      <c r="B159" s="52" t="s">
        <v>61</v>
      </c>
      <c r="C159" s="52"/>
      <c r="D159" s="52"/>
      <c r="E159" s="52"/>
      <c r="F159" s="52"/>
      <c r="G159" s="52">
        <f t="shared" si="4"/>
        <v>0</v>
      </c>
      <c r="H159" s="52">
        <v>30</v>
      </c>
      <c r="I159" s="61">
        <f t="shared" si="6"/>
        <v>30</v>
      </c>
      <c r="J159" s="90">
        <f>Jan!I159+Feb!I159+Mar!I159+Apr!I159+May!I159+Jun!I159+July!I159</f>
        <v>210</v>
      </c>
      <c r="L159" s="398"/>
      <c r="M159" s="397"/>
      <c r="N159" s="397"/>
      <c r="O159" s="398"/>
    </row>
    <row r="160" spans="1:15" ht="13.5">
      <c r="A160" s="52"/>
      <c r="B160" s="52" t="s">
        <v>62</v>
      </c>
      <c r="C160" s="52"/>
      <c r="D160" s="52"/>
      <c r="E160" s="52"/>
      <c r="F160" s="52"/>
      <c r="G160" s="52">
        <f t="shared" si="4"/>
        <v>0</v>
      </c>
      <c r="H160" s="52">
        <v>50</v>
      </c>
      <c r="I160" s="61">
        <f t="shared" si="6"/>
        <v>50</v>
      </c>
      <c r="J160" s="90">
        <f>Jan!I160+Feb!I160+Mar!I160+Apr!I160+May!I160+Jun!I160+July!I160</f>
        <v>275</v>
      </c>
      <c r="L160" s="398"/>
      <c r="M160" s="397"/>
      <c r="N160" s="397"/>
      <c r="O160" s="398"/>
    </row>
    <row r="161" spans="1:15" ht="13.5">
      <c r="A161" s="52"/>
      <c r="B161" s="52" t="s">
        <v>486</v>
      </c>
      <c r="C161" s="52"/>
      <c r="D161" s="52"/>
      <c r="E161" s="52"/>
      <c r="F161" s="52"/>
      <c r="G161" s="52">
        <f t="shared" si="4"/>
        <v>0</v>
      </c>
      <c r="H161" s="52">
        <v>10</v>
      </c>
      <c r="I161" s="61">
        <f t="shared" si="6"/>
        <v>10</v>
      </c>
      <c r="J161" s="90">
        <f>Jan!I161+Feb!I161+Mar!I161+Apr!I161+May!I161+Jun!I161+July!I161</f>
        <v>70</v>
      </c>
      <c r="L161" s="398"/>
      <c r="M161" s="397"/>
      <c r="N161" s="397"/>
      <c r="O161" s="398"/>
    </row>
    <row r="162" spans="1:15" ht="13.5">
      <c r="A162" s="52"/>
      <c r="B162" s="52"/>
      <c r="C162" s="52"/>
      <c r="D162" s="52"/>
      <c r="E162" s="52"/>
      <c r="F162" s="52"/>
      <c r="G162" s="52"/>
      <c r="H162" s="52"/>
      <c r="I162" s="61"/>
      <c r="J162" s="90"/>
      <c r="L162" s="398"/>
      <c r="M162" s="397"/>
      <c r="N162" s="397"/>
      <c r="O162" s="398"/>
    </row>
    <row r="163" spans="1:15" ht="13.5">
      <c r="A163" s="58" t="s">
        <v>460</v>
      </c>
      <c r="B163" s="52"/>
      <c r="C163" s="52"/>
      <c r="D163" s="52"/>
      <c r="E163" s="52"/>
      <c r="F163" s="52"/>
      <c r="G163" s="52"/>
      <c r="H163" s="52"/>
      <c r="I163" s="61"/>
      <c r="J163" s="90"/>
      <c r="L163" s="398"/>
      <c r="M163" s="397"/>
      <c r="N163" s="397"/>
      <c r="O163" s="398"/>
    </row>
    <row r="164" spans="1:15" ht="14.25" thickBot="1">
      <c r="A164" s="52"/>
      <c r="B164" s="52" t="s">
        <v>456</v>
      </c>
      <c r="C164" s="52"/>
      <c r="D164" s="52"/>
      <c r="E164" s="52"/>
      <c r="F164" s="52"/>
      <c r="G164" s="52">
        <f t="shared" si="4"/>
        <v>0</v>
      </c>
      <c r="H164" s="52">
        <v>30</v>
      </c>
      <c r="I164" s="61">
        <f t="shared" si="6"/>
        <v>30</v>
      </c>
      <c r="J164" s="90">
        <f>Jan!I164+Feb!I164+Mar!I164+Apr!I164+May!I164+Jun!I164+July!I164</f>
        <v>176.82999999999998</v>
      </c>
      <c r="L164" s="398"/>
      <c r="M164" s="397"/>
      <c r="N164" s="397"/>
      <c r="O164" s="398"/>
    </row>
    <row r="165" spans="1:15" ht="14.25" thickBot="1">
      <c r="A165" s="88">
        <f>SUM(G164:G168)</f>
        <v>0</v>
      </c>
      <c r="B165" s="52" t="s">
        <v>457</v>
      </c>
      <c r="C165" s="52"/>
      <c r="D165" s="52"/>
      <c r="E165" s="52"/>
      <c r="F165" s="52"/>
      <c r="G165" s="52">
        <f t="shared" si="4"/>
        <v>0</v>
      </c>
      <c r="H165" s="52">
        <v>30</v>
      </c>
      <c r="I165" s="61">
        <f t="shared" si="6"/>
        <v>30</v>
      </c>
      <c r="J165" s="90">
        <f>Jan!I165+Feb!I165+Mar!I165+Apr!I165+May!I165+Jun!I165+July!I165</f>
        <v>200</v>
      </c>
      <c r="L165" s="398"/>
      <c r="M165" s="397"/>
      <c r="N165" s="397"/>
      <c r="O165" s="398"/>
    </row>
    <row r="166" spans="1:15" ht="13.5">
      <c r="A166" s="52"/>
      <c r="B166" s="52" t="s">
        <v>462</v>
      </c>
      <c r="C166" s="52"/>
      <c r="D166" s="52"/>
      <c r="E166" s="52"/>
      <c r="F166" s="52"/>
      <c r="G166" s="52">
        <f t="shared" si="4"/>
        <v>0</v>
      </c>
      <c r="H166" s="52">
        <v>30</v>
      </c>
      <c r="I166" s="61">
        <f t="shared" si="6"/>
        <v>30</v>
      </c>
      <c r="J166" s="90">
        <f>Jan!I166+Feb!I166+Mar!I166+Apr!I166+May!I166+Jun!I166+July!I166</f>
        <v>210</v>
      </c>
      <c r="L166" s="398"/>
      <c r="M166" s="397"/>
      <c r="N166" s="397"/>
      <c r="O166" s="398"/>
    </row>
    <row r="167" spans="1:15" ht="13.5">
      <c r="A167" s="52"/>
      <c r="B167" s="52" t="s">
        <v>458</v>
      </c>
      <c r="C167" s="52"/>
      <c r="D167" s="52"/>
      <c r="E167" s="52"/>
      <c r="F167" s="52"/>
      <c r="G167" s="52">
        <f t="shared" si="4"/>
        <v>0</v>
      </c>
      <c r="H167" s="52">
        <v>30</v>
      </c>
      <c r="I167" s="61">
        <f t="shared" si="6"/>
        <v>30</v>
      </c>
      <c r="J167" s="90">
        <f>Jan!I167+Feb!I167+Mar!I167+Apr!I167+May!I167+Jun!I167+July!I167</f>
        <v>210</v>
      </c>
      <c r="L167" s="398"/>
      <c r="M167" s="397"/>
      <c r="N167" s="397"/>
      <c r="O167" s="398"/>
    </row>
    <row r="168" spans="1:15" ht="13.5">
      <c r="A168" s="52"/>
      <c r="B168" s="52" t="s">
        <v>485</v>
      </c>
      <c r="C168" s="52"/>
      <c r="D168" s="52"/>
      <c r="E168" s="52"/>
      <c r="F168" s="52"/>
      <c r="G168" s="52">
        <f t="shared" si="4"/>
        <v>0</v>
      </c>
      <c r="H168" s="52">
        <v>100</v>
      </c>
      <c r="I168" s="61">
        <f t="shared" si="6"/>
        <v>100</v>
      </c>
      <c r="J168" s="90">
        <f>Jan!I168+Feb!I168+Mar!I168+Apr!I168+May!I168+Jun!I168+July!I168</f>
        <v>700</v>
      </c>
      <c r="L168" s="398"/>
      <c r="M168" s="397"/>
      <c r="N168" s="397"/>
      <c r="O168" s="398"/>
    </row>
    <row r="169" spans="1:15" ht="13.5">
      <c r="A169" s="52"/>
      <c r="B169" s="52"/>
      <c r="C169" s="52"/>
      <c r="D169" s="52"/>
      <c r="E169" s="52"/>
      <c r="F169" s="52"/>
      <c r="G169" s="52"/>
      <c r="H169" s="52"/>
      <c r="I169" s="61"/>
      <c r="J169" s="90"/>
      <c r="L169" s="398"/>
      <c r="M169" s="397"/>
      <c r="N169" s="397"/>
      <c r="O169" s="398"/>
    </row>
    <row r="170" spans="1:15" ht="13.5">
      <c r="A170" s="58" t="s">
        <v>272</v>
      </c>
      <c r="B170" s="52"/>
      <c r="C170" s="52"/>
      <c r="D170" s="52"/>
      <c r="E170" s="52"/>
      <c r="F170" s="52"/>
      <c r="G170" s="52">
        <f t="shared" si="4"/>
        <v>0</v>
      </c>
      <c r="H170" s="52">
        <v>100</v>
      </c>
      <c r="I170" s="61">
        <f t="shared" si="6"/>
        <v>100</v>
      </c>
      <c r="J170" s="90">
        <f>Jan!I170+Feb!I170+Mar!I170+Apr!I170+May!I170+Jun!I170+July!I170</f>
        <v>700</v>
      </c>
      <c r="L170" s="398"/>
      <c r="M170" s="397"/>
      <c r="N170" s="397"/>
      <c r="O170" s="398"/>
    </row>
  </sheetData>
  <sheetProtection selectLockedCells="1" selectUnlockedCells="1"/>
  <pageMargins left="0.75" right="0.75" top="1" bottom="1" header="0.51180555555555551" footer="0.51180555555555551"/>
  <pageSetup firstPageNumber="0" orientation="portrait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0"/>
  <sheetViews>
    <sheetView tabSelected="1" topLeftCell="B24" zoomScale="84" zoomScaleNormal="84" workbookViewId="0">
      <selection activeCell="Q57" sqref="Q57"/>
    </sheetView>
  </sheetViews>
  <sheetFormatPr defaultColWidth="9" defaultRowHeight="15.75"/>
  <cols>
    <col min="1" max="1" width="24.42578125" style="74" customWidth="1"/>
    <col min="2" max="2" width="18" style="65" customWidth="1"/>
    <col min="3" max="3" width="17.140625" style="65" customWidth="1"/>
    <col min="4" max="5" width="16.5703125" style="65" customWidth="1"/>
    <col min="6" max="6" width="15.28515625" style="65" customWidth="1"/>
    <col min="7" max="7" width="13.5703125" style="65" customWidth="1"/>
    <col min="8" max="8" width="13.85546875" style="65" customWidth="1"/>
    <col min="9" max="10" width="14" style="65" customWidth="1"/>
    <col min="11" max="11" width="2.28515625" style="80" customWidth="1"/>
    <col min="12" max="12" width="11.5703125" style="65" customWidth="1"/>
    <col min="13" max="13" width="11.85546875" style="65" customWidth="1"/>
    <col min="14" max="15" width="11.5703125" style="65" customWidth="1"/>
    <col min="16" max="16" width="1.7109375" style="65" customWidth="1"/>
    <col min="17" max="17" width="11.7109375" style="65" customWidth="1"/>
    <col min="18" max="18" width="11.5703125" style="65" customWidth="1"/>
    <col min="19" max="16384" width="9" style="65"/>
  </cols>
  <sheetData>
    <row r="1" spans="1:17">
      <c r="A1" s="71" t="s">
        <v>182</v>
      </c>
      <c r="B1" s="72">
        <v>2015</v>
      </c>
      <c r="C1" s="72"/>
      <c r="L1" s="73" t="s">
        <v>492</v>
      </c>
    </row>
    <row r="2" spans="1:17">
      <c r="A2" s="71" t="s">
        <v>171</v>
      </c>
      <c r="B2" s="73" t="s">
        <v>13</v>
      </c>
      <c r="C2" s="73"/>
      <c r="L2" s="65" t="s">
        <v>1131</v>
      </c>
      <c r="M2" s="73"/>
    </row>
    <row r="3" spans="1:17">
      <c r="L3" s="65" t="s">
        <v>1154</v>
      </c>
      <c r="M3" s="73"/>
      <c r="O3" s="75"/>
    </row>
    <row r="4" spans="1:17">
      <c r="A4" s="71" t="s">
        <v>4</v>
      </c>
      <c r="B4" s="76">
        <f>SUM(G5:G8)</f>
        <v>7904.18</v>
      </c>
      <c r="C4" s="76"/>
      <c r="F4" s="93"/>
      <c r="G4" s="65" t="s">
        <v>31</v>
      </c>
      <c r="L4" s="77" t="s">
        <v>1155</v>
      </c>
      <c r="N4"/>
      <c r="O4"/>
      <c r="P4"/>
      <c r="Q4"/>
    </row>
    <row r="5" spans="1:17" ht="12.75">
      <c r="A5" s="65" t="s">
        <v>24</v>
      </c>
      <c r="B5" s="121"/>
      <c r="C5" s="121"/>
      <c r="F5" s="93"/>
      <c r="G5" s="121">
        <f>SUM(B5:E5)</f>
        <v>0</v>
      </c>
      <c r="H5" s="77"/>
      <c r="I5" s="77"/>
      <c r="J5" s="77"/>
      <c r="K5" s="81"/>
      <c r="L5" s="77" t="s">
        <v>1156</v>
      </c>
      <c r="N5"/>
      <c r="O5"/>
      <c r="P5"/>
      <c r="Q5"/>
    </row>
    <row r="6" spans="1:17" ht="12.75">
      <c r="A6" s="65" t="s">
        <v>230</v>
      </c>
      <c r="C6" s="75"/>
      <c r="F6" s="93"/>
      <c r="G6" s="121">
        <f>SUM(B6:E6)</f>
        <v>0</v>
      </c>
      <c r="H6" s="77"/>
      <c r="I6" s="77"/>
      <c r="J6" s="77"/>
      <c r="K6" s="81"/>
      <c r="L6" s="269" t="s">
        <v>1157</v>
      </c>
      <c r="N6"/>
      <c r="O6"/>
      <c r="P6"/>
      <c r="Q6"/>
    </row>
    <row r="7" spans="1:17" ht="12.75">
      <c r="A7" s="65" t="s">
        <v>964</v>
      </c>
      <c r="B7" s="65">
        <v>3919.9</v>
      </c>
      <c r="C7" s="65">
        <v>3984.28</v>
      </c>
      <c r="F7" s="93"/>
      <c r="G7" s="121">
        <f>SUM(B7:E7)</f>
        <v>7904.18</v>
      </c>
      <c r="H7" s="77"/>
      <c r="I7" s="77"/>
      <c r="J7" s="77"/>
      <c r="K7" s="81"/>
      <c r="L7" s="77"/>
      <c r="N7"/>
      <c r="O7"/>
      <c r="P7"/>
      <c r="Q7"/>
    </row>
    <row r="8" spans="1:17">
      <c r="F8" s="93"/>
      <c r="G8" s="121"/>
      <c r="H8" s="77"/>
      <c r="I8" s="77"/>
      <c r="J8" s="77"/>
      <c r="K8" s="81"/>
      <c r="N8"/>
      <c r="O8"/>
      <c r="P8"/>
      <c r="Q8"/>
    </row>
    <row r="9" spans="1:17" ht="13.5">
      <c r="A9" s="58"/>
      <c r="B9" s="62"/>
      <c r="C9" s="52"/>
      <c r="D9" s="52"/>
      <c r="E9" s="52"/>
      <c r="F9" s="261"/>
      <c r="G9" s="55"/>
      <c r="H9" s="52"/>
      <c r="I9" s="61" t="s">
        <v>34</v>
      </c>
      <c r="J9" s="90" t="s">
        <v>280</v>
      </c>
      <c r="M9" s="52"/>
      <c r="N9"/>
      <c r="O9"/>
      <c r="P9"/>
      <c r="Q9"/>
    </row>
    <row r="10" spans="1:17" s="52" customFormat="1" ht="13.5">
      <c r="A10" s="58"/>
      <c r="B10" s="62"/>
      <c r="F10" s="261"/>
      <c r="G10" s="55" t="s">
        <v>234</v>
      </c>
      <c r="H10" s="52" t="s">
        <v>38</v>
      </c>
      <c r="I10" s="63" t="s">
        <v>37</v>
      </c>
      <c r="J10" s="91" t="s">
        <v>37</v>
      </c>
      <c r="K10" s="82"/>
    </row>
    <row r="11" spans="1:17" s="52" customFormat="1" ht="13.5">
      <c r="A11" s="58" t="s">
        <v>275</v>
      </c>
      <c r="B11" s="262">
        <f>G11</f>
        <v>1397.51</v>
      </c>
      <c r="D11" s="52" t="s">
        <v>277</v>
      </c>
      <c r="E11" s="52">
        <f>G11/B4</f>
        <v>0.17680644924584207</v>
      </c>
      <c r="F11" s="261"/>
      <c r="G11" s="53">
        <f>Tithe!D13</f>
        <v>1397.51</v>
      </c>
      <c r="H11" s="52">
        <v>1200</v>
      </c>
      <c r="I11" s="64">
        <f>H11-G11</f>
        <v>-197.51</v>
      </c>
      <c r="J11" s="92">
        <f>Jan!I11+Feb!I11+Mar!I11+Apr!I11+May!I11+Jun!I11+July!I11+Aug!I11</f>
        <v>2952.49</v>
      </c>
      <c r="K11" s="83"/>
    </row>
    <row r="12" spans="1:17" s="52" customFormat="1" ht="13.5">
      <c r="I12" s="64"/>
      <c r="J12" s="92"/>
      <c r="K12" s="84"/>
      <c r="L12" s="269" t="s">
        <v>493</v>
      </c>
    </row>
    <row r="13" spans="1:17" s="52" customFormat="1" ht="13.5">
      <c r="A13" s="58" t="s">
        <v>465</v>
      </c>
      <c r="B13" s="262">
        <f>SUM(G14:G20)</f>
        <v>0</v>
      </c>
      <c r="F13" s="261"/>
      <c r="G13" s="55"/>
      <c r="I13" s="64"/>
      <c r="J13" s="92"/>
      <c r="K13" s="84"/>
    </row>
    <row r="14" spans="1:17" s="52" customFormat="1" ht="13.5">
      <c r="B14" s="58" t="s">
        <v>385</v>
      </c>
      <c r="E14" s="52" t="s">
        <v>466</v>
      </c>
      <c r="F14" s="261"/>
      <c r="G14" s="53"/>
      <c r="H14" s="52">
        <v>800</v>
      </c>
      <c r="I14" s="64">
        <f t="shared" ref="I14:I20" si="0">H14-G14</f>
        <v>800</v>
      </c>
      <c r="J14" s="92">
        <f>Jan!I14+Feb!I14+Mar!I14+Apr!I14+May!I14+Jun!I14+July!I14+Aug!I14</f>
        <v>1805</v>
      </c>
      <c r="K14" s="84"/>
    </row>
    <row r="15" spans="1:17" s="52" customFormat="1" ht="13.5">
      <c r="B15" s="58" t="s">
        <v>261</v>
      </c>
      <c r="E15" s="52" t="s">
        <v>466</v>
      </c>
      <c r="F15" s="261"/>
      <c r="G15" s="53"/>
      <c r="H15" s="52">
        <v>200</v>
      </c>
      <c r="I15" s="64">
        <f t="shared" si="0"/>
        <v>200</v>
      </c>
      <c r="J15" s="92">
        <f>Jan!I15+Feb!I15+Mar!I15+Apr!I15+May!I15+Jun!I15+July!I15+Aug!I15</f>
        <v>1600</v>
      </c>
      <c r="K15" s="84"/>
    </row>
    <row r="16" spans="1:17" s="52" customFormat="1" ht="13.5">
      <c r="B16" s="58" t="s">
        <v>292</v>
      </c>
      <c r="E16" s="52" t="s">
        <v>466</v>
      </c>
      <c r="F16" s="261"/>
      <c r="G16" s="53"/>
      <c r="H16" s="52">
        <v>300</v>
      </c>
      <c r="I16" s="64">
        <f t="shared" si="0"/>
        <v>300</v>
      </c>
      <c r="J16" s="92">
        <f>Jan!I16+Feb!I16+Mar!I16+Apr!I16+May!I16+Jun!I16+July!I16+Aug!I16</f>
        <v>2400</v>
      </c>
      <c r="K16" s="84"/>
    </row>
    <row r="17" spans="1:12" s="52" customFormat="1" ht="13.5">
      <c r="B17" s="58" t="s">
        <v>464</v>
      </c>
      <c r="E17" s="52" t="s">
        <v>466</v>
      </c>
      <c r="F17" s="261"/>
      <c r="G17" s="53"/>
      <c r="H17" s="52">
        <v>200</v>
      </c>
      <c r="I17" s="64">
        <f t="shared" si="0"/>
        <v>200</v>
      </c>
      <c r="J17" s="92">
        <f>Jan!I17+Feb!I17+Mar!I17+Apr!I17+May!I17+Jun!I17+July!I17+Aug!I17</f>
        <v>1600</v>
      </c>
      <c r="K17" s="84"/>
    </row>
    <row r="18" spans="1:12" s="52" customFormat="1" ht="13.5">
      <c r="B18" s="58" t="s">
        <v>263</v>
      </c>
      <c r="E18" s="52" t="s">
        <v>467</v>
      </c>
      <c r="F18" s="261"/>
      <c r="G18" s="53"/>
      <c r="H18" s="52">
        <v>50</v>
      </c>
      <c r="I18" s="64">
        <f t="shared" si="0"/>
        <v>50</v>
      </c>
      <c r="J18" s="92">
        <f>Jan!I18+Feb!I18+Mar!I18+Apr!I18+May!I18+Jun!I18+July!I18+Aug!I18</f>
        <v>400</v>
      </c>
      <c r="K18" s="84"/>
    </row>
    <row r="19" spans="1:12" s="52" customFormat="1" ht="13.5">
      <c r="B19" s="58" t="s">
        <v>262</v>
      </c>
      <c r="E19" s="52" t="s">
        <v>467</v>
      </c>
      <c r="F19" s="261"/>
      <c r="G19" s="53"/>
      <c r="H19" s="52">
        <v>200</v>
      </c>
      <c r="I19" s="64">
        <f t="shared" si="0"/>
        <v>200</v>
      </c>
      <c r="J19" s="92">
        <f>Jan!I19+Feb!I19+Mar!I19+Apr!I19+May!I19+Jun!I19+July!I19+Aug!I19</f>
        <v>1600</v>
      </c>
      <c r="K19" s="84"/>
    </row>
    <row r="20" spans="1:12" s="52" customFormat="1" ht="13.5">
      <c r="B20" s="58" t="s">
        <v>293</v>
      </c>
      <c r="E20" s="52" t="s">
        <v>467</v>
      </c>
      <c r="G20" s="53"/>
      <c r="H20" s="52">
        <v>300</v>
      </c>
      <c r="I20" s="64">
        <f t="shared" si="0"/>
        <v>300</v>
      </c>
      <c r="J20" s="92">
        <f>Jan!I20+Feb!I20+Mar!I20+Apr!I20+May!I20+Jun!I20+July!I20+Aug!I20</f>
        <v>2400</v>
      </c>
      <c r="K20" s="84"/>
    </row>
    <row r="21" spans="1:12" s="52" customFormat="1" ht="13.5">
      <c r="A21" s="58"/>
      <c r="F21" s="261"/>
      <c r="G21" s="53"/>
      <c r="I21" s="64"/>
      <c r="J21" s="92"/>
      <c r="K21" s="84"/>
      <c r="L21" s="58" t="s">
        <v>494</v>
      </c>
    </row>
    <row r="22" spans="1:12" s="52" customFormat="1" ht="13.5">
      <c r="A22" s="58" t="s">
        <v>278</v>
      </c>
      <c r="B22" s="263">
        <f>G22</f>
        <v>4000</v>
      </c>
      <c r="F22" s="261"/>
      <c r="G22" s="53">
        <v>4000</v>
      </c>
      <c r="H22" s="52">
        <v>700</v>
      </c>
      <c r="I22" s="64">
        <f>H22-G22</f>
        <v>-3300</v>
      </c>
      <c r="J22" s="92">
        <f>Jan!I22+Feb!I22+Mar!I22+Apr!I22+May!I22+Jun!I22+July!I22+Aug!I22</f>
        <v>1600</v>
      </c>
      <c r="K22" s="84"/>
      <c r="L22" s="52" t="s">
        <v>1133</v>
      </c>
    </row>
    <row r="23" spans="1:12" s="52" customFormat="1" ht="13.5">
      <c r="A23" s="58" t="s">
        <v>416</v>
      </c>
      <c r="B23" s="62" t="s">
        <v>415</v>
      </c>
      <c r="E23" s="52" t="s">
        <v>467</v>
      </c>
      <c r="F23" s="261"/>
      <c r="G23" s="53"/>
      <c r="I23" s="64"/>
      <c r="J23" s="92"/>
      <c r="K23" s="84"/>
    </row>
    <row r="24" spans="1:12" s="52" customFormat="1" ht="13.5">
      <c r="A24" s="58" t="s">
        <v>279</v>
      </c>
      <c r="B24" s="262">
        <f>SUM(G25:G26)</f>
        <v>0</v>
      </c>
      <c r="F24" s="261"/>
      <c r="G24" s="53"/>
      <c r="I24" s="64"/>
      <c r="J24" s="92"/>
      <c r="K24" s="84"/>
    </row>
    <row r="25" spans="1:12" s="52" customFormat="1" ht="13.5">
      <c r="B25" s="58" t="s">
        <v>255</v>
      </c>
      <c r="E25" s="52" t="s">
        <v>467</v>
      </c>
      <c r="F25" s="261"/>
      <c r="G25" s="53">
        <v>0</v>
      </c>
      <c r="H25" s="52">
        <v>500</v>
      </c>
      <c r="I25" s="64">
        <f>H25-G25</f>
        <v>500</v>
      </c>
      <c r="J25" s="92">
        <f>Jan!I25+Feb!I25+Mar!I25+Apr!I25+May!I25+Jun!I25+July!I25+Aug!I25</f>
        <v>4000</v>
      </c>
      <c r="K25" s="84"/>
    </row>
    <row r="26" spans="1:12" s="52" customFormat="1" ht="13.5">
      <c r="B26" s="58" t="s">
        <v>265</v>
      </c>
      <c r="E26" s="52" t="s">
        <v>466</v>
      </c>
      <c r="F26" s="261"/>
      <c r="G26" s="53">
        <v>0</v>
      </c>
      <c r="H26" s="52">
        <v>300</v>
      </c>
      <c r="I26" s="64">
        <f>H26-G26</f>
        <v>300</v>
      </c>
      <c r="J26" s="95">
        <f>Jan!I26+Feb!I26+Mar!I26+Apr!I26+May!I26+Jun!I26+July!I26+Aug!I26</f>
        <v>2400</v>
      </c>
      <c r="K26" s="84"/>
    </row>
    <row r="27" spans="1:12" s="52" customFormat="1" ht="13.5">
      <c r="A27" s="58"/>
      <c r="F27" s="261"/>
      <c r="G27" s="66"/>
      <c r="H27" s="66"/>
      <c r="I27" s="68"/>
      <c r="J27" s="79"/>
      <c r="K27" s="79"/>
    </row>
    <row r="28" spans="1:12" s="52" customFormat="1" ht="14.25" thickBot="1">
      <c r="A28" s="58"/>
      <c r="B28" s="58"/>
      <c r="F28" s="261"/>
      <c r="G28" s="67">
        <f>SUM(G14:G26)</f>
        <v>4000</v>
      </c>
      <c r="H28" s="67">
        <f>SUM(H11:H26)</f>
        <v>4750</v>
      </c>
      <c r="I28" s="67">
        <f>SUM(I11:I26)</f>
        <v>-647.51</v>
      </c>
      <c r="J28" s="67">
        <f>SUM(J11:J26)</f>
        <v>22757.489999999998</v>
      </c>
      <c r="K28" s="85"/>
    </row>
    <row r="29" spans="1:12" s="52" customFormat="1" ht="15" thickTop="1" thickBot="1">
      <c r="H29" s="56"/>
      <c r="I29" s="56"/>
      <c r="J29" s="56"/>
      <c r="K29" s="85"/>
      <c r="L29" s="58" t="s">
        <v>495</v>
      </c>
    </row>
    <row r="30" spans="1:12" s="52" customFormat="1" ht="14.25" thickBot="1">
      <c r="A30" s="58" t="s">
        <v>283</v>
      </c>
      <c r="B30" s="58"/>
      <c r="F30" s="261"/>
      <c r="G30" s="88"/>
      <c r="H30" s="56"/>
      <c r="I30" s="56"/>
      <c r="J30" s="56"/>
      <c r="K30" s="85"/>
    </row>
    <row r="31" spans="1:12" s="52" customFormat="1" ht="12.75" customHeight="1">
      <c r="A31" s="99" t="s">
        <v>276</v>
      </c>
      <c r="B31" s="58"/>
      <c r="F31" s="261"/>
      <c r="G31" s="266">
        <f>B4-G11-G28+G30</f>
        <v>2506.67</v>
      </c>
      <c r="H31" s="56"/>
      <c r="I31" s="56"/>
      <c r="J31" s="56"/>
      <c r="K31" s="85"/>
      <c r="L31" s="56"/>
    </row>
    <row r="32" spans="1:12" s="52" customFormat="1" ht="13.5">
      <c r="A32" s="52" t="s">
        <v>478</v>
      </c>
      <c r="B32" s="99"/>
      <c r="C32" s="54"/>
      <c r="D32" s="54"/>
      <c r="E32" s="54"/>
      <c r="F32" s="265"/>
      <c r="G32" s="267">
        <f>G46</f>
        <v>6466.67</v>
      </c>
      <c r="H32" s="56"/>
      <c r="I32" s="56"/>
      <c r="J32" s="56"/>
      <c r="K32" s="85"/>
      <c r="L32" s="56"/>
    </row>
    <row r="33" spans="1:18" s="52" customFormat="1" ht="13.5">
      <c r="A33" s="58" t="s">
        <v>558</v>
      </c>
      <c r="B33" s="58"/>
      <c r="F33" s="261"/>
      <c r="G33" s="78">
        <f>G31-G32-M42-N42-25</f>
        <v>-3985</v>
      </c>
      <c r="H33" s="56"/>
      <c r="I33" s="56"/>
      <c r="J33" s="56"/>
      <c r="K33" s="85"/>
      <c r="L33" s="56"/>
    </row>
    <row r="34" spans="1:18" s="52" customFormat="1" ht="13.5">
      <c r="H34" s="56"/>
      <c r="I34" s="56"/>
      <c r="J34" s="56"/>
      <c r="K34" s="85"/>
      <c r="L34" s="56"/>
    </row>
    <row r="35" spans="1:18" s="52" customFormat="1" ht="13.5">
      <c r="A35" s="58" t="s">
        <v>469</v>
      </c>
      <c r="B35" s="58"/>
      <c r="E35" s="52">
        <f>B47</f>
        <v>-237.07999999999902</v>
      </c>
      <c r="F35" s="261"/>
      <c r="G35" s="128"/>
      <c r="H35" s="56"/>
      <c r="I35" s="56"/>
      <c r="J35" s="56"/>
      <c r="K35" s="85"/>
      <c r="L35" s="56"/>
    </row>
    <row r="36" spans="1:18" s="52" customFormat="1" ht="13.5">
      <c r="A36" s="58" t="s">
        <v>433</v>
      </c>
      <c r="B36" s="58"/>
      <c r="E36" s="52">
        <f>B76</f>
        <v>6703.75</v>
      </c>
      <c r="F36" s="261"/>
      <c r="G36" s="78"/>
      <c r="H36" s="56"/>
      <c r="I36" s="56"/>
      <c r="J36" s="56"/>
      <c r="K36" s="85"/>
      <c r="L36" s="56"/>
    </row>
    <row r="37" spans="1:18" s="52" customFormat="1" ht="13.5">
      <c r="A37" s="58"/>
      <c r="B37" s="58" t="s">
        <v>470</v>
      </c>
      <c r="D37" s="52">
        <f>B101+B110</f>
        <v>306.26</v>
      </c>
      <c r="F37" s="261"/>
      <c r="G37" s="78"/>
      <c r="H37" s="56"/>
      <c r="I37" s="56"/>
      <c r="J37" s="56"/>
      <c r="K37" s="85"/>
      <c r="L37" s="56"/>
    </row>
    <row r="38" spans="1:18" s="52" customFormat="1" ht="14.25" thickBot="1">
      <c r="A38" s="58"/>
      <c r="B38" s="58" t="s">
        <v>471</v>
      </c>
      <c r="D38" s="52">
        <f>B90</f>
        <v>110.74000000000001</v>
      </c>
      <c r="F38" s="261"/>
      <c r="G38" s="78"/>
      <c r="H38" s="56"/>
      <c r="I38" s="56"/>
      <c r="J38" s="56"/>
      <c r="K38" s="85"/>
      <c r="L38" s="56"/>
    </row>
    <row r="39" spans="1:18" s="52" customFormat="1" ht="14.25" thickBot="1">
      <c r="A39" s="58"/>
      <c r="B39" s="58" t="s">
        <v>472</v>
      </c>
      <c r="D39" s="52">
        <f>B96</f>
        <v>0</v>
      </c>
      <c r="F39" s="261"/>
      <c r="G39" s="89"/>
      <c r="H39" s="56"/>
      <c r="I39" s="56"/>
      <c r="J39" s="56"/>
      <c r="K39" s="85"/>
      <c r="L39" s="56"/>
    </row>
    <row r="40" spans="1:18" s="52" customFormat="1" ht="13.5">
      <c r="A40" s="58"/>
      <c r="B40" s="58" t="s">
        <v>473</v>
      </c>
      <c r="D40" s="52">
        <f>B115</f>
        <v>71.680000000000007</v>
      </c>
      <c r="F40" s="261"/>
      <c r="G40" s="98"/>
      <c r="H40" s="56"/>
      <c r="I40" s="56"/>
      <c r="J40" s="56"/>
      <c r="K40" s="85"/>
      <c r="L40" s="56"/>
      <c r="M40" s="52" t="s">
        <v>1130</v>
      </c>
    </row>
    <row r="41" spans="1:18" s="52" customFormat="1" ht="13.5">
      <c r="A41" s="99"/>
      <c r="B41" s="58" t="s">
        <v>474</v>
      </c>
      <c r="D41" s="52">
        <f>B120</f>
        <v>1044.8</v>
      </c>
      <c r="F41" s="261"/>
      <c r="G41" s="98"/>
      <c r="H41" s="56"/>
      <c r="I41" s="56"/>
      <c r="J41" s="56"/>
      <c r="K41" s="85"/>
      <c r="L41" s="56"/>
      <c r="M41" s="52">
        <f>M46+M44+M43+M42</f>
        <v>1395.0500000000002</v>
      </c>
      <c r="N41" s="52">
        <f>N46+N44+N43+N42</f>
        <v>1599.7</v>
      </c>
      <c r="O41" s="52">
        <f>O46+O44+O43+O42</f>
        <v>795.72</v>
      </c>
      <c r="Q41" s="52" t="s">
        <v>589</v>
      </c>
      <c r="R41" s="52">
        <v>106.76</v>
      </c>
    </row>
    <row r="42" spans="1:18" s="52" customFormat="1" ht="13.5">
      <c r="B42" s="58" t="s">
        <v>475</v>
      </c>
      <c r="C42" s="59"/>
      <c r="D42" s="59">
        <f>B138</f>
        <v>0</v>
      </c>
      <c r="F42" s="261"/>
      <c r="G42" s="98"/>
      <c r="H42" s="56"/>
      <c r="I42" s="56"/>
      <c r="J42" s="56"/>
      <c r="K42" s="85"/>
      <c r="L42" s="52" t="s">
        <v>324</v>
      </c>
      <c r="Q42" s="52" t="s">
        <v>805</v>
      </c>
      <c r="R42" s="52">
        <f>N41-R41</f>
        <v>1492.94</v>
      </c>
    </row>
    <row r="43" spans="1:18" s="52" customFormat="1" ht="13.5">
      <c r="B43" s="58" t="s">
        <v>476</v>
      </c>
      <c r="D43" s="52">
        <f>B125+B141+B146+B149</f>
        <v>893.56999999999994</v>
      </c>
      <c r="F43" s="261"/>
      <c r="I43" s="61"/>
      <c r="J43" s="90" t="s">
        <v>280</v>
      </c>
      <c r="K43" s="82"/>
      <c r="L43" s="52" t="s">
        <v>1129</v>
      </c>
    </row>
    <row r="44" spans="1:18" s="52" customFormat="1" ht="13.5">
      <c r="A44" s="58" t="s">
        <v>477</v>
      </c>
      <c r="E44" s="52">
        <f>B155</f>
        <v>0</v>
      </c>
      <c r="F44" s="261"/>
      <c r="G44" s="55"/>
      <c r="I44" s="61" t="s">
        <v>34</v>
      </c>
      <c r="J44" s="90" t="s">
        <v>281</v>
      </c>
      <c r="K44" s="82"/>
      <c r="L44" s="52" t="s">
        <v>1064</v>
      </c>
      <c r="M44" s="52">
        <v>100</v>
      </c>
    </row>
    <row r="45" spans="1:18" s="52" customFormat="1" ht="13.5">
      <c r="A45" s="58"/>
      <c r="F45" s="261"/>
      <c r="G45" s="55" t="s">
        <v>234</v>
      </c>
      <c r="H45" s="52" t="s">
        <v>38</v>
      </c>
      <c r="I45" s="63" t="s">
        <v>37</v>
      </c>
      <c r="J45" s="91" t="s">
        <v>282</v>
      </c>
      <c r="K45" s="83"/>
      <c r="L45" s="391" t="s">
        <v>235</v>
      </c>
      <c r="M45" s="392" t="s">
        <v>497</v>
      </c>
      <c r="N45" s="392" t="s">
        <v>805</v>
      </c>
      <c r="O45" s="392" t="s">
        <v>806</v>
      </c>
    </row>
    <row r="46" spans="1:18" s="52" customFormat="1" ht="14.25" thickBot="1">
      <c r="D46"/>
      <c r="E46" s="264"/>
      <c r="F46" s="261"/>
      <c r="G46" s="94">
        <f>SUM(G48:G170)</f>
        <v>6466.67</v>
      </c>
      <c r="H46" s="94">
        <f>SUM(H48:H170)</f>
        <v>14050</v>
      </c>
      <c r="I46" s="94">
        <f>H46-G46</f>
        <v>7583.33</v>
      </c>
      <c r="J46" s="94">
        <f>SUM(J48:J170)</f>
        <v>-58770.24000000002</v>
      </c>
      <c r="K46" s="86"/>
      <c r="L46" s="393">
        <f>SUM(L49:L170)</f>
        <v>2776.2000000000016</v>
      </c>
      <c r="M46" s="394">
        <f>SUM(M49:M170)</f>
        <v>1295.0500000000002</v>
      </c>
      <c r="N46" s="395">
        <f>SUM(N49:N170)</f>
        <v>1599.7</v>
      </c>
      <c r="O46" s="395">
        <f>SUM(O49:O170)</f>
        <v>795.72</v>
      </c>
    </row>
    <row r="47" spans="1:18" s="52" customFormat="1" ht="14.25" thickBot="1">
      <c r="A47" s="99" t="s">
        <v>434</v>
      </c>
      <c r="B47" s="259">
        <f>B48+B61+B65</f>
        <v>-237.07999999999902</v>
      </c>
      <c r="C47" s="259">
        <f>C48+C61+C65</f>
        <v>1344</v>
      </c>
      <c r="D47" s="88">
        <f>D48+D61+D65</f>
        <v>1581.08</v>
      </c>
      <c r="I47" s="61"/>
      <c r="J47" s="90"/>
      <c r="K47" s="82"/>
      <c r="L47" s="396"/>
      <c r="M47" s="397"/>
      <c r="N47" s="397"/>
      <c r="O47" s="398"/>
    </row>
    <row r="48" spans="1:18" s="52" customFormat="1" ht="13.5">
      <c r="A48" s="58" t="s">
        <v>419</v>
      </c>
      <c r="B48" s="58">
        <f>SUM(G49:G57)</f>
        <v>-650.36999999999898</v>
      </c>
      <c r="C48" s="58">
        <f>SUM(H49:H57)</f>
        <v>864</v>
      </c>
      <c r="D48" s="58">
        <f>SUM(I49:I57)</f>
        <v>1514.37</v>
      </c>
      <c r="I48" s="61"/>
      <c r="J48" s="90"/>
      <c r="K48" s="82"/>
      <c r="L48" s="396"/>
      <c r="M48" s="397"/>
      <c r="N48" s="397"/>
      <c r="O48" s="398"/>
    </row>
    <row r="49" spans="1:17" s="52" customFormat="1" ht="13.5">
      <c r="B49" s="52" t="s">
        <v>327</v>
      </c>
      <c r="G49" s="52">
        <f>SUM(L49:O49)</f>
        <v>0</v>
      </c>
      <c r="H49" s="52">
        <v>0</v>
      </c>
      <c r="I49" s="61">
        <f t="shared" ref="I49:I57" si="1">H49-G49</f>
        <v>0</v>
      </c>
      <c r="J49" s="90">
        <f>Jan!I49+Feb!I49+Mar!I49+Apr!I49+May!I49+Jun!I49+July!I49+Aug!I49</f>
        <v>0</v>
      </c>
      <c r="K49" s="82"/>
      <c r="L49" s="396"/>
      <c r="M49" s="397"/>
      <c r="N49" s="397"/>
      <c r="O49" s="398"/>
    </row>
    <row r="50" spans="1:17" s="52" customFormat="1" ht="13.5">
      <c r="A50" s="58"/>
      <c r="B50" s="52" t="s">
        <v>421</v>
      </c>
      <c r="G50" s="52">
        <f t="shared" ref="G50:G113" si="2">SUM(L50:O50)</f>
        <v>0</v>
      </c>
      <c r="H50" s="52">
        <v>100</v>
      </c>
      <c r="I50" s="61">
        <f t="shared" si="1"/>
        <v>100</v>
      </c>
      <c r="J50" s="90">
        <f>Jan!I50+Feb!I50+Mar!I50+Apr!I50+May!I50+Jun!I50+July!I50+Aug!I50</f>
        <v>-709.63000000000011</v>
      </c>
      <c r="K50" s="82"/>
      <c r="L50" s="396"/>
      <c r="M50" s="397"/>
      <c r="N50" s="397"/>
      <c r="O50" s="398"/>
    </row>
    <row r="51" spans="1:17" s="52" customFormat="1" ht="13.5">
      <c r="A51" s="58"/>
      <c r="B51" s="52" t="s">
        <v>422</v>
      </c>
      <c r="G51" s="52">
        <f t="shared" si="2"/>
        <v>1250</v>
      </c>
      <c r="H51" s="52">
        <v>100</v>
      </c>
      <c r="I51" s="61">
        <f t="shared" si="1"/>
        <v>-1150</v>
      </c>
      <c r="J51" s="90">
        <f>Jan!I51+Feb!I51+Mar!I51+Apr!I51+May!I51+Jun!I51+July!I51+Aug!I51</f>
        <v>-525</v>
      </c>
      <c r="K51" s="82"/>
      <c r="L51" s="396">
        <v>1250</v>
      </c>
      <c r="M51" s="397"/>
      <c r="N51" s="397"/>
      <c r="O51" s="398"/>
      <c r="Q51" s="52" t="s">
        <v>1138</v>
      </c>
    </row>
    <row r="52" spans="1:17" s="52" customFormat="1" ht="13.5">
      <c r="A52" s="58"/>
      <c r="B52" s="52" t="s">
        <v>420</v>
      </c>
      <c r="G52" s="52">
        <f t="shared" si="2"/>
        <v>0</v>
      </c>
      <c r="H52" s="52">
        <v>100</v>
      </c>
      <c r="I52" s="61">
        <f t="shared" si="1"/>
        <v>100</v>
      </c>
      <c r="J52" s="90">
        <f>Jan!I52+Feb!I52+Mar!I52+Apr!I52+May!I52+Jun!I52+July!I52+Aug!I52</f>
        <v>800</v>
      </c>
      <c r="K52" s="82"/>
      <c r="L52" s="396"/>
      <c r="M52" s="397"/>
      <c r="N52" s="397"/>
      <c r="O52" s="398"/>
    </row>
    <row r="53" spans="1:17" s="52" customFormat="1" ht="13.5">
      <c r="A53" s="58"/>
      <c r="B53" s="52" t="s">
        <v>463</v>
      </c>
      <c r="G53" s="52">
        <f t="shared" si="2"/>
        <v>1031.68</v>
      </c>
      <c r="H53" s="52">
        <v>564</v>
      </c>
      <c r="I53" s="61">
        <f t="shared" si="1"/>
        <v>-467.68000000000006</v>
      </c>
      <c r="J53" s="90">
        <f>Jan!I53+Feb!I53+Mar!I53+Apr!I53+May!I53+Jun!I53+July!I53+Aug!I53</f>
        <v>-467.68000000000006</v>
      </c>
      <c r="K53" s="82"/>
      <c r="L53" s="396">
        <f>564+467.68</f>
        <v>1031.68</v>
      </c>
      <c r="M53" s="397"/>
      <c r="N53" s="397"/>
      <c r="O53" s="398"/>
    </row>
    <row r="54" spans="1:17" s="52" customFormat="1" ht="13.5">
      <c r="A54" s="58"/>
      <c r="B54" s="52" t="s">
        <v>429</v>
      </c>
      <c r="G54" s="52">
        <f t="shared" si="2"/>
        <v>0</v>
      </c>
      <c r="H54" s="52">
        <v>60</v>
      </c>
      <c r="I54" s="61">
        <f t="shared" si="1"/>
        <v>60</v>
      </c>
      <c r="J54" s="90">
        <f>Jan!I54+Feb!I54+Mar!I54+Apr!I54+May!I54+Jun!I54+July!I54+Aug!I54</f>
        <v>-148</v>
      </c>
      <c r="K54" s="82"/>
      <c r="L54" s="396"/>
      <c r="M54" s="397"/>
      <c r="N54" s="397"/>
      <c r="O54" s="398"/>
    </row>
    <row r="55" spans="1:17" s="52" customFormat="1" ht="13.5">
      <c r="A55" s="58"/>
      <c r="B55" s="52" t="s">
        <v>328</v>
      </c>
      <c r="G55" s="52">
        <f t="shared" si="2"/>
        <v>1636.68</v>
      </c>
      <c r="H55" s="52">
        <f>1636.68+50.81</f>
        <v>1687.49</v>
      </c>
      <c r="I55" s="61">
        <f t="shared" si="1"/>
        <v>50.809999999999945</v>
      </c>
      <c r="J55" s="90">
        <f>Jan!I55+Feb!I55+Mar!I55+Apr!I55+May!I55+Jun!I55+July!I55+Aug!I55</f>
        <v>176.59999999999945</v>
      </c>
      <c r="K55" s="82"/>
      <c r="L55" s="398">
        <v>1636.68</v>
      </c>
      <c r="M55" s="397"/>
      <c r="N55" s="397"/>
      <c r="O55" s="398"/>
    </row>
    <row r="56" spans="1:17" s="52" customFormat="1" ht="13.5">
      <c r="A56" s="58"/>
      <c r="B56" s="52" t="s">
        <v>384</v>
      </c>
      <c r="G56" s="52">
        <f t="shared" si="2"/>
        <v>431.27</v>
      </c>
      <c r="H56" s="52">
        <v>312.51</v>
      </c>
      <c r="I56" s="61">
        <f t="shared" si="1"/>
        <v>-118.75999999999999</v>
      </c>
      <c r="J56" s="90">
        <f>Jan!I56+Feb!I56+Mar!I56+Apr!I56+May!I56+Jun!I56+July!I56+Aug!I56</f>
        <v>-448.40000000000009</v>
      </c>
      <c r="K56" s="82"/>
      <c r="L56" s="398">
        <v>431.27</v>
      </c>
      <c r="M56" s="397"/>
      <c r="N56" s="397"/>
      <c r="O56" s="398"/>
    </row>
    <row r="57" spans="1:17" s="52" customFormat="1" ht="13.5">
      <c r="A57" s="58"/>
      <c r="B57" s="52" t="s">
        <v>350</v>
      </c>
      <c r="G57" s="52">
        <f t="shared" si="2"/>
        <v>-5000</v>
      </c>
      <c r="H57" s="52">
        <v>-2060</v>
      </c>
      <c r="I57" s="61">
        <f t="shared" si="1"/>
        <v>2940</v>
      </c>
      <c r="J57" s="90">
        <f>Jan!I57+Feb!I57+Mar!I57+Apr!I57+May!I57+Jun!I57+July!I57+Aug!I57</f>
        <v>880</v>
      </c>
      <c r="K57" s="82"/>
      <c r="L57" s="398">
        <v>-5000</v>
      </c>
      <c r="M57" s="397"/>
      <c r="N57" s="397"/>
      <c r="O57" s="398"/>
      <c r="Q57" s="52" t="s">
        <v>1123</v>
      </c>
    </row>
    <row r="58" spans="1:17" s="52" customFormat="1" ht="13.5">
      <c r="I58" s="61"/>
      <c r="J58" s="90"/>
      <c r="K58" s="82"/>
      <c r="L58" s="398"/>
      <c r="M58" s="397"/>
      <c r="N58" s="397"/>
      <c r="O58" s="398"/>
    </row>
    <row r="59" spans="1:17" s="52" customFormat="1" ht="13.5">
      <c r="I59" s="61"/>
      <c r="J59" s="90"/>
      <c r="K59" s="82"/>
      <c r="L59" s="398"/>
      <c r="M59" s="397"/>
      <c r="N59" s="397"/>
      <c r="O59" s="398"/>
    </row>
    <row r="60" spans="1:17" s="52" customFormat="1" ht="13.5">
      <c r="A60" s="58" t="s">
        <v>427</v>
      </c>
      <c r="I60" s="61"/>
      <c r="J60" s="90"/>
      <c r="K60" s="82"/>
      <c r="L60" s="398"/>
      <c r="M60" s="397"/>
      <c r="N60" s="397"/>
      <c r="O60" s="398"/>
    </row>
    <row r="61" spans="1:17" s="52" customFormat="1" ht="13.5">
      <c r="A61" s="58"/>
      <c r="B61" s="58">
        <f>SUM(G62:G63)</f>
        <v>106.41</v>
      </c>
      <c r="C61" s="58">
        <f>SUM(H62:H63)</f>
        <v>170</v>
      </c>
      <c r="D61" s="58">
        <f>C61-B61</f>
        <v>63.59</v>
      </c>
      <c r="I61" s="61"/>
      <c r="J61" s="90"/>
      <c r="K61" s="82"/>
      <c r="L61" s="398"/>
      <c r="M61" s="397"/>
      <c r="N61" s="397"/>
      <c r="O61" s="398"/>
    </row>
    <row r="62" spans="1:17" s="52" customFormat="1" ht="13.5">
      <c r="A62" s="58"/>
      <c r="B62" s="52" t="s">
        <v>431</v>
      </c>
      <c r="G62" s="52">
        <f t="shared" si="2"/>
        <v>0</v>
      </c>
      <c r="H62" s="52">
        <v>70</v>
      </c>
      <c r="I62" s="61">
        <f t="shared" ref="I62:I131" si="3">H62-G62</f>
        <v>70</v>
      </c>
      <c r="J62" s="90">
        <f>Jan!I62+Feb!I62+Mar!I62+Apr!I62+May!I62+Jun!I62+July!I62+Aug!I62</f>
        <v>166.54999999999998</v>
      </c>
      <c r="K62" s="82"/>
      <c r="L62" s="398"/>
      <c r="M62" s="397"/>
      <c r="N62" s="397"/>
      <c r="O62" s="398"/>
    </row>
    <row r="63" spans="1:17" s="52" customFormat="1" ht="13.5">
      <c r="A63" s="58"/>
      <c r="B63" s="52" t="s">
        <v>432</v>
      </c>
      <c r="D63" s="65"/>
      <c r="G63" s="52">
        <f t="shared" si="2"/>
        <v>106.41</v>
      </c>
      <c r="H63" s="52">
        <v>100</v>
      </c>
      <c r="I63" s="61">
        <f t="shared" si="3"/>
        <v>-6.4099999999999966</v>
      </c>
      <c r="J63" s="90">
        <f>Jan!I63+Feb!I63+Mar!I63+Apr!I63+May!I63+Jun!I63+July!I63+Aug!I63</f>
        <v>17.670000000000002</v>
      </c>
      <c r="K63" s="82"/>
      <c r="L63" s="398"/>
      <c r="M63" s="397">
        <v>106.41</v>
      </c>
      <c r="N63" s="397"/>
      <c r="O63" s="398"/>
    </row>
    <row r="64" spans="1:17" s="52" customFormat="1" ht="13.5">
      <c r="A64" s="58"/>
      <c r="I64" s="61"/>
      <c r="J64" s="90"/>
      <c r="K64" s="82"/>
      <c r="L64" s="398"/>
      <c r="M64" s="397"/>
      <c r="N64" s="397"/>
      <c r="O64" s="398"/>
    </row>
    <row r="65" spans="1:19" s="52" customFormat="1" ht="13.5">
      <c r="A65" s="58" t="s">
        <v>428</v>
      </c>
      <c r="B65" s="58">
        <f>SUM(G66:G74)</f>
        <v>306.88</v>
      </c>
      <c r="C65" s="58">
        <f>SUM(H66:H74)</f>
        <v>310</v>
      </c>
      <c r="D65" s="58">
        <f>C65-B65</f>
        <v>3.1200000000000045</v>
      </c>
      <c r="I65" s="61"/>
      <c r="J65" s="90"/>
      <c r="K65" s="82"/>
      <c r="L65" s="398"/>
      <c r="M65" s="397"/>
      <c r="N65" s="397"/>
      <c r="O65" s="398"/>
    </row>
    <row r="66" spans="1:19" s="52" customFormat="1" ht="13.5">
      <c r="B66" s="52" t="s">
        <v>55</v>
      </c>
      <c r="G66" s="52">
        <f t="shared" si="2"/>
        <v>207.66</v>
      </c>
      <c r="H66" s="52">
        <v>60</v>
      </c>
      <c r="I66" s="61">
        <f t="shared" si="3"/>
        <v>-147.66</v>
      </c>
      <c r="J66" s="90">
        <f>Jan!I66+Feb!I66+Mar!I66+Apr!I66+May!I66+Jun!I66+July!I66+Aug!I66</f>
        <v>138.95000000000002</v>
      </c>
      <c r="K66" s="82"/>
      <c r="L66" s="398">
        <v>45</v>
      </c>
      <c r="M66" s="397">
        <f>31.18</f>
        <v>31.18</v>
      </c>
      <c r="N66" s="397">
        <f>32+27.77+20.17+14.07+10.24+12.33+14.9</f>
        <v>131.47999999999999</v>
      </c>
      <c r="O66" s="398"/>
      <c r="Q66" s="52" t="s">
        <v>1136</v>
      </c>
      <c r="S66" s="52" t="s">
        <v>1162</v>
      </c>
    </row>
    <row r="67" spans="1:19" s="52" customFormat="1" ht="13.5">
      <c r="B67" s="52" t="s">
        <v>56</v>
      </c>
      <c r="D67" s="52" t="s">
        <v>57</v>
      </c>
      <c r="G67" s="52">
        <f t="shared" si="2"/>
        <v>0</v>
      </c>
      <c r="H67" s="52">
        <v>140</v>
      </c>
      <c r="I67" s="61">
        <f t="shared" si="3"/>
        <v>140</v>
      </c>
      <c r="J67" s="90">
        <f>Jan!I67+Feb!I67+Mar!I67+Apr!I67+May!I67+Jun!I67+July!I67+Aug!I67</f>
        <v>408.75</v>
      </c>
      <c r="K67" s="82"/>
      <c r="L67" s="398"/>
      <c r="M67" s="397"/>
      <c r="N67" s="397"/>
      <c r="O67" s="398"/>
    </row>
    <row r="68" spans="1:19" s="52" customFormat="1" ht="13.5">
      <c r="I68" s="61"/>
      <c r="J68" s="90"/>
      <c r="K68" s="82"/>
      <c r="L68" s="398"/>
      <c r="M68" s="397"/>
      <c r="N68" s="397"/>
      <c r="O68" s="398"/>
    </row>
    <row r="69" spans="1:19" s="52" customFormat="1" ht="13.5">
      <c r="A69" s="58" t="s">
        <v>423</v>
      </c>
      <c r="I69" s="61"/>
      <c r="J69" s="90"/>
      <c r="K69" s="82"/>
      <c r="L69" s="398"/>
      <c r="M69" s="397"/>
      <c r="N69" s="397"/>
      <c r="O69" s="398"/>
    </row>
    <row r="70" spans="1:19" s="52" customFormat="1" ht="13.5">
      <c r="B70" s="52" t="s">
        <v>424</v>
      </c>
      <c r="G70" s="52">
        <f t="shared" si="2"/>
        <v>12.96</v>
      </c>
      <c r="H70" s="52">
        <v>25</v>
      </c>
      <c r="I70" s="61">
        <f t="shared" si="3"/>
        <v>12.04</v>
      </c>
      <c r="J70" s="90">
        <f>Jan!I70+Feb!I70+Mar!I70+Apr!I70+May!I70+Jun!I70+July!I70+Aug!I70</f>
        <v>115.63999999999999</v>
      </c>
      <c r="K70" s="82"/>
      <c r="L70" s="398"/>
      <c r="M70" s="397">
        <v>12.96</v>
      </c>
      <c r="N70" s="397"/>
      <c r="O70" s="398"/>
    </row>
    <row r="71" spans="1:19" s="52" customFormat="1" ht="13.5">
      <c r="A71" s="58"/>
      <c r="B71" s="52" t="s">
        <v>425</v>
      </c>
      <c r="G71" s="52">
        <f t="shared" si="2"/>
        <v>0</v>
      </c>
      <c r="H71" s="52">
        <v>30</v>
      </c>
      <c r="I71" s="61">
        <f t="shared" si="3"/>
        <v>30</v>
      </c>
      <c r="J71" s="90">
        <f>Jan!I71+Feb!I71+Mar!I71+Apr!I71+May!I71+Jun!I71+July!I71+Aug!I71</f>
        <v>130.51</v>
      </c>
      <c r="K71" s="82"/>
      <c r="L71" s="398"/>
      <c r="M71" s="397"/>
      <c r="N71" s="397"/>
      <c r="O71" s="398"/>
    </row>
    <row r="72" spans="1:19" s="52" customFormat="1" ht="13.5">
      <c r="A72" s="58"/>
      <c r="B72" s="52" t="s">
        <v>430</v>
      </c>
      <c r="G72" s="52">
        <f t="shared" si="2"/>
        <v>0</v>
      </c>
      <c r="H72" s="52">
        <v>20</v>
      </c>
      <c r="I72" s="61">
        <f t="shared" si="3"/>
        <v>20</v>
      </c>
      <c r="J72" s="90">
        <f>Jan!I72+Feb!I72+Mar!I72+Apr!I72+May!I72+Jun!I72+July!I72+Aug!I72</f>
        <v>-20.909999999999997</v>
      </c>
      <c r="K72" s="82"/>
      <c r="L72" s="398"/>
      <c r="M72" s="397"/>
      <c r="N72" s="397"/>
      <c r="O72" s="398"/>
    </row>
    <row r="73" spans="1:19" s="52" customFormat="1" ht="13.5">
      <c r="A73" s="58"/>
      <c r="I73" s="61"/>
      <c r="J73" s="90"/>
      <c r="K73" s="82"/>
      <c r="L73" s="398"/>
      <c r="M73" s="397"/>
      <c r="N73" s="397"/>
      <c r="O73" s="398"/>
    </row>
    <row r="74" spans="1:19" s="52" customFormat="1" ht="13.5">
      <c r="A74" s="58" t="s">
        <v>426</v>
      </c>
      <c r="B74" s="52" t="s">
        <v>58</v>
      </c>
      <c r="G74" s="52">
        <f t="shared" si="2"/>
        <v>86.259999999999991</v>
      </c>
      <c r="H74" s="52">
        <v>35</v>
      </c>
      <c r="I74" s="61">
        <f t="shared" si="3"/>
        <v>-51.259999999999991</v>
      </c>
      <c r="J74" s="90">
        <f>Jan!I74+Feb!I74+Mar!I74+Apr!I74+May!I74+Jun!I74+July!I74+Aug!I74</f>
        <v>-333.82000000000005</v>
      </c>
      <c r="K74" s="82"/>
      <c r="L74" s="398"/>
      <c r="M74" s="397">
        <f>8.75+12.52+3.06+2.39+2.4+5.57+2.4+3.67+5.02+2.4+2.4</f>
        <v>50.58</v>
      </c>
      <c r="N74" s="397">
        <f>2.4+8.8+1.67+2.79+3.81+2.4+9.74+1.67+2.4</f>
        <v>35.68</v>
      </c>
      <c r="O74" s="398"/>
    </row>
    <row r="75" spans="1:19" s="52" customFormat="1" ht="14.25" thickBot="1">
      <c r="A75" s="58"/>
      <c r="I75" s="61"/>
      <c r="J75" s="90"/>
      <c r="K75" s="82"/>
      <c r="L75" s="398"/>
      <c r="M75" s="397"/>
      <c r="N75" s="397"/>
      <c r="O75" s="398"/>
    </row>
    <row r="76" spans="1:19" s="52" customFormat="1" ht="14.25" thickBot="1">
      <c r="A76" s="99" t="s">
        <v>433</v>
      </c>
      <c r="B76" s="140">
        <f>B78+B90+B96+B101+B110+B115+B120+B125+B138+B141+B146+B149</f>
        <v>6703.75</v>
      </c>
      <c r="C76" s="140">
        <f>C78+C90+C96+C101+C110+C115+C120+C125+C138+C141+C146+C149</f>
        <v>5711</v>
      </c>
      <c r="D76" s="140">
        <f>D78+D90+D96+D101+D110+D115+D120+D125+D138+D141+D146+D149</f>
        <v>811.24</v>
      </c>
      <c r="I76" s="61"/>
      <c r="J76" s="90"/>
      <c r="K76" s="82"/>
      <c r="L76" s="398"/>
      <c r="M76" s="397"/>
      <c r="N76" s="397"/>
      <c r="O76" s="398"/>
    </row>
    <row r="77" spans="1:19" s="52" customFormat="1" ht="13.5">
      <c r="A77" s="99"/>
      <c r="B77" s="380"/>
      <c r="C77" s="380"/>
      <c r="D77" s="380"/>
      <c r="I77" s="61"/>
      <c r="J77" s="90"/>
      <c r="K77" s="82"/>
      <c r="L77" s="398"/>
      <c r="M77" s="397"/>
      <c r="N77" s="397"/>
      <c r="O77" s="398"/>
    </row>
    <row r="78" spans="1:19" s="52" customFormat="1" ht="13.5">
      <c r="A78" s="58" t="s">
        <v>710</v>
      </c>
      <c r="B78" s="380">
        <f>SUM(G79:G88)</f>
        <v>4276.7</v>
      </c>
      <c r="C78" s="380">
        <f>SUM(H79:H80)</f>
        <v>2500</v>
      </c>
      <c r="D78" s="380">
        <f>SUM(I79:I80)</f>
        <v>27.289999999999964</v>
      </c>
      <c r="I78" s="61"/>
      <c r="J78" s="90"/>
      <c r="K78" s="82"/>
      <c r="L78" s="398"/>
      <c r="M78" s="397"/>
      <c r="N78" s="397"/>
      <c r="O78" s="398"/>
    </row>
    <row r="79" spans="1:19" s="52" customFormat="1" ht="13.5">
      <c r="B79" s="52" t="s">
        <v>798</v>
      </c>
      <c r="G79" s="52">
        <f t="shared" si="2"/>
        <v>2472.71</v>
      </c>
      <c r="H79" s="52">
        <v>2500</v>
      </c>
      <c r="I79" s="61">
        <f t="shared" si="3"/>
        <v>27.289999999999964</v>
      </c>
      <c r="J79" s="90">
        <f>Jan!I79+Feb!I79+Mar!I79+Apr!I79+May!I79+Jun!I79+July!I79+Aug!I79</f>
        <v>218.31999999999971</v>
      </c>
      <c r="K79" s="82"/>
      <c r="L79" s="398">
        <v>2472.71</v>
      </c>
      <c r="M79" s="397"/>
      <c r="N79" s="397"/>
      <c r="O79" s="398"/>
    </row>
    <row r="80" spans="1:19" s="52" customFormat="1" ht="13.5">
      <c r="A80" s="58"/>
      <c r="B80" s="52" t="s">
        <v>801</v>
      </c>
      <c r="G80" s="52">
        <f t="shared" si="2"/>
        <v>0</v>
      </c>
      <c r="H80" s="52">
        <v>0</v>
      </c>
      <c r="I80" s="61">
        <f t="shared" si="3"/>
        <v>0</v>
      </c>
      <c r="J80" s="90">
        <f>Jan!I80+Feb!I80+Mar!I80+Apr!I80+May!I80+Jun!I80+July!I80+Aug!I80</f>
        <v>0</v>
      </c>
      <c r="K80" s="82"/>
      <c r="L80" s="398"/>
      <c r="M80" s="397"/>
      <c r="N80" s="397"/>
      <c r="O80" s="398"/>
    </row>
    <row r="81" spans="1:17" s="52" customFormat="1" ht="13.5">
      <c r="A81" s="58"/>
      <c r="B81" s="52" t="s">
        <v>421</v>
      </c>
      <c r="E81" s="52" t="s">
        <v>712</v>
      </c>
      <c r="G81" s="52">
        <f t="shared" si="2"/>
        <v>1442.17</v>
      </c>
      <c r="H81" s="52">
        <v>5000</v>
      </c>
      <c r="I81" s="61">
        <f t="shared" si="3"/>
        <v>3557.83</v>
      </c>
      <c r="J81" s="90">
        <f>Jan!I81+Feb!I81+Mar!I81+Apr!I81+May!I81+Jun!I81+July!I81+Aug!I81</f>
        <v>-62532.060000000012</v>
      </c>
      <c r="K81" s="82"/>
      <c r="L81" s="398"/>
      <c r="M81" s="397">
        <f>(115.65-61.26)+604.96-60.26</f>
        <v>599.09</v>
      </c>
      <c r="N81" s="397">
        <f>41.68+5.68</f>
        <v>47.36</v>
      </c>
      <c r="O81" s="398">
        <f>326.3+217.42+252</f>
        <v>795.72</v>
      </c>
      <c r="Q81" s="52" t="s">
        <v>1150</v>
      </c>
    </row>
    <row r="82" spans="1:17" s="52" customFormat="1" ht="13.5">
      <c r="A82" s="58"/>
      <c r="B82" s="52" t="s">
        <v>888</v>
      </c>
      <c r="G82" s="52">
        <f t="shared" si="2"/>
        <v>0</v>
      </c>
      <c r="H82" s="52">
        <v>1000</v>
      </c>
      <c r="I82" s="61">
        <f t="shared" si="3"/>
        <v>1000</v>
      </c>
      <c r="J82" s="90">
        <f>Jan!I82+Feb!I82+Mar!I82+Apr!I82+May!I82+Jun!I82+July!I82+Aug!I82</f>
        <v>-2622.75</v>
      </c>
      <c r="K82" s="82"/>
      <c r="L82" s="398"/>
      <c r="M82" s="397"/>
      <c r="N82" s="397"/>
      <c r="O82" s="398"/>
    </row>
    <row r="83" spans="1:17" s="52" customFormat="1" ht="13.5">
      <c r="A83" s="58"/>
      <c r="B83" s="52" t="s">
        <v>889</v>
      </c>
      <c r="G83" s="52">
        <f t="shared" si="2"/>
        <v>0</v>
      </c>
      <c r="H83" s="52">
        <v>50</v>
      </c>
      <c r="I83" s="61">
        <f t="shared" si="3"/>
        <v>50</v>
      </c>
      <c r="J83" s="90">
        <f>Jan!I83+Feb!I83+Mar!I83+Apr!I83+May!I83+Jun!I83+July!I83+Aug!I83</f>
        <v>-84.949999999999989</v>
      </c>
      <c r="K83" s="82"/>
      <c r="L83" s="398"/>
      <c r="M83" s="397"/>
      <c r="N83" s="397"/>
      <c r="O83" s="398"/>
    </row>
    <row r="84" spans="1:17" s="52" customFormat="1" ht="13.5">
      <c r="A84" s="58"/>
      <c r="B84" s="52" t="s">
        <v>26</v>
      </c>
      <c r="G84" s="52">
        <f t="shared" si="2"/>
        <v>104.89</v>
      </c>
      <c r="H84" s="52">
        <v>100</v>
      </c>
      <c r="I84" s="61">
        <f t="shared" si="3"/>
        <v>-4.8900000000000006</v>
      </c>
      <c r="J84" s="90">
        <f>Jan!I84+Feb!I84+Mar!I84+Apr!I84+May!I84+Jun!I84+July!I84+Aug!I84</f>
        <v>173.42000000000002</v>
      </c>
      <c r="K84" s="82"/>
      <c r="L84" s="398">
        <v>104.89</v>
      </c>
      <c r="M84" s="397"/>
      <c r="N84" s="397"/>
      <c r="O84" s="398"/>
    </row>
    <row r="85" spans="1:17" s="52" customFormat="1" ht="13.5">
      <c r="A85" s="58"/>
      <c r="B85" s="52" t="s">
        <v>799</v>
      </c>
      <c r="C85" s="52" t="s">
        <v>824</v>
      </c>
      <c r="D85" s="52" t="s">
        <v>1043</v>
      </c>
      <c r="G85" s="52">
        <f t="shared" si="2"/>
        <v>24.42</v>
      </c>
      <c r="H85" s="52">
        <v>70</v>
      </c>
      <c r="I85" s="61">
        <f t="shared" si="3"/>
        <v>45.58</v>
      </c>
      <c r="J85" s="90">
        <f>Jan!I85+Feb!I85+Mar!I85+Apr!I85+May!I85+Jun!I85+July!I85+Aug!I85</f>
        <v>-213.33000000000004</v>
      </c>
      <c r="K85" s="82"/>
      <c r="L85" s="398">
        <v>24.42</v>
      </c>
      <c r="M85" s="397"/>
      <c r="N85" s="397"/>
      <c r="O85" s="398"/>
    </row>
    <row r="86" spans="1:17" s="52" customFormat="1" ht="13.5">
      <c r="A86" s="58"/>
      <c r="B86" s="52" t="s">
        <v>799</v>
      </c>
      <c r="C86" s="52" t="s">
        <v>824</v>
      </c>
      <c r="D86" s="52" t="s">
        <v>1044</v>
      </c>
      <c r="G86" s="52">
        <f t="shared" si="2"/>
        <v>23.15</v>
      </c>
      <c r="H86" s="52">
        <v>25</v>
      </c>
      <c r="I86" s="61">
        <f t="shared" si="3"/>
        <v>1.8500000000000014</v>
      </c>
      <c r="J86" s="90">
        <f>Jan!I86+Feb!I86+Mar!I86+Apr!I86+May!I86+Jun!I86+July!I86+Aug!I86</f>
        <v>33.889999999999993</v>
      </c>
      <c r="K86" s="82"/>
      <c r="L86" s="398">
        <v>23.15</v>
      </c>
      <c r="M86" s="397"/>
      <c r="N86" s="397"/>
      <c r="O86" s="398"/>
    </row>
    <row r="87" spans="1:17" s="52" customFormat="1" ht="13.5">
      <c r="A87" s="58"/>
      <c r="B87" s="52" t="s">
        <v>800</v>
      </c>
      <c r="G87" s="52">
        <f t="shared" si="2"/>
        <v>145.66</v>
      </c>
      <c r="H87" s="52">
        <v>40</v>
      </c>
      <c r="I87" s="61">
        <f t="shared" si="3"/>
        <v>-105.66</v>
      </c>
      <c r="J87" s="90">
        <f>Jan!I87+Feb!I87+Mar!I87+Apr!I87+May!I87+Jun!I87+July!I87+Aug!I87</f>
        <v>-206.92999999999998</v>
      </c>
      <c r="K87" s="82"/>
      <c r="L87" s="398">
        <v>145.66</v>
      </c>
      <c r="M87" s="397"/>
      <c r="N87" s="397"/>
      <c r="O87" s="398"/>
    </row>
    <row r="88" spans="1:17" s="52" customFormat="1" ht="13.5">
      <c r="A88" s="58"/>
      <c r="B88" s="52" t="s">
        <v>802</v>
      </c>
      <c r="C88" s="52" t="s">
        <v>1090</v>
      </c>
      <c r="G88" s="52">
        <f t="shared" si="2"/>
        <v>63.7</v>
      </c>
      <c r="H88" s="52">
        <v>100</v>
      </c>
      <c r="I88" s="61">
        <f t="shared" si="3"/>
        <v>36.299999999999997</v>
      </c>
      <c r="J88" s="90">
        <f>Jan!I88+Feb!I88+Mar!I88+Apr!I88+May!I88+Jun!I88+July!I88+Aug!I88</f>
        <v>447.28000000000003</v>
      </c>
      <c r="K88" s="82"/>
      <c r="L88" s="398"/>
      <c r="M88" s="397">
        <v>63.7</v>
      </c>
      <c r="N88" s="397"/>
      <c r="O88" s="398"/>
    </row>
    <row r="89" spans="1:17" s="52" customFormat="1" ht="13.5">
      <c r="A89" s="58"/>
      <c r="I89" s="61"/>
      <c r="J89" s="90"/>
      <c r="K89" s="82"/>
      <c r="L89" s="398"/>
      <c r="M89" s="397"/>
      <c r="N89" s="397"/>
      <c r="O89" s="398"/>
    </row>
    <row r="90" spans="1:17" s="52" customFormat="1" ht="13.5">
      <c r="A90" s="58" t="s">
        <v>39</v>
      </c>
      <c r="B90" s="58">
        <f>SUM(G91:G94)</f>
        <v>110.74000000000001</v>
      </c>
      <c r="C90" s="58">
        <f>SUM(H91:H94)</f>
        <v>360</v>
      </c>
      <c r="D90" s="58">
        <f>C90-B90</f>
        <v>249.26</v>
      </c>
      <c r="I90" s="61"/>
      <c r="J90" s="90"/>
      <c r="K90" s="82"/>
      <c r="L90" s="398"/>
      <c r="M90" s="397"/>
      <c r="N90" s="397"/>
      <c r="O90" s="398"/>
    </row>
    <row r="91" spans="1:17" s="52" customFormat="1" ht="13.5">
      <c r="B91" s="52" t="s">
        <v>26</v>
      </c>
      <c r="C91" s="52" t="s">
        <v>27</v>
      </c>
      <c r="G91" s="52">
        <f t="shared" si="2"/>
        <v>77.09</v>
      </c>
      <c r="H91" s="52">
        <v>100</v>
      </c>
      <c r="I91" s="61">
        <f t="shared" si="3"/>
        <v>22.909999999999997</v>
      </c>
      <c r="J91" s="90">
        <f>Jan!I91+Feb!I91+Mar!I91+Apr!I91+May!I91+Jun!I91+July!I91+Aug!I91</f>
        <v>236.64000000000001</v>
      </c>
      <c r="K91" s="82"/>
      <c r="L91" s="398">
        <v>77.09</v>
      </c>
      <c r="M91" s="397"/>
      <c r="N91" s="397"/>
      <c r="O91" s="398"/>
    </row>
    <row r="92" spans="1:17" s="52" customFormat="1" ht="13.5">
      <c r="B92" s="52" t="s">
        <v>28</v>
      </c>
      <c r="C92" s="52" t="s">
        <v>29</v>
      </c>
      <c r="G92" s="52">
        <f t="shared" si="2"/>
        <v>33.65</v>
      </c>
      <c r="H92" s="52">
        <v>40</v>
      </c>
      <c r="I92" s="61">
        <f t="shared" si="3"/>
        <v>6.3500000000000014</v>
      </c>
      <c r="J92" s="90">
        <f>Jan!I92+Feb!I92+Mar!I92+Apr!I92+May!I92+Jun!I92+July!I92+Aug!I92</f>
        <v>191.75</v>
      </c>
      <c r="K92" s="82"/>
      <c r="L92" s="398">
        <v>33.65</v>
      </c>
      <c r="M92" s="397"/>
      <c r="N92" s="397"/>
      <c r="O92" s="398"/>
    </row>
    <row r="93" spans="1:17" s="52" customFormat="1" ht="13.5">
      <c r="B93" s="52" t="s">
        <v>40</v>
      </c>
      <c r="C93" s="52" t="s">
        <v>41</v>
      </c>
      <c r="D93" s="52" t="s">
        <v>321</v>
      </c>
      <c r="G93" s="52">
        <f t="shared" si="2"/>
        <v>0</v>
      </c>
      <c r="H93" s="52">
        <v>100</v>
      </c>
      <c r="I93" s="61">
        <f t="shared" si="3"/>
        <v>100</v>
      </c>
      <c r="J93" s="90">
        <f>Jan!I93+Feb!I93+Mar!I93+Apr!I93+May!I93+Jun!I93+July!I93+Aug!I93</f>
        <v>800</v>
      </c>
      <c r="K93" s="82"/>
      <c r="L93" s="398"/>
      <c r="M93" s="397"/>
      <c r="N93" s="397"/>
      <c r="O93" s="398"/>
    </row>
    <row r="94" spans="1:17" s="52" customFormat="1" ht="13.5">
      <c r="B94" s="52" t="s">
        <v>42</v>
      </c>
      <c r="C94" s="52" t="s">
        <v>43</v>
      </c>
      <c r="D94" s="52" t="s">
        <v>435</v>
      </c>
      <c r="G94" s="52">
        <f t="shared" si="2"/>
        <v>0</v>
      </c>
      <c r="H94" s="52">
        <v>120</v>
      </c>
      <c r="I94" s="61">
        <f t="shared" si="3"/>
        <v>120</v>
      </c>
      <c r="J94" s="90">
        <f>Jan!I94+Feb!I94+Mar!I94+Apr!I94+May!I94+Jun!I94+July!I94+Aug!I94</f>
        <v>459.8</v>
      </c>
      <c r="K94" s="82"/>
      <c r="L94" s="398"/>
      <c r="M94" s="397"/>
      <c r="N94" s="397"/>
      <c r="O94" s="398"/>
    </row>
    <row r="95" spans="1:17" s="52" customFormat="1" ht="13.5">
      <c r="I95" s="61"/>
      <c r="J95" s="90"/>
      <c r="K95" s="82"/>
      <c r="L95" s="398"/>
      <c r="M95" s="397"/>
      <c r="N95" s="397"/>
      <c r="O95" s="398"/>
    </row>
    <row r="96" spans="1:17" s="52" customFormat="1" ht="13.5">
      <c r="A96" s="58" t="s">
        <v>45</v>
      </c>
      <c r="B96" s="58">
        <f>SUM(G97:G99)</f>
        <v>0</v>
      </c>
      <c r="C96" s="58">
        <f>SUM(H97:H99)</f>
        <v>173</v>
      </c>
      <c r="D96" s="58">
        <f>C96-B96</f>
        <v>173</v>
      </c>
      <c r="I96" s="61"/>
      <c r="J96" s="90"/>
      <c r="K96" s="82"/>
      <c r="L96" s="398"/>
      <c r="M96" s="397"/>
      <c r="N96" s="397"/>
      <c r="O96" s="398"/>
    </row>
    <row r="97" spans="1:17" s="52" customFormat="1" ht="13.5">
      <c r="B97" s="52" t="s">
        <v>46</v>
      </c>
      <c r="D97" s="52" t="s">
        <v>437</v>
      </c>
      <c r="G97" s="52">
        <f t="shared" si="2"/>
        <v>0</v>
      </c>
      <c r="H97" s="52">
        <v>65</v>
      </c>
      <c r="I97" s="61">
        <f t="shared" si="3"/>
        <v>65</v>
      </c>
      <c r="J97" s="90">
        <f>Jan!I97+Feb!I97+Mar!I97+Apr!I97+May!I97+Jun!I97+July!I97+Aug!I97</f>
        <v>-210</v>
      </c>
      <c r="K97" s="82"/>
      <c r="L97" s="398"/>
      <c r="M97" s="397"/>
      <c r="N97" s="397"/>
      <c r="O97" s="398"/>
    </row>
    <row r="98" spans="1:17" s="52" customFormat="1" ht="13.5">
      <c r="B98" s="52" t="s">
        <v>47</v>
      </c>
      <c r="D98" s="52" t="s">
        <v>436</v>
      </c>
      <c r="G98" s="52">
        <f t="shared" si="2"/>
        <v>0</v>
      </c>
      <c r="H98" s="52">
        <v>72</v>
      </c>
      <c r="I98" s="61">
        <f t="shared" si="3"/>
        <v>72</v>
      </c>
      <c r="J98" s="90">
        <f>Jan!I98+Feb!I98+Mar!I98+Apr!I98+May!I98+Jun!I98+July!I98+Aug!I98</f>
        <v>-282</v>
      </c>
      <c r="K98" s="82"/>
      <c r="L98" s="398"/>
      <c r="M98" s="397"/>
      <c r="N98" s="397"/>
      <c r="O98" s="398"/>
    </row>
    <row r="99" spans="1:17" s="52" customFormat="1" ht="13.5">
      <c r="B99" s="52" t="s">
        <v>48</v>
      </c>
      <c r="D99" s="52" t="s">
        <v>445</v>
      </c>
      <c r="G99" s="52">
        <f t="shared" si="2"/>
        <v>0</v>
      </c>
      <c r="H99" s="52">
        <v>36</v>
      </c>
      <c r="I99" s="61">
        <f t="shared" si="3"/>
        <v>36</v>
      </c>
      <c r="J99" s="90">
        <f>Jan!I99+Feb!I99+Mar!I99+Apr!I99+May!I99+Jun!I99+July!I99+Aug!I99</f>
        <v>288</v>
      </c>
      <c r="K99" s="82"/>
      <c r="L99" s="398"/>
      <c r="M99" s="397"/>
      <c r="N99" s="397"/>
      <c r="O99" s="398"/>
    </row>
    <row r="100" spans="1:17" s="52" customFormat="1" ht="13.5">
      <c r="I100" s="61"/>
      <c r="J100" s="90"/>
      <c r="K100" s="82"/>
      <c r="L100" s="398"/>
      <c r="M100" s="397"/>
      <c r="N100" s="397"/>
      <c r="O100" s="398"/>
    </row>
    <row r="101" spans="1:17" s="52" customFormat="1" ht="13.5">
      <c r="A101" s="58" t="s">
        <v>49</v>
      </c>
      <c r="B101" s="58">
        <f>SUM(G102:G108)</f>
        <v>240</v>
      </c>
      <c r="C101" s="58">
        <f>SUM(H102:H108)</f>
        <v>178</v>
      </c>
      <c r="D101" s="58">
        <f>C101-B101</f>
        <v>-62</v>
      </c>
      <c r="I101" s="61"/>
      <c r="J101" s="90"/>
      <c r="K101" s="82"/>
      <c r="L101" s="398"/>
      <c r="M101" s="397"/>
      <c r="N101" s="397"/>
      <c r="O101" s="398"/>
    </row>
    <row r="102" spans="1:17" s="52" customFormat="1" ht="13.5">
      <c r="B102" s="52" t="s">
        <v>438</v>
      </c>
      <c r="G102" s="52">
        <f t="shared" si="2"/>
        <v>0</v>
      </c>
      <c r="H102" s="52">
        <v>20</v>
      </c>
      <c r="I102" s="61">
        <f t="shared" si="3"/>
        <v>20</v>
      </c>
      <c r="J102" s="90">
        <f>Jan!I102+Feb!I102+Mar!I102+Apr!I102+May!I102+Jun!I102+July!I102+Aug!I102</f>
        <v>-3750.5199999999995</v>
      </c>
      <c r="K102" s="82"/>
      <c r="L102" s="398"/>
      <c r="M102" s="397"/>
      <c r="N102" s="397"/>
      <c r="O102" s="398"/>
    </row>
    <row r="103" spans="1:17" s="52" customFormat="1" ht="13.5">
      <c r="B103" s="52" t="s">
        <v>439</v>
      </c>
      <c r="G103" s="52">
        <f t="shared" si="2"/>
        <v>0</v>
      </c>
      <c r="H103" s="52">
        <v>5</v>
      </c>
      <c r="I103" s="61">
        <f t="shared" si="3"/>
        <v>5</v>
      </c>
      <c r="J103" s="90">
        <f>Jan!I103+Feb!I103+Mar!I103+Apr!I103+May!I103+Jun!I103+July!I103+Aug!I103</f>
        <v>-22.82</v>
      </c>
      <c r="K103" s="82"/>
      <c r="L103" s="398"/>
      <c r="M103" s="397"/>
      <c r="N103" s="397"/>
      <c r="O103" s="398"/>
    </row>
    <row r="104" spans="1:17" s="52" customFormat="1" ht="13.5">
      <c r="B104" s="52" t="s">
        <v>303</v>
      </c>
      <c r="G104" s="52">
        <f t="shared" si="2"/>
        <v>240</v>
      </c>
      <c r="H104" s="52">
        <v>65</v>
      </c>
      <c r="I104" s="61">
        <f t="shared" si="3"/>
        <v>-175</v>
      </c>
      <c r="J104" s="90">
        <f>Jan!I104+Feb!I104+Mar!I104+Apr!I104+May!I104+Jun!I104+July!I104+Aug!I104</f>
        <v>-339.83000000000004</v>
      </c>
      <c r="K104" s="82"/>
      <c r="L104" s="398">
        <v>240</v>
      </c>
      <c r="M104" s="397"/>
      <c r="N104" s="397"/>
      <c r="O104" s="398"/>
      <c r="Q104" s="52" t="s">
        <v>1122</v>
      </c>
    </row>
    <row r="105" spans="1:17" s="52" customFormat="1" ht="13.5">
      <c r="B105" s="52" t="s">
        <v>259</v>
      </c>
      <c r="G105" s="52">
        <f t="shared" si="2"/>
        <v>0</v>
      </c>
      <c r="H105" s="52">
        <v>15</v>
      </c>
      <c r="I105" s="61">
        <f t="shared" si="3"/>
        <v>15</v>
      </c>
      <c r="J105" s="90">
        <f>Jan!I105+Feb!I105+Mar!I105+Apr!I105+May!I105+Jun!I105+July!I105+Aug!I105</f>
        <v>120</v>
      </c>
      <c r="K105" s="82"/>
      <c r="L105" s="398"/>
      <c r="M105" s="397"/>
      <c r="N105" s="397"/>
      <c r="O105" s="398"/>
    </row>
    <row r="106" spans="1:17" s="52" customFormat="1" ht="13.5">
      <c r="B106" s="52" t="s">
        <v>299</v>
      </c>
      <c r="G106" s="52">
        <f t="shared" si="2"/>
        <v>0</v>
      </c>
      <c r="H106" s="52">
        <v>35</v>
      </c>
      <c r="I106" s="61">
        <f t="shared" si="3"/>
        <v>35</v>
      </c>
      <c r="J106" s="90">
        <f>Jan!I106+Feb!I106+Mar!I106+Apr!I106+May!I106+Jun!I106+July!I106+Aug!I106</f>
        <v>253.66</v>
      </c>
      <c r="K106" s="82"/>
      <c r="L106" s="398"/>
      <c r="M106" s="397"/>
      <c r="N106" s="397"/>
      <c r="O106" s="398"/>
    </row>
    <row r="107" spans="1:17" s="52" customFormat="1" ht="13.5">
      <c r="B107" s="52" t="s">
        <v>440</v>
      </c>
      <c r="G107" s="52">
        <f t="shared" si="2"/>
        <v>0</v>
      </c>
      <c r="H107" s="52">
        <v>26</v>
      </c>
      <c r="I107" s="61">
        <f t="shared" si="3"/>
        <v>26</v>
      </c>
      <c r="J107" s="90">
        <f>Jan!I107+Feb!I107+Mar!I107+Apr!I107+May!I107+Jun!I107+July!I107+Aug!I107</f>
        <v>-63</v>
      </c>
      <c r="K107" s="82"/>
      <c r="L107" s="398"/>
      <c r="M107" s="397"/>
      <c r="N107" s="397"/>
      <c r="O107" s="398"/>
    </row>
    <row r="108" spans="1:17" s="52" customFormat="1" ht="13.5">
      <c r="B108" s="52" t="s">
        <v>441</v>
      </c>
      <c r="G108" s="52">
        <f t="shared" si="2"/>
        <v>0</v>
      </c>
      <c r="H108" s="52">
        <v>12</v>
      </c>
      <c r="I108" s="61">
        <f t="shared" si="3"/>
        <v>12</v>
      </c>
      <c r="J108" s="90">
        <f>Jan!I108+Feb!I108+Mar!I108+Apr!I108+May!I108+Jun!I108+July!I108+Aug!I108</f>
        <v>-49.990000000000009</v>
      </c>
      <c r="K108" s="82"/>
      <c r="L108" s="398"/>
      <c r="M108" s="397"/>
      <c r="N108" s="397"/>
      <c r="O108" s="398"/>
    </row>
    <row r="109" spans="1:17" s="52" customFormat="1" ht="13.5">
      <c r="I109" s="61"/>
      <c r="J109" s="90"/>
      <c r="K109" s="82"/>
      <c r="L109" s="398"/>
      <c r="M109" s="397"/>
      <c r="N109" s="397"/>
      <c r="O109" s="398"/>
    </row>
    <row r="110" spans="1:17" s="52" customFormat="1" ht="13.5">
      <c r="A110" s="58" t="s">
        <v>236</v>
      </c>
      <c r="B110" s="58">
        <f>SUM(G111:G113)</f>
        <v>66.260000000000005</v>
      </c>
      <c r="C110" s="58">
        <f>SUM(H111:H113)</f>
        <v>470</v>
      </c>
      <c r="D110" s="58">
        <f>C110-B110</f>
        <v>403.74</v>
      </c>
      <c r="I110" s="61"/>
      <c r="J110" s="90"/>
      <c r="K110" s="82"/>
      <c r="L110" s="398"/>
      <c r="M110" s="397"/>
      <c r="N110" s="397"/>
      <c r="O110" s="398"/>
    </row>
    <row r="111" spans="1:17" s="52" customFormat="1" ht="13.5">
      <c r="B111" s="52" t="s">
        <v>482</v>
      </c>
      <c r="G111" s="52">
        <f t="shared" si="2"/>
        <v>9.94</v>
      </c>
      <c r="H111" s="52">
        <v>60</v>
      </c>
      <c r="I111" s="61">
        <f t="shared" si="3"/>
        <v>50.06</v>
      </c>
      <c r="J111" s="90">
        <f>Jan!I111+Feb!I111+Mar!I111+Apr!I111+May!I111+Jun!I111+July!I111+Aug!I111</f>
        <v>470.06</v>
      </c>
      <c r="K111" s="82"/>
      <c r="L111" s="398"/>
      <c r="M111" s="397">
        <v>9.94</v>
      </c>
      <c r="N111" s="397"/>
      <c r="O111" s="398"/>
    </row>
    <row r="112" spans="1:17" s="52" customFormat="1" ht="13.5">
      <c r="B112" s="52" t="s">
        <v>442</v>
      </c>
      <c r="G112" s="52">
        <f t="shared" si="2"/>
        <v>56.32</v>
      </c>
      <c r="H112" s="52">
        <v>400</v>
      </c>
      <c r="I112" s="61">
        <f t="shared" si="3"/>
        <v>343.68</v>
      </c>
      <c r="J112" s="90">
        <f>Jan!I112+Feb!I112+Mar!I112+Apr!I112+May!I112+Jun!I112+July!I112+Aug!I112</f>
        <v>2978.68</v>
      </c>
      <c r="K112" s="82"/>
      <c r="L112" s="398"/>
      <c r="M112" s="397">
        <f>56.32</f>
        <v>56.32</v>
      </c>
      <c r="N112" s="397"/>
      <c r="O112" s="398"/>
      <c r="Q112" s="52" t="s">
        <v>1146</v>
      </c>
    </row>
    <row r="113" spans="1:17" s="52" customFormat="1" ht="13.5">
      <c r="B113" s="52" t="s">
        <v>258</v>
      </c>
      <c r="G113" s="52">
        <f t="shared" si="2"/>
        <v>0</v>
      </c>
      <c r="H113" s="52">
        <v>10</v>
      </c>
      <c r="I113" s="61">
        <f t="shared" si="3"/>
        <v>10</v>
      </c>
      <c r="J113" s="90">
        <f>Jan!I113+Feb!I113+Mar!I113+Apr!I113+May!I113+Jun!I113+July!I113+Aug!I113</f>
        <v>57.480000000000004</v>
      </c>
      <c r="K113" s="82"/>
      <c r="L113" s="398"/>
      <c r="M113" s="397"/>
      <c r="N113" s="397"/>
      <c r="O113" s="398"/>
    </row>
    <row r="114" spans="1:17" s="52" customFormat="1" ht="13.5">
      <c r="I114" s="61"/>
      <c r="J114" s="90"/>
      <c r="K114" s="82"/>
      <c r="L114" s="398"/>
      <c r="M114" s="397"/>
      <c r="N114" s="397"/>
      <c r="O114" s="398"/>
    </row>
    <row r="115" spans="1:17" s="52" customFormat="1" ht="13.5">
      <c r="A115" s="58" t="s">
        <v>53</v>
      </c>
      <c r="B115" s="58">
        <f>SUM(G116:G118)</f>
        <v>71.680000000000007</v>
      </c>
      <c r="C115" s="58">
        <f>SUM(H116:H118)</f>
        <v>245</v>
      </c>
      <c r="D115" s="58">
        <f>C115-B115</f>
        <v>173.32</v>
      </c>
      <c r="I115" s="61"/>
      <c r="J115" s="90"/>
      <c r="K115" s="82"/>
      <c r="L115" s="398"/>
      <c r="M115" s="397"/>
      <c r="N115" s="397"/>
      <c r="O115" s="398"/>
    </row>
    <row r="116" spans="1:17" s="52" customFormat="1" ht="13.5">
      <c r="B116" s="52" t="s">
        <v>443</v>
      </c>
      <c r="G116" s="52">
        <f t="shared" ref="G116:G170" si="4">SUM(L116:O116)</f>
        <v>0</v>
      </c>
      <c r="H116" s="52">
        <v>90</v>
      </c>
      <c r="I116" s="61">
        <f t="shared" si="3"/>
        <v>90</v>
      </c>
      <c r="J116" s="90">
        <f>Jan!I116+Feb!I116+Mar!I116+Apr!I116+May!I116+Jun!I116+July!I116+Aug!I116</f>
        <v>-2118.3500000000004</v>
      </c>
      <c r="K116" s="82"/>
      <c r="L116" s="398"/>
      <c r="M116" s="397"/>
      <c r="N116" s="397"/>
      <c r="O116" s="398"/>
    </row>
    <row r="117" spans="1:17" s="52" customFormat="1" ht="13.5">
      <c r="B117" s="52" t="s">
        <v>54</v>
      </c>
      <c r="G117" s="52">
        <f t="shared" si="4"/>
        <v>0</v>
      </c>
      <c r="H117" s="52">
        <v>25</v>
      </c>
      <c r="I117" s="61">
        <f t="shared" si="3"/>
        <v>25</v>
      </c>
      <c r="J117" s="90">
        <f>Jan!I117+Feb!I117+Mar!I117+Apr!I117+May!I117+Jun!I117+July!I117+Aug!I117</f>
        <v>-33.400000000000006</v>
      </c>
      <c r="K117" s="82"/>
      <c r="L117" s="398"/>
      <c r="M117" s="397"/>
      <c r="N117" s="397"/>
      <c r="O117" s="398"/>
    </row>
    <row r="118" spans="1:17" s="52" customFormat="1" ht="13.5">
      <c r="B118" s="54" t="s">
        <v>444</v>
      </c>
      <c r="G118" s="52">
        <f t="shared" si="4"/>
        <v>71.680000000000007</v>
      </c>
      <c r="H118" s="52">
        <v>130</v>
      </c>
      <c r="I118" s="61">
        <f t="shared" si="3"/>
        <v>58.319999999999993</v>
      </c>
      <c r="J118" s="90">
        <f>Jan!I118+Feb!I118+Mar!I118+Apr!I118+May!I118+Jun!I118+July!I118+Aug!I118</f>
        <v>86.760000000000019</v>
      </c>
      <c r="K118" s="82"/>
      <c r="L118" s="398"/>
      <c r="M118" s="397">
        <f>47.06+24.62</f>
        <v>71.680000000000007</v>
      </c>
      <c r="N118" s="397"/>
      <c r="O118" s="398"/>
      <c r="Q118" s="52" t="s">
        <v>1134</v>
      </c>
    </row>
    <row r="119" spans="1:17" s="52" customFormat="1" ht="13.5">
      <c r="I119" s="61"/>
      <c r="J119" s="90"/>
      <c r="K119" s="82"/>
      <c r="L119" s="398"/>
      <c r="M119" s="397"/>
      <c r="N119" s="397"/>
      <c r="O119" s="398"/>
    </row>
    <row r="120" spans="1:17" s="52" customFormat="1" ht="13.5">
      <c r="A120" s="58" t="s">
        <v>59</v>
      </c>
      <c r="B120" s="58">
        <f>SUM(G121:G123)</f>
        <v>1044.8</v>
      </c>
      <c r="C120" s="58">
        <f>SUM(H121:H123)</f>
        <v>415</v>
      </c>
      <c r="D120" s="58">
        <f>C120-B120</f>
        <v>-629.79999999999995</v>
      </c>
      <c r="I120" s="61"/>
      <c r="J120" s="90"/>
      <c r="K120" s="82"/>
      <c r="L120" s="398"/>
      <c r="M120" s="397"/>
      <c r="N120" s="397"/>
      <c r="O120" s="398"/>
    </row>
    <row r="121" spans="1:17" s="52" customFormat="1" ht="13.5">
      <c r="B121" s="52" t="s">
        <v>484</v>
      </c>
      <c r="D121" s="52" t="s">
        <v>60</v>
      </c>
      <c r="G121" s="52">
        <f t="shared" si="4"/>
        <v>984.8</v>
      </c>
      <c r="H121" s="52">
        <v>150</v>
      </c>
      <c r="I121" s="61">
        <f t="shared" si="3"/>
        <v>-834.8</v>
      </c>
      <c r="J121" s="90">
        <f>Jan!I121+Feb!I121+Mar!I121+Apr!I121+May!I121+Jun!I121+July!I121+Aug!I121</f>
        <v>215.20000000000005</v>
      </c>
      <c r="K121" s="82"/>
      <c r="L121" s="398"/>
      <c r="M121" s="397">
        <f>27.96+13.98+12.96</f>
        <v>54.9</v>
      </c>
      <c r="N121" s="397">
        <v>929.9</v>
      </c>
      <c r="O121" s="398"/>
      <c r="Q121" s="52" t="s">
        <v>1143</v>
      </c>
    </row>
    <row r="122" spans="1:17" s="52" customFormat="1" ht="13.5">
      <c r="A122" s="58"/>
      <c r="B122" s="52" t="s">
        <v>483</v>
      </c>
      <c r="G122" s="52">
        <f t="shared" si="4"/>
        <v>0</v>
      </c>
      <c r="H122" s="52">
        <v>215</v>
      </c>
      <c r="I122" s="61">
        <f t="shared" si="3"/>
        <v>215</v>
      </c>
      <c r="J122" s="90">
        <f>Jan!I122+Feb!I122+Mar!I122+Apr!I122+May!I122+Jun!I122+July!I122+Aug!I122</f>
        <v>1210</v>
      </c>
      <c r="K122" s="82"/>
      <c r="L122" s="398"/>
      <c r="M122" s="397"/>
      <c r="N122" s="397"/>
      <c r="O122" s="398"/>
    </row>
    <row r="123" spans="1:17" s="52" customFormat="1" ht="13.5">
      <c r="A123" s="58"/>
      <c r="B123" s="52" t="s">
        <v>468</v>
      </c>
      <c r="G123" s="52">
        <f t="shared" si="4"/>
        <v>60</v>
      </c>
      <c r="H123" s="52">
        <v>50</v>
      </c>
      <c r="I123" s="61">
        <f t="shared" si="3"/>
        <v>-10</v>
      </c>
      <c r="J123" s="90">
        <f>Jan!I123+Feb!I123+Mar!I123+Apr!I123+May!I123+Jun!I123+July!I123+Aug!I123</f>
        <v>-1725</v>
      </c>
      <c r="K123" s="82"/>
      <c r="L123" s="398">
        <v>60</v>
      </c>
      <c r="M123" s="397"/>
      <c r="N123" s="397"/>
      <c r="O123" s="398"/>
      <c r="Q123" s="52" t="s">
        <v>1137</v>
      </c>
    </row>
    <row r="124" spans="1:17" s="52" customFormat="1" ht="13.5">
      <c r="A124" s="58"/>
      <c r="I124" s="61"/>
      <c r="J124" s="90"/>
      <c r="K124" s="82"/>
      <c r="L124" s="398"/>
      <c r="M124" s="397"/>
      <c r="N124" s="397"/>
      <c r="O124" s="398"/>
    </row>
    <row r="125" spans="1:17" s="52" customFormat="1" ht="13.5">
      <c r="A125" s="58" t="s">
        <v>50</v>
      </c>
      <c r="B125" s="58">
        <f>SUM(G126:G136)</f>
        <v>684.91000000000008</v>
      </c>
      <c r="C125" s="58">
        <f>SUM(H126:H136)</f>
        <v>740</v>
      </c>
      <c r="D125" s="58">
        <f>C125-B125</f>
        <v>55.089999999999918</v>
      </c>
      <c r="I125" s="61"/>
      <c r="J125" s="90"/>
      <c r="K125" s="82"/>
      <c r="L125" s="398"/>
      <c r="M125" s="397"/>
      <c r="N125" s="397"/>
      <c r="O125" s="398"/>
    </row>
    <row r="126" spans="1:17" s="52" customFormat="1" ht="13.5">
      <c r="B126" s="52" t="s">
        <v>51</v>
      </c>
      <c r="G126" s="52">
        <f t="shared" si="4"/>
        <v>200</v>
      </c>
      <c r="H126" s="52">
        <v>100</v>
      </c>
      <c r="I126" s="61">
        <f t="shared" si="3"/>
        <v>-100</v>
      </c>
      <c r="J126" s="90">
        <f>Jan!I126+Feb!I126+Mar!I126+Apr!I126+May!I126+Jun!I126+July!I126+Aug!I126</f>
        <v>-889.1</v>
      </c>
      <c r="K126" s="82"/>
      <c r="L126" s="398">
        <v>200</v>
      </c>
      <c r="M126" s="397"/>
      <c r="N126" s="397"/>
      <c r="O126" s="398"/>
      <c r="Q126" s="120">
        <v>42234</v>
      </c>
    </row>
    <row r="127" spans="1:17" s="52" customFormat="1" ht="14.25" thickBot="1">
      <c r="B127" s="52" t="s">
        <v>453</v>
      </c>
      <c r="G127" s="52">
        <f t="shared" si="4"/>
        <v>368.25</v>
      </c>
      <c r="H127" s="52">
        <v>500</v>
      </c>
      <c r="I127" s="61">
        <f t="shared" si="3"/>
        <v>131.75</v>
      </c>
      <c r="J127" s="90">
        <f>Jan!I127+Feb!I127+Mar!I127+Apr!I127+May!I127+Jun!I127+July!I127+Aug!I127</f>
        <v>508.77000000000021</v>
      </c>
      <c r="K127" s="82"/>
      <c r="L127" s="398"/>
      <c r="M127" s="397"/>
      <c r="N127" s="397">
        <f>50.53+64.94+(28.31-20.31)+52.78+55.13+60.26+76.61</f>
        <v>368.25</v>
      </c>
      <c r="O127" s="398"/>
    </row>
    <row r="128" spans="1:17" s="52" customFormat="1" ht="14.25" thickBot="1">
      <c r="C128" s="52" t="s">
        <v>446</v>
      </c>
      <c r="E128" s="88"/>
      <c r="I128" s="61"/>
      <c r="J128" s="90"/>
      <c r="K128" s="82"/>
      <c r="L128" s="398"/>
      <c r="M128" s="397"/>
      <c r="N128" s="397"/>
      <c r="O128" s="398"/>
    </row>
    <row r="129" spans="1:17" s="52" customFormat="1" ht="14.25" thickBot="1">
      <c r="C129" s="52" t="s">
        <v>447</v>
      </c>
      <c r="E129" s="88"/>
      <c r="I129" s="61"/>
      <c r="J129" s="90"/>
      <c r="K129" s="82"/>
      <c r="L129" s="398"/>
      <c r="M129" s="397"/>
      <c r="N129" s="397"/>
      <c r="O129" s="398"/>
    </row>
    <row r="130" spans="1:17" s="52" customFormat="1" ht="13.5">
      <c r="B130" s="52" t="s">
        <v>300</v>
      </c>
      <c r="G130" s="52">
        <f t="shared" si="4"/>
        <v>67.97</v>
      </c>
      <c r="H130" s="52">
        <v>50</v>
      </c>
      <c r="I130" s="61">
        <f t="shared" si="3"/>
        <v>-17.97</v>
      </c>
      <c r="J130" s="90">
        <f>Jan!I130+Feb!I130+Mar!I130+Apr!I130+May!I130+Jun!I130+July!I130+Aug!I130</f>
        <v>-660.25</v>
      </c>
      <c r="K130" s="82"/>
      <c r="L130" s="398"/>
      <c r="M130" s="397">
        <f>24.97</f>
        <v>24.97</v>
      </c>
      <c r="N130" s="397">
        <f>43</f>
        <v>43</v>
      </c>
      <c r="O130" s="398"/>
      <c r="Q130" s="52" t="s">
        <v>1135</v>
      </c>
    </row>
    <row r="131" spans="1:17" s="52" customFormat="1" ht="14.25" thickBot="1">
      <c r="B131" s="52" t="s">
        <v>52</v>
      </c>
      <c r="G131" s="52">
        <f t="shared" si="4"/>
        <v>48.69</v>
      </c>
      <c r="H131" s="52">
        <v>70</v>
      </c>
      <c r="I131" s="61">
        <f t="shared" si="3"/>
        <v>21.310000000000002</v>
      </c>
      <c r="J131" s="90">
        <f>Jan!I131+Feb!I131+Mar!I131+Apr!I131+May!I131+Jun!I131+July!I131+Aug!I131</f>
        <v>304.57000000000005</v>
      </c>
      <c r="K131" s="82"/>
      <c r="L131" s="398"/>
      <c r="M131" s="397">
        <v>48.69</v>
      </c>
      <c r="N131" s="397"/>
      <c r="O131" s="398"/>
      <c r="Q131" s="52" t="s">
        <v>1120</v>
      </c>
    </row>
    <row r="132" spans="1:17" s="52" customFormat="1" ht="14.25" thickBot="1">
      <c r="C132" s="259" t="s">
        <v>448</v>
      </c>
      <c r="D132" s="260"/>
      <c r="E132" s="88">
        <v>16</v>
      </c>
      <c r="I132" s="61"/>
      <c r="J132" s="90"/>
      <c r="K132" s="82"/>
      <c r="L132" s="398"/>
      <c r="M132" s="397"/>
      <c r="N132" s="397"/>
      <c r="O132" s="398"/>
    </row>
    <row r="133" spans="1:17" s="52" customFormat="1" ht="14.25" thickBot="1">
      <c r="C133" s="259" t="s">
        <v>449</v>
      </c>
      <c r="D133" s="260"/>
      <c r="E133" s="88"/>
      <c r="I133" s="61"/>
      <c r="J133" s="90"/>
      <c r="K133" s="82"/>
      <c r="L133" s="398"/>
      <c r="M133" s="397"/>
      <c r="N133" s="397"/>
      <c r="O133" s="398"/>
    </row>
    <row r="134" spans="1:17" s="52" customFormat="1" ht="14.25" thickBot="1">
      <c r="C134" s="259" t="s">
        <v>450</v>
      </c>
      <c r="D134" s="260"/>
      <c r="E134" s="88"/>
      <c r="I134" s="61"/>
      <c r="J134" s="90"/>
      <c r="K134" s="82"/>
      <c r="L134" s="398"/>
      <c r="M134" s="397"/>
      <c r="N134" s="397"/>
      <c r="O134" s="398"/>
    </row>
    <row r="135" spans="1:17" s="52" customFormat="1" ht="14.25" thickBot="1">
      <c r="C135" s="259" t="s">
        <v>451</v>
      </c>
      <c r="D135" s="260"/>
      <c r="E135" s="88">
        <v>32.69</v>
      </c>
      <c r="I135" s="61"/>
      <c r="J135" s="90"/>
      <c r="K135" s="82"/>
      <c r="L135" s="398"/>
      <c r="M135" s="397"/>
      <c r="N135" s="397"/>
      <c r="O135" s="398"/>
    </row>
    <row r="136" spans="1:17" s="52" customFormat="1" ht="13.5">
      <c r="B136" s="52" t="s">
        <v>452</v>
      </c>
      <c r="G136" s="52">
        <f t="shared" si="4"/>
        <v>0</v>
      </c>
      <c r="H136" s="52">
        <v>20</v>
      </c>
      <c r="I136" s="61">
        <f t="shared" ref="I136:I151" si="5">H136-G136</f>
        <v>20</v>
      </c>
      <c r="J136" s="90">
        <f>Jan!I136+Feb!I136+Mar!I136+Apr!I136+May!I136+Jun!I136+July!I136+Aug!I136</f>
        <v>74.16</v>
      </c>
      <c r="K136" s="82"/>
      <c r="L136" s="398"/>
      <c r="M136" s="397"/>
      <c r="N136" s="397"/>
      <c r="O136" s="398"/>
    </row>
    <row r="137" spans="1:17" s="52" customFormat="1" ht="13.5">
      <c r="I137" s="61"/>
      <c r="J137" s="90"/>
      <c r="K137" s="82"/>
      <c r="L137" s="398"/>
      <c r="M137" s="397"/>
      <c r="N137" s="397"/>
      <c r="O137" s="398"/>
    </row>
    <row r="138" spans="1:17" s="52" customFormat="1" ht="13.5">
      <c r="A138" s="58" t="s">
        <v>65</v>
      </c>
      <c r="B138" s="58">
        <f>G139</f>
        <v>0</v>
      </c>
      <c r="C138" s="58">
        <f>H139</f>
        <v>140</v>
      </c>
      <c r="D138" s="58">
        <f>I139</f>
        <v>140</v>
      </c>
      <c r="I138" s="61"/>
      <c r="J138" s="90"/>
      <c r="K138" s="82"/>
      <c r="L138" s="398"/>
      <c r="M138" s="397"/>
      <c r="N138" s="397"/>
      <c r="O138" s="398"/>
    </row>
    <row r="139" spans="1:17" s="52" customFormat="1" ht="13.5">
      <c r="B139" s="52" t="s">
        <v>66</v>
      </c>
      <c r="G139" s="52">
        <f t="shared" si="4"/>
        <v>0</v>
      </c>
      <c r="H139" s="52">
        <v>140</v>
      </c>
      <c r="I139" s="61">
        <f t="shared" si="5"/>
        <v>140</v>
      </c>
      <c r="J139" s="90">
        <f>Jan!I139+Feb!I139+Mar!I139+Apr!I139+May!I139+Jun!I139+July!I139+Aug!I139</f>
        <v>758.08</v>
      </c>
      <c r="K139" s="82"/>
      <c r="L139" s="398"/>
      <c r="M139" s="397"/>
      <c r="N139" s="397"/>
      <c r="O139" s="398"/>
    </row>
    <row r="140" spans="1:17" s="52" customFormat="1" ht="13.5">
      <c r="I140" s="61"/>
      <c r="J140" s="90"/>
      <c r="K140" s="82"/>
      <c r="L140" s="398"/>
      <c r="M140" s="397"/>
      <c r="N140" s="397"/>
      <c r="O140" s="398"/>
    </row>
    <row r="141" spans="1:17" s="52" customFormat="1" ht="13.5">
      <c r="A141" s="58" t="s">
        <v>271</v>
      </c>
      <c r="B141" s="58">
        <f>SUM(G142:G144)</f>
        <v>105.32</v>
      </c>
      <c r="C141" s="58">
        <f>SUM(H142:H144)</f>
        <v>230</v>
      </c>
      <c r="D141" s="58">
        <f>C141-B141</f>
        <v>124.68</v>
      </c>
      <c r="I141" s="61"/>
      <c r="J141" s="90"/>
      <c r="K141" s="82"/>
      <c r="L141" s="398"/>
      <c r="M141" s="397"/>
      <c r="N141" s="397"/>
      <c r="O141" s="398"/>
    </row>
    <row r="142" spans="1:17" s="52" customFormat="1" ht="13.5">
      <c r="B142" s="52" t="s">
        <v>266</v>
      </c>
      <c r="G142" s="52">
        <f t="shared" si="4"/>
        <v>105.32</v>
      </c>
      <c r="H142" s="52">
        <v>100</v>
      </c>
      <c r="I142" s="61">
        <f t="shared" si="5"/>
        <v>-5.3199999999999932</v>
      </c>
      <c r="J142" s="90">
        <f>Jan!I142+Feb!I142+Mar!I142+Apr!I142+May!I142+Jun!I142+July!I142+Aug!I142</f>
        <v>-439.04</v>
      </c>
      <c r="K142" s="82"/>
      <c r="L142" s="398"/>
      <c r="M142" s="397">
        <f>15.42+16.18+50</f>
        <v>81.599999999999994</v>
      </c>
      <c r="N142" s="397">
        <f>23.72</f>
        <v>23.72</v>
      </c>
      <c r="O142" s="398"/>
    </row>
    <row r="143" spans="1:17" s="52" customFormat="1" ht="13.5">
      <c r="B143" s="52" t="s">
        <v>454</v>
      </c>
      <c r="G143" s="52">
        <f t="shared" si="4"/>
        <v>0</v>
      </c>
      <c r="H143" s="52">
        <v>100</v>
      </c>
      <c r="I143" s="61">
        <f t="shared" si="5"/>
        <v>100</v>
      </c>
      <c r="J143" s="90">
        <f>Jan!I143+Feb!I143+Mar!I143+Apr!I143+May!I143+Jun!I143+July!I143+Aug!I143</f>
        <v>698.68000000000006</v>
      </c>
      <c r="K143" s="82"/>
      <c r="L143" s="398"/>
      <c r="M143" s="397"/>
      <c r="N143" s="397"/>
      <c r="O143" s="398"/>
    </row>
    <row r="144" spans="1:17" s="52" customFormat="1" ht="13.5">
      <c r="B144" s="52" t="s">
        <v>455</v>
      </c>
      <c r="G144" s="52">
        <f t="shared" si="4"/>
        <v>0</v>
      </c>
      <c r="H144" s="52">
        <v>30</v>
      </c>
      <c r="I144" s="61">
        <f t="shared" si="5"/>
        <v>30</v>
      </c>
      <c r="J144" s="90">
        <f>Jan!I144+Feb!I144+Mar!I144+Apr!I144+May!I144+Jun!I144+July!I144+Aug!I144</f>
        <v>240</v>
      </c>
      <c r="K144" s="82"/>
      <c r="L144" s="398"/>
      <c r="M144" s="397"/>
      <c r="N144" s="397"/>
      <c r="O144" s="398"/>
    </row>
    <row r="145" spans="1:17" s="52" customFormat="1" ht="13.5">
      <c r="I145" s="61"/>
      <c r="J145" s="90"/>
      <c r="K145" s="82"/>
      <c r="L145" s="398"/>
      <c r="M145" s="397"/>
      <c r="N145" s="397"/>
      <c r="O145" s="398"/>
    </row>
    <row r="146" spans="1:17" s="52" customFormat="1" ht="13.5">
      <c r="A146" s="58" t="s">
        <v>67</v>
      </c>
      <c r="B146" s="58">
        <f>G147</f>
        <v>20.309999999999999</v>
      </c>
      <c r="C146" s="58">
        <f>H147</f>
        <v>10</v>
      </c>
      <c r="D146" s="58">
        <f>C146-B146</f>
        <v>-10.309999999999999</v>
      </c>
      <c r="I146" s="61"/>
      <c r="J146" s="90"/>
      <c r="K146" s="82"/>
      <c r="L146" s="398"/>
      <c r="M146" s="397"/>
      <c r="N146" s="397"/>
      <c r="O146" s="398"/>
    </row>
    <row r="147" spans="1:17" s="52" customFormat="1" ht="13.5">
      <c r="B147" s="52" t="s">
        <v>68</v>
      </c>
      <c r="G147" s="52">
        <f t="shared" si="4"/>
        <v>20.309999999999999</v>
      </c>
      <c r="H147" s="52">
        <v>10</v>
      </c>
      <c r="I147" s="61">
        <f t="shared" si="5"/>
        <v>-10.309999999999999</v>
      </c>
      <c r="J147" s="90">
        <f>Jan!I147+Feb!I147+Mar!I147+Apr!I147+May!I147+Jun!I147+July!I147+Aug!I147</f>
        <v>46.739999999999995</v>
      </c>
      <c r="K147" s="82"/>
      <c r="L147" s="398"/>
      <c r="M147" s="397"/>
      <c r="N147" s="397">
        <v>20.309999999999999</v>
      </c>
      <c r="O147" s="398"/>
      <c r="Q147" s="52" t="s">
        <v>1140</v>
      </c>
    </row>
    <row r="148" spans="1:17" s="52" customFormat="1" ht="13.5">
      <c r="I148" s="61"/>
      <c r="J148" s="90"/>
      <c r="K148" s="82"/>
      <c r="L148" s="398"/>
      <c r="M148" s="397"/>
      <c r="N148" s="397"/>
      <c r="O148" s="398"/>
    </row>
    <row r="149" spans="1:17" s="52" customFormat="1" ht="13.5">
      <c r="A149" s="58" t="s">
        <v>269</v>
      </c>
      <c r="B149" s="58">
        <f>SUM(G150:G151)</f>
        <v>83.03</v>
      </c>
      <c r="C149" s="58">
        <f>SUM(H150:H151)</f>
        <v>250</v>
      </c>
      <c r="D149" s="58">
        <f>C149-B149</f>
        <v>166.97</v>
      </c>
      <c r="I149" s="61"/>
      <c r="J149" s="90"/>
      <c r="K149" s="82"/>
      <c r="L149" s="398"/>
      <c r="M149" s="397"/>
      <c r="N149" s="397"/>
      <c r="O149" s="398"/>
    </row>
    <row r="150" spans="1:17" s="52" customFormat="1" ht="13.5">
      <c r="B150" s="52" t="s">
        <v>63</v>
      </c>
      <c r="G150" s="52">
        <f t="shared" si="4"/>
        <v>0</v>
      </c>
      <c r="H150" s="52">
        <v>150</v>
      </c>
      <c r="I150" s="61">
        <f t="shared" si="5"/>
        <v>150</v>
      </c>
      <c r="J150" s="90">
        <f>Jan!I150+Feb!I150+Mar!I150+Apr!I150+May!I150+Jun!I150+July!I150+Aug!I150</f>
        <v>1150</v>
      </c>
      <c r="K150" s="82"/>
      <c r="L150" s="398"/>
      <c r="M150" s="397"/>
      <c r="N150" s="397"/>
      <c r="O150" s="398"/>
    </row>
    <row r="151" spans="1:17" s="52" customFormat="1" ht="13.5">
      <c r="B151" s="52" t="s">
        <v>64</v>
      </c>
      <c r="D151" s="52" t="s">
        <v>270</v>
      </c>
      <c r="G151" s="52">
        <f t="shared" si="4"/>
        <v>83.03</v>
      </c>
      <c r="H151" s="52">
        <v>100</v>
      </c>
      <c r="I151" s="61">
        <f t="shared" si="5"/>
        <v>16.97</v>
      </c>
      <c r="J151" s="90">
        <f>Jan!I151+Feb!I151+Mar!I151+Apr!I151+May!I151+Jun!I151+July!I151+Aug!I151</f>
        <v>508.08000000000004</v>
      </c>
      <c r="K151" s="87"/>
      <c r="L151" s="398"/>
      <c r="M151" s="397">
        <f>83.03</f>
        <v>83.03</v>
      </c>
      <c r="N151" s="397"/>
      <c r="O151" s="398"/>
      <c r="Q151" s="52" t="s">
        <v>1145</v>
      </c>
    </row>
    <row r="152" spans="1:17" s="52" customFormat="1" ht="13.5">
      <c r="I152" s="61"/>
      <c r="J152" s="90"/>
      <c r="K152" s="87"/>
      <c r="L152" s="398"/>
      <c r="M152" s="397"/>
      <c r="N152" s="397"/>
      <c r="O152" s="398"/>
    </row>
    <row r="153" spans="1:17" ht="13.5">
      <c r="A153" s="52"/>
      <c r="B153" s="52"/>
      <c r="C153" s="52"/>
      <c r="D153" s="52"/>
      <c r="E153" s="52"/>
      <c r="F153" s="52"/>
      <c r="G153" s="52"/>
      <c r="H153" s="52"/>
      <c r="I153" s="61"/>
      <c r="J153" s="90"/>
      <c r="L153" s="398"/>
      <c r="M153" s="397"/>
      <c r="N153" s="397"/>
      <c r="O153" s="398"/>
    </row>
    <row r="154" spans="1:17" ht="13.5">
      <c r="A154" s="58" t="s">
        <v>459</v>
      </c>
      <c r="B154" s="52"/>
      <c r="C154" s="52"/>
      <c r="D154" s="52"/>
      <c r="E154" s="52"/>
      <c r="F154" s="52"/>
      <c r="G154" s="52"/>
      <c r="H154" s="52"/>
      <c r="I154" s="61"/>
      <c r="J154" s="90"/>
      <c r="L154" s="398"/>
      <c r="M154" s="397"/>
      <c r="N154" s="397"/>
      <c r="O154" s="398"/>
    </row>
    <row r="155" spans="1:17" ht="13.5">
      <c r="A155" s="52"/>
      <c r="B155" s="52">
        <f>SUM(G156:G170)</f>
        <v>0</v>
      </c>
      <c r="C155" s="52">
        <f>SUM(H156:H170)</f>
        <v>610</v>
      </c>
      <c r="D155" s="58">
        <f>C155-B155</f>
        <v>610</v>
      </c>
      <c r="E155" s="52"/>
      <c r="F155" s="52"/>
      <c r="G155" s="52"/>
      <c r="H155" s="52"/>
      <c r="I155" s="61"/>
      <c r="J155" s="90"/>
      <c r="L155" s="398"/>
      <c r="M155" s="397"/>
      <c r="N155" s="397"/>
      <c r="O155" s="398"/>
    </row>
    <row r="156" spans="1:17" ht="13.5">
      <c r="A156" s="58" t="s">
        <v>461</v>
      </c>
      <c r="B156" s="52"/>
      <c r="C156" s="52"/>
      <c r="D156" s="52"/>
      <c r="E156" s="52"/>
      <c r="F156" s="52"/>
      <c r="G156" s="52"/>
      <c r="H156" s="52"/>
      <c r="I156" s="61"/>
      <c r="J156" s="90"/>
      <c r="L156" s="398"/>
      <c r="M156" s="397"/>
      <c r="N156" s="397"/>
      <c r="O156" s="398"/>
    </row>
    <row r="157" spans="1:17" ht="14.25" thickBot="1">
      <c r="A157" s="52"/>
      <c r="B157" s="52" t="s">
        <v>267</v>
      </c>
      <c r="C157" s="52"/>
      <c r="D157" s="52"/>
      <c r="E157" s="52"/>
      <c r="F157" s="52"/>
      <c r="G157" s="52">
        <f t="shared" si="4"/>
        <v>0</v>
      </c>
      <c r="H157" s="52">
        <v>100</v>
      </c>
      <c r="I157" s="61">
        <f t="shared" ref="I157:I170" si="6">H157-G157</f>
        <v>100</v>
      </c>
      <c r="J157" s="90">
        <f>Jan!I157+Feb!I157+Mar!I157+Apr!I157+May!I157+Jun!I157+July!I157+Aug!I157</f>
        <v>800</v>
      </c>
      <c r="L157" s="398"/>
      <c r="M157" s="397"/>
      <c r="N157" s="397"/>
      <c r="O157" s="398"/>
    </row>
    <row r="158" spans="1:17" ht="14.25" thickBot="1">
      <c r="A158" s="88">
        <f>SUM(G157:G161)</f>
        <v>0</v>
      </c>
      <c r="B158" s="52" t="s">
        <v>268</v>
      </c>
      <c r="C158" s="52"/>
      <c r="D158" s="52"/>
      <c r="E158" s="52"/>
      <c r="F158" s="52"/>
      <c r="G158" s="52">
        <f t="shared" si="4"/>
        <v>0</v>
      </c>
      <c r="H158" s="52">
        <v>100</v>
      </c>
      <c r="I158" s="61">
        <f t="shared" si="6"/>
        <v>100</v>
      </c>
      <c r="J158" s="90">
        <f>Jan!I158+Feb!I158+Mar!I158+Apr!I158+May!I158+Jun!I158+July!I158+Aug!I158</f>
        <v>800</v>
      </c>
      <c r="L158" s="398"/>
      <c r="M158" s="397"/>
      <c r="N158" s="397"/>
      <c r="O158" s="398"/>
    </row>
    <row r="159" spans="1:17" ht="13.5">
      <c r="A159" s="52"/>
      <c r="B159" s="52" t="s">
        <v>61</v>
      </c>
      <c r="C159" s="52"/>
      <c r="D159" s="52"/>
      <c r="E159" s="52"/>
      <c r="F159" s="52"/>
      <c r="G159" s="52">
        <f t="shared" si="4"/>
        <v>0</v>
      </c>
      <c r="H159" s="52">
        <v>30</v>
      </c>
      <c r="I159" s="61">
        <f t="shared" si="6"/>
        <v>30</v>
      </c>
      <c r="J159" s="90">
        <f>Jan!I159+Feb!I159+Mar!I159+Apr!I159+May!I159+Jun!I159+July!I159+Aug!I159</f>
        <v>240</v>
      </c>
      <c r="L159" s="398"/>
      <c r="M159" s="397"/>
      <c r="N159" s="397"/>
      <c r="O159" s="398"/>
    </row>
    <row r="160" spans="1:17" ht="13.5">
      <c r="A160" s="52"/>
      <c r="B160" s="52" t="s">
        <v>62</v>
      </c>
      <c r="C160" s="52"/>
      <c r="D160" s="52"/>
      <c r="E160" s="52"/>
      <c r="F160" s="52"/>
      <c r="G160" s="52">
        <f t="shared" si="4"/>
        <v>0</v>
      </c>
      <c r="H160" s="52">
        <v>50</v>
      </c>
      <c r="I160" s="61">
        <f t="shared" si="6"/>
        <v>50</v>
      </c>
      <c r="J160" s="90">
        <f>Jan!I160+Feb!I160+Mar!I160+Apr!I160+May!I160+Jun!I160+July!I160+Aug!I160</f>
        <v>325</v>
      </c>
      <c r="L160" s="398"/>
      <c r="M160" s="397"/>
      <c r="N160" s="397"/>
      <c r="O160" s="398"/>
    </row>
    <row r="161" spans="1:15" ht="13.5">
      <c r="A161" s="52"/>
      <c r="B161" s="52" t="s">
        <v>486</v>
      </c>
      <c r="C161" s="52"/>
      <c r="D161" s="52"/>
      <c r="E161" s="52"/>
      <c r="F161" s="52"/>
      <c r="G161" s="52">
        <f t="shared" si="4"/>
        <v>0</v>
      </c>
      <c r="H161" s="52">
        <v>10</v>
      </c>
      <c r="I161" s="61">
        <f t="shared" si="6"/>
        <v>10</v>
      </c>
      <c r="J161" s="90">
        <f>Jan!I161+Feb!I161+Mar!I161+Apr!I161+May!I161+Jun!I161+July!I161+Aug!I161</f>
        <v>80</v>
      </c>
      <c r="L161" s="398"/>
      <c r="M161" s="397"/>
      <c r="N161" s="397"/>
      <c r="O161" s="398"/>
    </row>
    <row r="162" spans="1:15" ht="13.5">
      <c r="A162" s="52"/>
      <c r="B162" s="52"/>
      <c r="C162" s="52"/>
      <c r="D162" s="52"/>
      <c r="E162" s="52"/>
      <c r="F162" s="52"/>
      <c r="G162" s="52"/>
      <c r="H162" s="52"/>
      <c r="I162" s="61"/>
      <c r="J162" s="90"/>
      <c r="L162" s="398"/>
      <c r="M162" s="397"/>
      <c r="N162" s="397"/>
      <c r="O162" s="398"/>
    </row>
    <row r="163" spans="1:15" ht="13.5">
      <c r="A163" s="58" t="s">
        <v>460</v>
      </c>
      <c r="B163" s="52"/>
      <c r="C163" s="52"/>
      <c r="D163" s="52"/>
      <c r="E163" s="52"/>
      <c r="F163" s="52"/>
      <c r="G163" s="52"/>
      <c r="H163" s="52"/>
      <c r="I163" s="61"/>
      <c r="J163" s="90"/>
      <c r="L163" s="398"/>
      <c r="M163" s="397"/>
      <c r="N163" s="397"/>
      <c r="O163" s="398"/>
    </row>
    <row r="164" spans="1:15" ht="14.25" thickBot="1">
      <c r="A164" s="52"/>
      <c r="B164" s="52" t="s">
        <v>456</v>
      </c>
      <c r="C164" s="52"/>
      <c r="D164" s="52"/>
      <c r="E164" s="52"/>
      <c r="F164" s="52"/>
      <c r="G164" s="52">
        <f t="shared" si="4"/>
        <v>0</v>
      </c>
      <c r="H164" s="52">
        <v>30</v>
      </c>
      <c r="I164" s="61">
        <f t="shared" si="6"/>
        <v>30</v>
      </c>
      <c r="J164" s="90">
        <f>Jan!I164+Feb!I164+Mar!I164+Apr!I164+May!I164+Jun!I164+July!I164+Aug!I164</f>
        <v>206.82999999999998</v>
      </c>
      <c r="L164" s="398"/>
      <c r="M164" s="397"/>
      <c r="N164" s="397"/>
      <c r="O164" s="398"/>
    </row>
    <row r="165" spans="1:15" ht="14.25" thickBot="1">
      <c r="A165" s="88">
        <f>SUM(G164:G168)</f>
        <v>0</v>
      </c>
      <c r="B165" s="52" t="s">
        <v>457</v>
      </c>
      <c r="C165" s="52"/>
      <c r="D165" s="52"/>
      <c r="E165" s="52"/>
      <c r="F165" s="52"/>
      <c r="G165" s="52">
        <f t="shared" si="4"/>
        <v>0</v>
      </c>
      <c r="H165" s="52">
        <v>30</v>
      </c>
      <c r="I165" s="61">
        <f t="shared" si="6"/>
        <v>30</v>
      </c>
      <c r="J165" s="90">
        <f>Jan!I165+Feb!I165+Mar!I165+Apr!I165+May!I165+Jun!I165+July!I165+Aug!I165</f>
        <v>230</v>
      </c>
      <c r="L165" s="398"/>
      <c r="M165" s="397"/>
      <c r="N165" s="397"/>
      <c r="O165" s="398"/>
    </row>
    <row r="166" spans="1:15" ht="13.5">
      <c r="A166" s="52"/>
      <c r="B166" s="52" t="s">
        <v>462</v>
      </c>
      <c r="C166" s="52"/>
      <c r="D166" s="52"/>
      <c r="E166" s="52"/>
      <c r="F166" s="52"/>
      <c r="G166" s="52">
        <f t="shared" si="4"/>
        <v>0</v>
      </c>
      <c r="H166" s="52">
        <v>30</v>
      </c>
      <c r="I166" s="61">
        <f t="shared" si="6"/>
        <v>30</v>
      </c>
      <c r="J166" s="90">
        <f>Jan!I166+Feb!I166+Mar!I166+Apr!I166+May!I166+Jun!I166+July!I166+Aug!I166</f>
        <v>240</v>
      </c>
      <c r="L166" s="398"/>
      <c r="M166" s="397"/>
      <c r="N166" s="397"/>
      <c r="O166" s="398"/>
    </row>
    <row r="167" spans="1:15" ht="13.5">
      <c r="A167" s="52"/>
      <c r="B167" s="52" t="s">
        <v>458</v>
      </c>
      <c r="C167" s="52"/>
      <c r="D167" s="52"/>
      <c r="E167" s="52"/>
      <c r="F167" s="52"/>
      <c r="G167" s="52">
        <f t="shared" si="4"/>
        <v>0</v>
      </c>
      <c r="H167" s="52">
        <v>30</v>
      </c>
      <c r="I167" s="61">
        <f t="shared" si="6"/>
        <v>30</v>
      </c>
      <c r="J167" s="90">
        <f>Jan!I167+Feb!I167+Mar!I167+Apr!I167+May!I167+Jun!I167+July!I167+Aug!I167</f>
        <v>240</v>
      </c>
      <c r="L167" s="398"/>
      <c r="M167" s="397"/>
      <c r="N167" s="397"/>
      <c r="O167" s="398"/>
    </row>
    <row r="168" spans="1:15" ht="13.5">
      <c r="A168" s="52"/>
      <c r="B168" s="52" t="s">
        <v>485</v>
      </c>
      <c r="C168" s="52"/>
      <c r="D168" s="52"/>
      <c r="E168" s="52"/>
      <c r="F168" s="52"/>
      <c r="G168" s="52">
        <f t="shared" si="4"/>
        <v>0</v>
      </c>
      <c r="H168" s="52">
        <v>100</v>
      </c>
      <c r="I168" s="61">
        <f t="shared" si="6"/>
        <v>100</v>
      </c>
      <c r="J168" s="90">
        <f>Jan!I168+Feb!I168+Mar!I168+Apr!I168+May!I168+Jun!I168+July!I168+Aug!I168</f>
        <v>800</v>
      </c>
      <c r="L168" s="398"/>
      <c r="M168" s="397"/>
      <c r="N168" s="397"/>
      <c r="O168" s="398"/>
    </row>
    <row r="169" spans="1:15" ht="13.5">
      <c r="A169" s="52"/>
      <c r="B169" s="52"/>
      <c r="C169" s="52"/>
      <c r="D169" s="52"/>
      <c r="E169" s="52"/>
      <c r="F169" s="52"/>
      <c r="G169" s="52"/>
      <c r="H169" s="52"/>
      <c r="I169" s="61"/>
      <c r="J169" s="90"/>
      <c r="L169" s="398"/>
      <c r="M169" s="397"/>
      <c r="N169" s="397"/>
      <c r="O169" s="398"/>
    </row>
    <row r="170" spans="1:15" ht="13.5">
      <c r="A170" s="58" t="s">
        <v>272</v>
      </c>
      <c r="B170" s="52"/>
      <c r="C170" s="52"/>
      <c r="D170" s="52"/>
      <c r="E170" s="52"/>
      <c r="F170" s="52"/>
      <c r="G170" s="52">
        <f t="shared" si="4"/>
        <v>0</v>
      </c>
      <c r="H170" s="52">
        <v>100</v>
      </c>
      <c r="I170" s="61">
        <f t="shared" si="6"/>
        <v>100</v>
      </c>
      <c r="J170" s="90">
        <f>Jan!I170+Feb!I170+Mar!I170+Apr!I170+May!I170+Jun!I170+July!I170+Aug!I170</f>
        <v>800</v>
      </c>
      <c r="L170" s="398"/>
      <c r="M170" s="397"/>
      <c r="N170" s="397"/>
      <c r="O170" s="398"/>
    </row>
  </sheetData>
  <sheetProtection selectLockedCells="1" selectUnlockedCells="1"/>
  <pageMargins left="0.75" right="0.75" top="1" bottom="1" header="0.51180555555555551" footer="0.51180555555555551"/>
  <pageSetup firstPageNumber="0" orientation="portrait" horizontalDpi="300" vertic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0"/>
  <sheetViews>
    <sheetView topLeftCell="B17" zoomScale="95" zoomScaleNormal="95" workbookViewId="0">
      <selection activeCell="G46" sqref="G46"/>
    </sheetView>
  </sheetViews>
  <sheetFormatPr defaultColWidth="9" defaultRowHeight="15.75"/>
  <cols>
    <col min="1" max="1" width="24.42578125" style="74" customWidth="1"/>
    <col min="2" max="2" width="18" style="65" customWidth="1"/>
    <col min="3" max="3" width="17.140625" style="65" customWidth="1"/>
    <col min="4" max="5" width="16.5703125" style="65" customWidth="1"/>
    <col min="6" max="6" width="15.28515625" style="65" customWidth="1"/>
    <col min="7" max="7" width="13.5703125" style="65" customWidth="1"/>
    <col min="8" max="8" width="13.85546875" style="65" customWidth="1"/>
    <col min="9" max="10" width="14" style="65" customWidth="1"/>
    <col min="11" max="11" width="2.28515625" style="80" customWidth="1"/>
    <col min="12" max="12" width="11.5703125" style="65" customWidth="1"/>
    <col min="13" max="13" width="11.85546875" style="65" customWidth="1"/>
    <col min="14" max="15" width="11.5703125" style="65" customWidth="1"/>
    <col min="16" max="16" width="1.7109375" style="65" customWidth="1"/>
    <col min="17" max="17" width="11.7109375" style="65" customWidth="1"/>
    <col min="18" max="18" width="11.5703125" style="65" customWidth="1"/>
    <col min="19" max="16384" width="9" style="65"/>
  </cols>
  <sheetData>
    <row r="1" spans="1:16">
      <c r="A1" s="71" t="s">
        <v>182</v>
      </c>
      <c r="B1" s="72">
        <v>2015</v>
      </c>
      <c r="C1" s="72"/>
      <c r="L1" s="73" t="s">
        <v>492</v>
      </c>
    </row>
    <row r="2" spans="1:16">
      <c r="A2" s="71" t="s">
        <v>171</v>
      </c>
      <c r="B2" s="73" t="s">
        <v>14</v>
      </c>
      <c r="C2" s="73"/>
      <c r="L2" s="65" t="s">
        <v>1158</v>
      </c>
      <c r="M2" s="73"/>
    </row>
    <row r="3" spans="1:16">
      <c r="L3" s="65" t="s">
        <v>1159</v>
      </c>
      <c r="M3" s="73"/>
      <c r="O3"/>
    </row>
    <row r="4" spans="1:16">
      <c r="A4" s="71" t="s">
        <v>4</v>
      </c>
      <c r="B4" s="76">
        <f>SUM(G5:G8)</f>
        <v>11605.72</v>
      </c>
      <c r="C4" s="76"/>
      <c r="F4" s="93"/>
      <c r="G4" s="65" t="s">
        <v>31</v>
      </c>
      <c r="L4" s="77" t="s">
        <v>1167</v>
      </c>
      <c r="M4" s="73"/>
      <c r="O4"/>
    </row>
    <row r="5" spans="1:16" ht="12.75">
      <c r="A5" s="65" t="s">
        <v>24</v>
      </c>
      <c r="B5" s="121"/>
      <c r="C5" s="121"/>
      <c r="F5" s="93"/>
      <c r="G5" s="121">
        <f>SUM(B5:E5)</f>
        <v>0</v>
      </c>
      <c r="H5" s="77"/>
      <c r="I5" s="77"/>
      <c r="J5" s="77"/>
      <c r="K5" s="81"/>
      <c r="L5" s="77" t="s">
        <v>1168</v>
      </c>
      <c r="M5" s="73"/>
      <c r="O5"/>
    </row>
    <row r="6" spans="1:16" ht="12.75">
      <c r="A6" s="65" t="s">
        <v>230</v>
      </c>
      <c r="B6" s="65">
        <v>3763.68</v>
      </c>
      <c r="C6" s="75"/>
      <c r="F6" s="93"/>
      <c r="G6" s="121">
        <f>SUM(B6:E6)</f>
        <v>3763.68</v>
      </c>
      <c r="H6" s="77" t="s">
        <v>719</v>
      </c>
      <c r="I6" s="77"/>
      <c r="J6" s="77"/>
      <c r="K6" s="81"/>
      <c r="L6" s="77"/>
      <c r="O6"/>
    </row>
    <row r="7" spans="1:16" ht="12.75">
      <c r="A7" s="65" t="s">
        <v>964</v>
      </c>
      <c r="B7" s="65">
        <v>3921.02</v>
      </c>
      <c r="C7" s="65">
        <v>3921.02</v>
      </c>
      <c r="F7" s="93"/>
      <c r="G7" s="121">
        <f>SUM(B7:E7)</f>
        <v>7842.04</v>
      </c>
      <c r="H7" s="77"/>
      <c r="I7" s="77"/>
      <c r="J7" s="77"/>
      <c r="K7" s="81"/>
      <c r="L7" s="77"/>
      <c r="O7"/>
    </row>
    <row r="8" spans="1:16">
      <c r="F8" s="93"/>
      <c r="G8" s="121"/>
      <c r="H8" s="77"/>
      <c r="I8" s="77"/>
      <c r="J8" s="77"/>
      <c r="K8" s="81"/>
      <c r="O8"/>
      <c r="P8" s="75"/>
    </row>
    <row r="9" spans="1:16" ht="13.5">
      <c r="A9" s="58"/>
      <c r="B9" s="62"/>
      <c r="C9" s="52"/>
      <c r="D9" s="52"/>
      <c r="E9" s="52"/>
      <c r="F9" s="261"/>
      <c r="G9" s="55"/>
      <c r="H9" s="52"/>
      <c r="I9" s="61" t="s">
        <v>34</v>
      </c>
      <c r="J9" s="90" t="s">
        <v>280</v>
      </c>
      <c r="M9" s="52"/>
    </row>
    <row r="10" spans="1:16" s="52" customFormat="1" ht="13.5">
      <c r="A10" s="58"/>
      <c r="B10" s="62"/>
      <c r="F10" s="261"/>
      <c r="G10" s="55" t="s">
        <v>234</v>
      </c>
      <c r="H10" s="52" t="s">
        <v>38</v>
      </c>
      <c r="I10" s="63" t="s">
        <v>37</v>
      </c>
      <c r="J10" s="91" t="s">
        <v>37</v>
      </c>
      <c r="K10" s="82"/>
    </row>
    <row r="11" spans="1:16" s="52" customFormat="1" ht="13.5">
      <c r="A11" s="58" t="s">
        <v>275</v>
      </c>
      <c r="B11" s="262">
        <f>G11</f>
        <v>1450</v>
      </c>
      <c r="D11" s="52" t="s">
        <v>277</v>
      </c>
      <c r="E11" s="52">
        <f>G11/B4</f>
        <v>0.12493839244786192</v>
      </c>
      <c r="F11" s="261"/>
      <c r="G11" s="53">
        <f>Tithe!D14</f>
        <v>1450</v>
      </c>
      <c r="H11" s="52">
        <v>1200</v>
      </c>
      <c r="I11" s="64">
        <f>H11-G11</f>
        <v>-250</v>
      </c>
      <c r="J11" s="92">
        <f>Jan!I11+Feb!I11+Mar!I11+Apr!I11+May!I11+Jun!I11+July!I11+Aug!I11+Sep!I11</f>
        <v>2702.49</v>
      </c>
      <c r="K11" s="83"/>
    </row>
    <row r="12" spans="1:16" s="52" customFormat="1" ht="13.5">
      <c r="I12" s="64"/>
      <c r="J12" s="92"/>
      <c r="K12" s="84"/>
      <c r="L12" s="269" t="s">
        <v>493</v>
      </c>
    </row>
    <row r="13" spans="1:16" s="52" customFormat="1" ht="13.5">
      <c r="A13" s="58" t="s">
        <v>465</v>
      </c>
      <c r="B13" s="262">
        <f>SUM(G14:G20)</f>
        <v>0</v>
      </c>
      <c r="F13" s="261"/>
      <c r="G13" s="55"/>
      <c r="I13" s="64"/>
      <c r="J13" s="92"/>
      <c r="K13" s="84"/>
      <c r="L13" s="52" t="s">
        <v>1160</v>
      </c>
    </row>
    <row r="14" spans="1:16" s="52" customFormat="1" ht="13.5">
      <c r="B14" s="58" t="s">
        <v>385</v>
      </c>
      <c r="E14" s="52" t="s">
        <v>466</v>
      </c>
      <c r="F14" s="261"/>
      <c r="H14" s="52">
        <v>800</v>
      </c>
      <c r="I14" s="64">
        <f t="shared" ref="I14:I20" si="0">H14-G14</f>
        <v>800</v>
      </c>
      <c r="J14" s="92">
        <f>Jan!I14+Feb!I14+Mar!I14+Apr!I14+May!I14+Jun!I14+July!I14+Aug!I14+Sep!I14</f>
        <v>2605</v>
      </c>
      <c r="K14" s="84"/>
      <c r="L14" s="52" t="s">
        <v>1170</v>
      </c>
    </row>
    <row r="15" spans="1:16" s="52" customFormat="1" ht="13.5">
      <c r="B15" s="58" t="s">
        <v>261</v>
      </c>
      <c r="E15" s="52" t="s">
        <v>466</v>
      </c>
      <c r="F15" s="261"/>
      <c r="H15" s="52">
        <v>200</v>
      </c>
      <c r="I15" s="64">
        <f t="shared" si="0"/>
        <v>200</v>
      </c>
      <c r="J15" s="92">
        <f>Jan!I15+Feb!I15+Mar!I15+Apr!I15+May!I15+Jun!I15+July!I15+Aug!I15+Sep!I15</f>
        <v>1800</v>
      </c>
      <c r="K15" s="84"/>
    </row>
    <row r="16" spans="1:16" s="52" customFormat="1" ht="13.5">
      <c r="B16" s="58" t="s">
        <v>292</v>
      </c>
      <c r="E16" s="52" t="s">
        <v>466</v>
      </c>
      <c r="F16" s="261"/>
      <c r="H16" s="52">
        <v>300</v>
      </c>
      <c r="I16" s="64">
        <f t="shared" si="0"/>
        <v>300</v>
      </c>
      <c r="J16" s="92">
        <f>Jan!I16+Feb!I16+Mar!I16+Apr!I16+May!I16+Jun!I16+July!I16+Aug!I16+Sep!I16</f>
        <v>2700</v>
      </c>
      <c r="K16" s="84"/>
    </row>
    <row r="17" spans="1:13" s="52" customFormat="1" ht="13.5">
      <c r="B17" s="58" t="s">
        <v>464</v>
      </c>
      <c r="E17" s="52" t="s">
        <v>466</v>
      </c>
      <c r="F17" s="261"/>
      <c r="H17" s="52">
        <v>200</v>
      </c>
      <c r="I17" s="64">
        <f t="shared" si="0"/>
        <v>200</v>
      </c>
      <c r="J17" s="92">
        <f>Jan!I17+Feb!I17+Mar!I17+Apr!I17+May!I17+Jun!I17+July!I17+Aug!I17+Sep!I17</f>
        <v>1800</v>
      </c>
      <c r="K17" s="84"/>
    </row>
    <row r="18" spans="1:13" s="52" customFormat="1" ht="13.5">
      <c r="B18" s="58" t="s">
        <v>263</v>
      </c>
      <c r="E18" s="52" t="s">
        <v>467</v>
      </c>
      <c r="F18" s="261"/>
      <c r="H18" s="52">
        <v>50</v>
      </c>
      <c r="I18" s="64">
        <f t="shared" si="0"/>
        <v>50</v>
      </c>
      <c r="J18" s="92">
        <f>Jan!I18+Feb!I18+Mar!I18+Apr!I18+May!I18+Jun!I18+July!I18+Aug!I18+Sep!I18</f>
        <v>450</v>
      </c>
      <c r="K18" s="84"/>
    </row>
    <row r="19" spans="1:13" s="52" customFormat="1" ht="13.5">
      <c r="B19" s="58" t="s">
        <v>262</v>
      </c>
      <c r="E19" s="52" t="s">
        <v>467</v>
      </c>
      <c r="F19" s="261"/>
      <c r="H19" s="52">
        <v>200</v>
      </c>
      <c r="I19" s="64">
        <f t="shared" si="0"/>
        <v>200</v>
      </c>
      <c r="J19" s="92">
        <f>Jan!I19+Feb!I19+Mar!I19+Apr!I19+May!I19+Jun!I19+July!I19+Aug!I19+Sep!I19</f>
        <v>1800</v>
      </c>
      <c r="K19" s="84"/>
    </row>
    <row r="20" spans="1:13" s="52" customFormat="1" ht="13.5">
      <c r="B20" s="58" t="s">
        <v>293</v>
      </c>
      <c r="E20" s="52" t="s">
        <v>467</v>
      </c>
      <c r="H20" s="52">
        <v>300</v>
      </c>
      <c r="I20" s="64">
        <f t="shared" si="0"/>
        <v>300</v>
      </c>
      <c r="J20" s="92">
        <f>Jan!I20+Feb!I20+Mar!I20+Apr!I20+May!I20+Jun!I20+July!I20+Aug!I20+Sep!I20</f>
        <v>2700</v>
      </c>
      <c r="K20" s="84"/>
    </row>
    <row r="21" spans="1:13" s="52" customFormat="1" ht="13.5">
      <c r="A21" s="58"/>
      <c r="F21" s="261"/>
      <c r="I21" s="64"/>
      <c r="J21" s="92"/>
      <c r="K21" s="84"/>
      <c r="L21" s="58" t="s">
        <v>494</v>
      </c>
    </row>
    <row r="22" spans="1:13" s="52" customFormat="1" ht="13.5">
      <c r="A22" s="58" t="s">
        <v>278</v>
      </c>
      <c r="B22" s="263">
        <f>G22</f>
        <v>2000</v>
      </c>
      <c r="F22" s="261"/>
      <c r="G22" s="52">
        <v>2000</v>
      </c>
      <c r="H22" s="52">
        <v>700</v>
      </c>
      <c r="I22" s="64">
        <f>H22-G22</f>
        <v>-1300</v>
      </c>
      <c r="J22" s="92">
        <f>Jan!I22+Feb!I22+Mar!I22+Apr!I22+May!I22+Jun!I22+July!I22+Aug!I22+Sep!I22</f>
        <v>300</v>
      </c>
      <c r="K22" s="84"/>
    </row>
    <row r="23" spans="1:13" s="52" customFormat="1" ht="13.5">
      <c r="A23" s="58" t="s">
        <v>416</v>
      </c>
      <c r="B23" s="62" t="s">
        <v>415</v>
      </c>
      <c r="E23" s="52" t="s">
        <v>467</v>
      </c>
      <c r="F23" s="261"/>
      <c r="G23" s="53"/>
      <c r="I23" s="64"/>
      <c r="J23" s="92"/>
      <c r="K23" s="84"/>
    </row>
    <row r="24" spans="1:13" s="52" customFormat="1" ht="13.5">
      <c r="A24" s="58" t="s">
        <v>279</v>
      </c>
      <c r="B24" s="262">
        <f>SUM(G25:G26)</f>
        <v>0</v>
      </c>
      <c r="F24" s="261"/>
      <c r="G24" s="53"/>
      <c r="I24" s="64"/>
      <c r="J24" s="92"/>
      <c r="K24" s="84"/>
    </row>
    <row r="25" spans="1:13" s="52" customFormat="1" ht="13.5">
      <c r="B25" s="58" t="s">
        <v>255</v>
      </c>
      <c r="E25" s="52" t="s">
        <v>467</v>
      </c>
      <c r="F25" s="261"/>
      <c r="G25" s="53">
        <v>0</v>
      </c>
      <c r="H25" s="52">
        <v>500</v>
      </c>
      <c r="I25" s="64">
        <f>H25-G25</f>
        <v>500</v>
      </c>
      <c r="J25" s="92">
        <f>Jan!I25+Feb!I25+Mar!I25+Apr!I25+May!I25+Jun!I25+July!I25+Aug!I25+Sep!I25</f>
        <v>4500</v>
      </c>
      <c r="K25" s="84"/>
    </row>
    <row r="26" spans="1:13" s="52" customFormat="1" ht="13.5">
      <c r="B26" s="58" t="s">
        <v>265</v>
      </c>
      <c r="E26" s="52" t="s">
        <v>466</v>
      </c>
      <c r="F26" s="261"/>
      <c r="G26" s="53">
        <v>0</v>
      </c>
      <c r="H26" s="52">
        <v>300</v>
      </c>
      <c r="I26" s="64">
        <f>H26-G26</f>
        <v>300</v>
      </c>
      <c r="J26" s="95">
        <f>Jan!I26+Feb!I26+Mar!I26+Apr!I26+May!I26+Jun!I26+July!I26+Aug!I26+Sep!I26</f>
        <v>2700</v>
      </c>
      <c r="K26" s="84"/>
    </row>
    <row r="27" spans="1:13" s="52" customFormat="1" ht="13.5">
      <c r="A27" s="58"/>
      <c r="F27" s="261"/>
      <c r="G27" s="66"/>
      <c r="H27" s="66"/>
      <c r="I27" s="68"/>
      <c r="J27" s="79"/>
      <c r="K27" s="79"/>
    </row>
    <row r="28" spans="1:13" s="52" customFormat="1" ht="14.25" thickBot="1">
      <c r="A28" s="58"/>
      <c r="B28" s="58"/>
      <c r="F28" s="261"/>
      <c r="G28" s="67">
        <f>SUM(G14:G26)</f>
        <v>2000</v>
      </c>
      <c r="H28" s="67">
        <f>SUM(H11:H26)</f>
        <v>4750</v>
      </c>
      <c r="I28" s="67">
        <f>SUM(I11:I26)</f>
        <v>1300</v>
      </c>
      <c r="J28" s="67">
        <f>SUM(J11:J26)</f>
        <v>24057.489999999998</v>
      </c>
      <c r="K28" s="85"/>
    </row>
    <row r="29" spans="1:13" s="52" customFormat="1" ht="15" thickTop="1" thickBot="1">
      <c r="H29" s="56"/>
      <c r="I29" s="56"/>
      <c r="J29" s="56"/>
      <c r="K29" s="85"/>
      <c r="L29" s="58" t="s">
        <v>495</v>
      </c>
    </row>
    <row r="30" spans="1:13" s="52" customFormat="1" ht="14.25" thickBot="1">
      <c r="A30" s="58" t="s">
        <v>283</v>
      </c>
      <c r="B30" s="58"/>
      <c r="F30" s="261"/>
      <c r="G30" s="88"/>
      <c r="H30" s="56"/>
      <c r="I30" s="56"/>
      <c r="J30" s="56"/>
      <c r="K30" s="85"/>
      <c r="L30" s="52" t="s">
        <v>1164</v>
      </c>
      <c r="M30" s="52" t="s">
        <v>713</v>
      </c>
    </row>
    <row r="31" spans="1:13" s="52" customFormat="1" ht="12.75" customHeight="1">
      <c r="A31" s="99" t="s">
        <v>276</v>
      </c>
      <c r="B31" s="58"/>
      <c r="F31" s="261"/>
      <c r="G31" s="266">
        <f>B4-G11-G28+G30</f>
        <v>8155.7199999999993</v>
      </c>
      <c r="H31" s="56"/>
      <c r="I31" s="56"/>
      <c r="J31" s="56"/>
      <c r="K31" s="85"/>
      <c r="L31" s="56"/>
      <c r="M31" s="52" t="s">
        <v>714</v>
      </c>
    </row>
    <row r="32" spans="1:13" s="52" customFormat="1" ht="13.5">
      <c r="A32" s="52" t="s">
        <v>478</v>
      </c>
      <c r="B32" s="99"/>
      <c r="C32" s="54"/>
      <c r="D32" s="54"/>
      <c r="E32" s="54"/>
      <c r="F32" s="265"/>
      <c r="G32" s="267">
        <f>G46</f>
        <v>5626.6699999999983</v>
      </c>
      <c r="H32" s="56"/>
      <c r="I32" s="56"/>
      <c r="J32" s="56"/>
      <c r="K32" s="85"/>
      <c r="L32" s="56"/>
      <c r="M32" s="52" t="s">
        <v>726</v>
      </c>
    </row>
    <row r="33" spans="1:17" s="52" customFormat="1" ht="13.5">
      <c r="A33" s="58" t="s">
        <v>558</v>
      </c>
      <c r="B33" s="58"/>
      <c r="F33" s="261"/>
      <c r="G33" s="78">
        <f>G31-G32-M42-N42</f>
        <v>2529.0500000000011</v>
      </c>
      <c r="H33" s="56"/>
      <c r="I33" s="56"/>
      <c r="J33" s="56"/>
      <c r="K33" s="85"/>
      <c r="L33" s="56"/>
      <c r="M33" s="52" t="s">
        <v>727</v>
      </c>
      <c r="N33" s="52" t="s">
        <v>729</v>
      </c>
    </row>
    <row r="34" spans="1:17" s="52" customFormat="1" ht="13.5">
      <c r="H34" s="56"/>
      <c r="I34" s="56"/>
      <c r="J34" s="56"/>
      <c r="K34" s="85"/>
      <c r="L34" s="56"/>
      <c r="M34" s="52" t="s">
        <v>728</v>
      </c>
      <c r="N34" s="52" t="s">
        <v>729</v>
      </c>
    </row>
    <row r="35" spans="1:17" s="52" customFormat="1" ht="13.5">
      <c r="A35" s="58" t="s">
        <v>469</v>
      </c>
      <c r="B35" s="58"/>
      <c r="E35" s="52">
        <f>B47</f>
        <v>1621.0299999999997</v>
      </c>
      <c r="F35" s="261"/>
      <c r="G35" s="128"/>
      <c r="H35" s="56"/>
      <c r="I35" s="56"/>
      <c r="J35" s="56"/>
      <c r="K35" s="85"/>
      <c r="L35" s="56"/>
      <c r="M35" s="52" t="s">
        <v>730</v>
      </c>
    </row>
    <row r="36" spans="1:17" s="52" customFormat="1" ht="13.5">
      <c r="A36" s="58" t="s">
        <v>433</v>
      </c>
      <c r="B36" s="58"/>
      <c r="E36" s="52">
        <f>B76</f>
        <v>4005.64</v>
      </c>
      <c r="F36" s="261"/>
      <c r="G36" s="78"/>
      <c r="H36" s="56"/>
      <c r="I36" s="56"/>
      <c r="J36" s="56"/>
      <c r="K36" s="85"/>
      <c r="L36" s="56"/>
      <c r="M36" s="52" t="s">
        <v>731</v>
      </c>
    </row>
    <row r="37" spans="1:17" s="52" customFormat="1" ht="13.5">
      <c r="A37" s="58"/>
      <c r="B37" s="58" t="s">
        <v>470</v>
      </c>
      <c r="D37" s="52">
        <f>B101+B110</f>
        <v>-150.83000000000001</v>
      </c>
      <c r="F37" s="261"/>
      <c r="G37" s="78"/>
      <c r="H37" s="56"/>
      <c r="I37" s="56"/>
      <c r="J37" s="56"/>
      <c r="K37" s="85"/>
      <c r="L37" s="56"/>
    </row>
    <row r="38" spans="1:17" s="52" customFormat="1" ht="14.25" thickBot="1">
      <c r="A38" s="58"/>
      <c r="B38" s="58" t="s">
        <v>471</v>
      </c>
      <c r="D38" s="52">
        <f>B90</f>
        <v>49.56</v>
      </c>
      <c r="F38" s="261"/>
      <c r="G38" s="78"/>
      <c r="H38" s="56"/>
      <c r="I38" s="56"/>
      <c r="J38" s="56"/>
      <c r="K38" s="85"/>
      <c r="L38" s="56" t="s">
        <v>905</v>
      </c>
      <c r="M38" s="52" t="s">
        <v>1165</v>
      </c>
    </row>
    <row r="39" spans="1:17" s="52" customFormat="1" ht="14.25" thickBot="1">
      <c r="A39" s="58"/>
      <c r="B39" s="58" t="s">
        <v>472</v>
      </c>
      <c r="D39" s="52">
        <f>B96</f>
        <v>432.82</v>
      </c>
      <c r="F39" s="261"/>
      <c r="G39" s="89"/>
      <c r="H39" s="56"/>
      <c r="I39" s="56"/>
      <c r="J39" s="56"/>
      <c r="K39" s="85"/>
      <c r="L39" s="56"/>
      <c r="M39" s="52" t="s">
        <v>1166</v>
      </c>
    </row>
    <row r="40" spans="1:17" s="52" customFormat="1" ht="13.5">
      <c r="A40" s="58"/>
      <c r="B40" s="58" t="s">
        <v>473</v>
      </c>
      <c r="D40" s="52">
        <f>B115</f>
        <v>37.61</v>
      </c>
      <c r="F40" s="261"/>
      <c r="G40" s="98"/>
      <c r="H40" s="56"/>
      <c r="I40" s="56"/>
      <c r="J40" s="56"/>
      <c r="K40" s="85"/>
      <c r="L40" s="56"/>
      <c r="M40" s="52">
        <v>1761.46</v>
      </c>
      <c r="N40" s="52">
        <v>428.74</v>
      </c>
    </row>
    <row r="41" spans="1:17" s="52" customFormat="1" ht="13.5">
      <c r="A41" s="99"/>
      <c r="B41" s="58" t="s">
        <v>474</v>
      </c>
      <c r="D41" s="52">
        <f>B120</f>
        <v>0</v>
      </c>
      <c r="F41" s="261"/>
      <c r="G41" s="98"/>
      <c r="H41" s="56"/>
      <c r="I41" s="56"/>
      <c r="J41" s="56"/>
      <c r="K41" s="85"/>
      <c r="L41" s="56"/>
      <c r="M41" s="52">
        <f>M46+M44+M43+M42</f>
        <v>1761.4600000000003</v>
      </c>
      <c r="N41" s="52">
        <f>N46+N44+N43+N42</f>
        <v>428.74</v>
      </c>
      <c r="O41" s="52">
        <f>O46+O44+O43+O42</f>
        <v>0</v>
      </c>
    </row>
    <row r="42" spans="1:17" s="52" customFormat="1" ht="13.5">
      <c r="B42" s="58" t="s">
        <v>475</v>
      </c>
      <c r="C42" s="59"/>
      <c r="D42" s="59">
        <f>B138</f>
        <v>0</v>
      </c>
      <c r="F42" s="261"/>
      <c r="G42" s="98"/>
      <c r="H42" s="56"/>
      <c r="I42" s="56"/>
      <c r="J42" s="56"/>
      <c r="K42" s="85"/>
      <c r="L42" s="52" t="s">
        <v>324</v>
      </c>
      <c r="Q42" s="52">
        <f>N40-N41</f>
        <v>0</v>
      </c>
    </row>
    <row r="43" spans="1:17" s="52" customFormat="1" ht="13.5">
      <c r="B43" s="58" t="s">
        <v>476</v>
      </c>
      <c r="D43" s="52">
        <f>B125+B141+B146+B149</f>
        <v>861.80000000000007</v>
      </c>
      <c r="F43" s="261"/>
      <c r="I43" s="61"/>
      <c r="J43" s="90" t="s">
        <v>280</v>
      </c>
      <c r="K43" s="82"/>
    </row>
    <row r="44" spans="1:17" s="52" customFormat="1" ht="13.5">
      <c r="A44" s="58" t="s">
        <v>477</v>
      </c>
      <c r="E44" s="52">
        <f>B155</f>
        <v>0</v>
      </c>
      <c r="F44" s="261"/>
      <c r="G44" s="55"/>
      <c r="I44" s="61" t="s">
        <v>34</v>
      </c>
      <c r="J44" s="90" t="s">
        <v>281</v>
      </c>
      <c r="K44" s="82"/>
      <c r="L44" s="52" t="s">
        <v>1064</v>
      </c>
      <c r="M44" s="52">
        <v>100</v>
      </c>
    </row>
    <row r="45" spans="1:17" s="52" customFormat="1" ht="13.5">
      <c r="A45" s="58"/>
      <c r="F45" s="261"/>
      <c r="G45" s="55" t="s">
        <v>234</v>
      </c>
      <c r="H45" s="52" t="s">
        <v>38</v>
      </c>
      <c r="I45" s="63" t="s">
        <v>37</v>
      </c>
      <c r="J45" s="91" t="s">
        <v>282</v>
      </c>
      <c r="K45" s="83"/>
      <c r="L45" s="391" t="s">
        <v>235</v>
      </c>
      <c r="M45" s="392" t="s">
        <v>497</v>
      </c>
      <c r="N45" s="392" t="s">
        <v>805</v>
      </c>
      <c r="O45" s="392" t="s">
        <v>806</v>
      </c>
    </row>
    <row r="46" spans="1:17" s="52" customFormat="1" ht="14.25" thickBot="1">
      <c r="D46"/>
      <c r="E46" s="264"/>
      <c r="F46" s="261"/>
      <c r="G46" s="94">
        <f>SUM(G48:G170)</f>
        <v>5626.6699999999983</v>
      </c>
      <c r="H46" s="94">
        <f>SUM(H48:H170)</f>
        <v>14050</v>
      </c>
      <c r="I46" s="94">
        <f>H46-G46</f>
        <v>8423.3300000000017</v>
      </c>
      <c r="J46" s="94">
        <f>SUM(J48:J170)</f>
        <v>-50346.909999999982</v>
      </c>
      <c r="K46" s="86"/>
      <c r="L46" s="393">
        <f>SUM(L49:L170)</f>
        <v>3536.47</v>
      </c>
      <c r="M46" s="394">
        <f>SUM(M49:M170)</f>
        <v>1661.4600000000003</v>
      </c>
      <c r="N46" s="395">
        <f>SUM(N49:N170)</f>
        <v>428.74</v>
      </c>
      <c r="O46" s="395">
        <f>SUM(O49:O170)</f>
        <v>0</v>
      </c>
    </row>
    <row r="47" spans="1:17" s="52" customFormat="1" ht="14.25" thickBot="1">
      <c r="A47" s="99" t="s">
        <v>434</v>
      </c>
      <c r="B47" s="259">
        <f>B48+B61+B65</f>
        <v>1621.0299999999997</v>
      </c>
      <c r="C47" s="259">
        <f>C48+C61+C65</f>
        <v>1344</v>
      </c>
      <c r="D47" s="88">
        <f>D48+D61+D65</f>
        <v>-277.02999999999997</v>
      </c>
      <c r="I47" s="61"/>
      <c r="J47" s="90"/>
      <c r="K47" s="82"/>
      <c r="L47" s="396"/>
      <c r="M47" s="397"/>
      <c r="N47" s="397"/>
      <c r="O47" s="398"/>
    </row>
    <row r="48" spans="1:17" s="52" customFormat="1" ht="13.5">
      <c r="A48" s="58" t="s">
        <v>419</v>
      </c>
      <c r="B48" s="58">
        <f>SUM(G49:G57)</f>
        <v>599.42999999999984</v>
      </c>
      <c r="C48" s="58">
        <f>SUM(H49:H57)</f>
        <v>864</v>
      </c>
      <c r="D48" s="58">
        <f>SUM(I49:I57)</f>
        <v>264.56999999999994</v>
      </c>
      <c r="I48" s="61"/>
      <c r="J48" s="90"/>
      <c r="K48" s="82"/>
      <c r="L48" s="396"/>
      <c r="M48" s="397"/>
      <c r="N48" s="397"/>
      <c r="O48" s="398"/>
    </row>
    <row r="49" spans="1:15" s="52" customFormat="1" ht="13.5">
      <c r="B49" s="52" t="s">
        <v>327</v>
      </c>
      <c r="G49" s="52">
        <f>SUM(L49:O49)</f>
        <v>0</v>
      </c>
      <c r="H49" s="52">
        <v>0</v>
      </c>
      <c r="I49" s="61">
        <f t="shared" ref="I49:I57" si="1">H49-G49</f>
        <v>0</v>
      </c>
      <c r="J49" s="90">
        <f>Jan!I49+Feb!I49+Mar!I49+Apr!I49+May!I49+Jun!I49+July!I49+Aug!I49+Sep!I49</f>
        <v>0</v>
      </c>
      <c r="K49" s="82"/>
      <c r="L49" s="396"/>
      <c r="M49" s="397"/>
      <c r="N49" s="397"/>
      <c r="O49" s="398"/>
    </row>
    <row r="50" spans="1:15" s="52" customFormat="1" ht="13.5">
      <c r="A50" s="58"/>
      <c r="B50" s="52" t="s">
        <v>421</v>
      </c>
      <c r="G50" s="52">
        <f t="shared" ref="G50:G113" si="2">SUM(L50:O50)</f>
        <v>0</v>
      </c>
      <c r="H50" s="52">
        <v>100</v>
      </c>
      <c r="I50" s="61">
        <f t="shared" si="1"/>
        <v>100</v>
      </c>
      <c r="J50" s="90">
        <f>Jan!I50+Feb!I50+Mar!I50+Apr!I50+May!I50+Jun!I50+July!I50+Aug!I50+Sep!I50</f>
        <v>-609.63000000000011</v>
      </c>
      <c r="K50" s="82"/>
      <c r="L50" s="396"/>
      <c r="M50" s="397"/>
      <c r="N50" s="397"/>
      <c r="O50" s="398"/>
    </row>
    <row r="51" spans="1:15" s="52" customFormat="1" ht="13.5">
      <c r="A51" s="58"/>
      <c r="B51" s="52" t="s">
        <v>422</v>
      </c>
      <c r="G51" s="52">
        <f t="shared" si="2"/>
        <v>0</v>
      </c>
      <c r="H51" s="52">
        <v>100</v>
      </c>
      <c r="I51" s="61">
        <f t="shared" si="1"/>
        <v>100</v>
      </c>
      <c r="J51" s="90">
        <f>Jan!I51+Feb!I51+Mar!I51+Apr!I51+May!I51+Jun!I51+July!I51+Aug!I51+Sep!I51</f>
        <v>-425</v>
      </c>
      <c r="K51" s="82"/>
      <c r="L51" s="396"/>
      <c r="M51" s="397"/>
      <c r="N51" s="397"/>
      <c r="O51" s="398"/>
    </row>
    <row r="52" spans="1:15" s="52" customFormat="1" ht="13.5">
      <c r="A52" s="58"/>
      <c r="B52" s="52" t="s">
        <v>420</v>
      </c>
      <c r="G52" s="52">
        <f t="shared" si="2"/>
        <v>0</v>
      </c>
      <c r="H52" s="52">
        <v>100</v>
      </c>
      <c r="I52" s="61">
        <f t="shared" si="1"/>
        <v>100</v>
      </c>
      <c r="J52" s="90">
        <f>Jan!I52+Feb!I52+Mar!I52+Apr!I52+May!I52+Jun!I52+July!I52+Aug!I52+Sep!I52</f>
        <v>900</v>
      </c>
      <c r="K52" s="82"/>
      <c r="L52" s="396"/>
      <c r="M52" s="397"/>
      <c r="N52" s="397"/>
      <c r="O52" s="398"/>
    </row>
    <row r="53" spans="1:15" s="52" customFormat="1" ht="13.5">
      <c r="A53" s="58"/>
      <c r="B53" s="52" t="s">
        <v>463</v>
      </c>
      <c r="G53" s="52">
        <f t="shared" si="2"/>
        <v>1031.48</v>
      </c>
      <c r="H53" s="52">
        <v>564</v>
      </c>
      <c r="I53" s="61">
        <f t="shared" si="1"/>
        <v>-467.48</v>
      </c>
      <c r="J53" s="90">
        <f>Jan!I53+Feb!I53+Mar!I53+Apr!I53+May!I53+Jun!I53+July!I53+Aug!I53+Sep!I53</f>
        <v>-935.16000000000008</v>
      </c>
      <c r="K53" s="82"/>
      <c r="L53" s="396">
        <f>564+467.48</f>
        <v>1031.48</v>
      </c>
      <c r="M53" s="397"/>
      <c r="N53" s="397"/>
      <c r="O53" s="398"/>
    </row>
    <row r="54" spans="1:15" s="52" customFormat="1" ht="13.5">
      <c r="A54" s="58"/>
      <c r="B54" s="52" t="s">
        <v>429</v>
      </c>
      <c r="G54" s="52">
        <f t="shared" si="2"/>
        <v>0</v>
      </c>
      <c r="H54" s="52">
        <v>60</v>
      </c>
      <c r="I54" s="61">
        <f t="shared" si="1"/>
        <v>60</v>
      </c>
      <c r="J54" s="90">
        <f>Jan!I54+Feb!I54+Mar!I54+Apr!I54+May!I54+Jun!I54+July!I54+Aug!I54+Sep!I54</f>
        <v>-88</v>
      </c>
      <c r="K54" s="82"/>
      <c r="L54" s="396"/>
      <c r="M54" s="397"/>
      <c r="N54" s="397"/>
      <c r="O54" s="398"/>
    </row>
    <row r="55" spans="1:15" s="52" customFormat="1" ht="13.5">
      <c r="A55" s="58"/>
      <c r="B55" s="52" t="s">
        <v>328</v>
      </c>
      <c r="G55" s="52">
        <f t="shared" si="2"/>
        <v>1636.68</v>
      </c>
      <c r="H55" s="52">
        <f>1636.68+50.81</f>
        <v>1687.49</v>
      </c>
      <c r="I55" s="61">
        <f t="shared" si="1"/>
        <v>50.809999999999945</v>
      </c>
      <c r="J55" s="90">
        <f>Jan!I55+Feb!I55+Mar!I55+Apr!I55+May!I55+Jun!I55+July!I55+Aug!I55+Sep!I55</f>
        <v>227.4099999999994</v>
      </c>
      <c r="K55" s="82"/>
      <c r="L55" s="398">
        <v>1636.68</v>
      </c>
      <c r="M55" s="397"/>
      <c r="N55" s="397"/>
      <c r="O55" s="398"/>
    </row>
    <row r="56" spans="1:15" s="52" customFormat="1" ht="13.5">
      <c r="A56" s="58"/>
      <c r="B56" s="52" t="s">
        <v>384</v>
      </c>
      <c r="G56" s="52">
        <f t="shared" si="2"/>
        <v>431.27</v>
      </c>
      <c r="H56" s="52">
        <v>312.51</v>
      </c>
      <c r="I56" s="61">
        <f t="shared" si="1"/>
        <v>-118.75999999999999</v>
      </c>
      <c r="J56" s="90">
        <f>Jan!I56+Feb!I56+Mar!I56+Apr!I56+May!I56+Jun!I56+July!I56+Aug!I56+Sep!I56</f>
        <v>-567.16000000000008</v>
      </c>
      <c r="K56" s="82"/>
      <c r="L56" s="398">
        <v>431.27</v>
      </c>
      <c r="M56" s="397"/>
      <c r="N56" s="397"/>
      <c r="O56" s="398"/>
    </row>
    <row r="57" spans="1:15" s="52" customFormat="1" ht="13.5">
      <c r="A57" s="58"/>
      <c r="B57" s="52" t="s">
        <v>350</v>
      </c>
      <c r="G57" s="52">
        <f t="shared" si="2"/>
        <v>-2500</v>
      </c>
      <c r="H57" s="52">
        <v>-2060</v>
      </c>
      <c r="I57" s="61">
        <f t="shared" si="1"/>
        <v>440</v>
      </c>
      <c r="J57" s="90">
        <f>Jan!I57+Feb!I57+Mar!I57+Apr!I57+May!I57+Jun!I57+July!I57+Aug!I57+Sep!I57</f>
        <v>1320</v>
      </c>
      <c r="K57" s="82"/>
      <c r="L57" s="398">
        <v>-2500</v>
      </c>
      <c r="M57" s="397"/>
      <c r="N57" s="397"/>
      <c r="O57" s="398"/>
    </row>
    <row r="58" spans="1:15" s="52" customFormat="1" ht="13.5">
      <c r="I58" s="61"/>
      <c r="J58" s="90"/>
      <c r="K58" s="82"/>
      <c r="L58" s="398"/>
      <c r="M58" s="397"/>
      <c r="N58" s="397"/>
      <c r="O58" s="398"/>
    </row>
    <row r="59" spans="1:15" s="52" customFormat="1" ht="13.5">
      <c r="I59" s="61"/>
      <c r="J59" s="90"/>
      <c r="K59" s="82"/>
      <c r="L59" s="398"/>
      <c r="M59" s="397"/>
      <c r="N59" s="397"/>
      <c r="O59" s="398"/>
    </row>
    <row r="60" spans="1:15" s="52" customFormat="1" ht="13.5">
      <c r="A60" s="58" t="s">
        <v>427</v>
      </c>
      <c r="I60" s="61"/>
      <c r="J60" s="90"/>
      <c r="K60" s="82"/>
      <c r="L60" s="398"/>
      <c r="M60" s="397"/>
      <c r="N60" s="397"/>
      <c r="O60" s="398"/>
    </row>
    <row r="61" spans="1:15" s="52" customFormat="1" ht="13.5">
      <c r="A61" s="58"/>
      <c r="B61" s="58">
        <f>SUM(G62:G63)</f>
        <v>106.41</v>
      </c>
      <c r="C61" s="58">
        <f>SUM(H62:H63)</f>
        <v>170</v>
      </c>
      <c r="D61" s="58">
        <f>C61-B61</f>
        <v>63.59</v>
      </c>
      <c r="I61" s="61"/>
      <c r="J61" s="90"/>
      <c r="K61" s="82"/>
      <c r="L61" s="398"/>
      <c r="M61" s="397"/>
      <c r="N61" s="397"/>
      <c r="O61" s="398"/>
    </row>
    <row r="62" spans="1:15" s="52" customFormat="1" ht="13.5">
      <c r="A62" s="58"/>
      <c r="B62" s="52" t="s">
        <v>431</v>
      </c>
      <c r="G62" s="52">
        <f t="shared" si="2"/>
        <v>0</v>
      </c>
      <c r="H62" s="52">
        <v>70</v>
      </c>
      <c r="I62" s="61">
        <f t="shared" ref="I62:I131" si="3">H62-G62</f>
        <v>70</v>
      </c>
      <c r="J62" s="90">
        <f>Jan!I62+Feb!I62+Mar!I62+Apr!I62+May!I62+Jun!I62+July!I62+Aug!I62+Sep!I62</f>
        <v>236.54999999999998</v>
      </c>
      <c r="K62" s="82"/>
      <c r="L62" s="398"/>
      <c r="M62" s="397"/>
      <c r="N62" s="397"/>
      <c r="O62" s="398"/>
    </row>
    <row r="63" spans="1:15" s="52" customFormat="1" ht="13.5">
      <c r="A63" s="58"/>
      <c r="B63" s="52" t="s">
        <v>432</v>
      </c>
      <c r="D63" s="65"/>
      <c r="G63" s="52">
        <f t="shared" si="2"/>
        <v>106.41</v>
      </c>
      <c r="H63" s="52">
        <v>100</v>
      </c>
      <c r="I63" s="61">
        <f t="shared" si="3"/>
        <v>-6.4099999999999966</v>
      </c>
      <c r="J63" s="90">
        <f>Jan!I63+Feb!I63+Mar!I63+Apr!I63+May!I63+Jun!I63+July!I63+Aug!I63+Sep!I63</f>
        <v>11.260000000000005</v>
      </c>
      <c r="K63" s="82"/>
      <c r="L63" s="398"/>
      <c r="M63" s="397">
        <v>106.41</v>
      </c>
      <c r="N63" s="397"/>
      <c r="O63" s="398"/>
    </row>
    <row r="64" spans="1:15" s="52" customFormat="1" ht="13.5">
      <c r="A64" s="58"/>
      <c r="I64" s="61"/>
      <c r="J64" s="90"/>
      <c r="K64" s="82"/>
      <c r="L64" s="398"/>
      <c r="M64" s="397"/>
      <c r="N64" s="397"/>
      <c r="O64" s="398"/>
    </row>
    <row r="65" spans="1:17" s="52" customFormat="1" ht="13.5">
      <c r="A65" s="58" t="s">
        <v>428</v>
      </c>
      <c r="B65" s="58">
        <f>SUM(G66:G74)</f>
        <v>915.18999999999994</v>
      </c>
      <c r="C65" s="58">
        <f>SUM(H66:H74)</f>
        <v>310</v>
      </c>
      <c r="D65" s="58">
        <f>C65-B65</f>
        <v>-605.18999999999994</v>
      </c>
      <c r="I65" s="61"/>
      <c r="J65" s="90"/>
      <c r="K65" s="82"/>
      <c r="L65" s="398"/>
      <c r="M65" s="397"/>
      <c r="N65" s="397"/>
      <c r="O65" s="398"/>
    </row>
    <row r="66" spans="1:17" s="52" customFormat="1" ht="13.5">
      <c r="B66" s="52" t="s">
        <v>55</v>
      </c>
      <c r="G66" s="52">
        <f t="shared" si="2"/>
        <v>748.78</v>
      </c>
      <c r="H66" s="52">
        <v>60</v>
      </c>
      <c r="I66" s="61">
        <f t="shared" si="3"/>
        <v>-688.78</v>
      </c>
      <c r="J66" s="90">
        <f>Jan!I66+Feb!I66+Mar!I66+Apr!I66+May!I66+Jun!I66+July!I66+Aug!I66+Sep!I66</f>
        <v>-549.82999999999993</v>
      </c>
      <c r="K66" s="82"/>
      <c r="L66" s="398"/>
      <c r="M66" s="397">
        <f>34.67+13.5+31.5+40+151.65+4.92+3.85+7.47+56.83+18.88+90.47+35.99+3.49+5.78+24.1+81.5+15</f>
        <v>619.6</v>
      </c>
      <c r="N66" s="397">
        <f>36.83+71.09+21.26</f>
        <v>129.18</v>
      </c>
      <c r="O66" s="398"/>
      <c r="Q66" s="52" t="s">
        <v>1162</v>
      </c>
    </row>
    <row r="67" spans="1:17" s="52" customFormat="1" ht="13.5">
      <c r="B67" s="52" t="s">
        <v>56</v>
      </c>
      <c r="D67" s="52" t="s">
        <v>57</v>
      </c>
      <c r="G67" s="52">
        <f t="shared" si="2"/>
        <v>50</v>
      </c>
      <c r="H67" s="52">
        <v>140</v>
      </c>
      <c r="I67" s="61">
        <f t="shared" si="3"/>
        <v>90</v>
      </c>
      <c r="J67" s="90">
        <f>Jan!I67+Feb!I67+Mar!I67+Apr!I67+May!I67+Jun!I67+July!I67+Aug!I67+Sep!I67</f>
        <v>498.75</v>
      </c>
      <c r="K67" s="82"/>
      <c r="L67" s="398"/>
      <c r="M67" s="397">
        <f>25+25</f>
        <v>50</v>
      </c>
      <c r="N67" s="397"/>
      <c r="O67" s="398"/>
      <c r="Q67" s="52" t="s">
        <v>1169</v>
      </c>
    </row>
    <row r="68" spans="1:17" s="52" customFormat="1" ht="13.5">
      <c r="I68" s="61"/>
      <c r="J68" s="90"/>
      <c r="K68" s="82"/>
      <c r="L68" s="398"/>
      <c r="M68" s="397"/>
      <c r="N68" s="397"/>
      <c r="O68" s="398"/>
    </row>
    <row r="69" spans="1:17" s="52" customFormat="1" ht="13.5">
      <c r="A69" s="58" t="s">
        <v>423</v>
      </c>
      <c r="I69" s="61"/>
      <c r="J69" s="90"/>
      <c r="K69" s="82"/>
      <c r="L69" s="398"/>
      <c r="M69" s="397"/>
      <c r="N69" s="397"/>
      <c r="O69" s="398"/>
    </row>
    <row r="70" spans="1:17" s="52" customFormat="1" ht="13.5">
      <c r="B70" s="52" t="s">
        <v>424</v>
      </c>
      <c r="G70" s="52">
        <f t="shared" si="2"/>
        <v>0</v>
      </c>
      <c r="H70" s="52">
        <v>25</v>
      </c>
      <c r="I70" s="61">
        <f t="shared" si="3"/>
        <v>25</v>
      </c>
      <c r="J70" s="90">
        <f>Jan!I70+Feb!I70+Mar!I70+Apr!I70+May!I70+Jun!I70+July!I70+Aug!I70+Sep!I70</f>
        <v>140.63999999999999</v>
      </c>
      <c r="K70" s="82"/>
      <c r="L70" s="398"/>
      <c r="M70" s="397"/>
      <c r="N70" s="397"/>
      <c r="O70" s="398"/>
    </row>
    <row r="71" spans="1:17" s="52" customFormat="1" ht="13.5">
      <c r="A71" s="58"/>
      <c r="B71" s="52" t="s">
        <v>425</v>
      </c>
      <c r="G71" s="52">
        <f t="shared" si="2"/>
        <v>0</v>
      </c>
      <c r="H71" s="52">
        <v>30</v>
      </c>
      <c r="I71" s="61">
        <f t="shared" si="3"/>
        <v>30</v>
      </c>
      <c r="J71" s="90">
        <f>Jan!I71+Feb!I71+Mar!I71+Apr!I71+May!I71+Jun!I71+July!I71+Aug!I71+Sep!I71</f>
        <v>160.51</v>
      </c>
      <c r="K71" s="82"/>
      <c r="L71" s="398"/>
      <c r="M71" s="397"/>
      <c r="N71" s="397"/>
      <c r="O71" s="398"/>
    </row>
    <row r="72" spans="1:17" s="52" customFormat="1" ht="13.5">
      <c r="A72" s="58"/>
      <c r="B72" s="52" t="s">
        <v>430</v>
      </c>
      <c r="G72" s="52">
        <f t="shared" si="2"/>
        <v>0</v>
      </c>
      <c r="H72" s="52">
        <v>20</v>
      </c>
      <c r="I72" s="61">
        <f t="shared" si="3"/>
        <v>20</v>
      </c>
      <c r="J72" s="90">
        <f>Jan!I72+Feb!I72+Mar!I72+Apr!I72+May!I72+Jun!I72+July!I72+Aug!I72+Sep!I72</f>
        <v>-0.90999999999999659</v>
      </c>
      <c r="K72" s="82"/>
      <c r="L72" s="398"/>
      <c r="M72" s="397"/>
      <c r="N72" s="397"/>
      <c r="O72" s="398"/>
    </row>
    <row r="73" spans="1:17" s="52" customFormat="1" ht="13.5">
      <c r="A73" s="58"/>
      <c r="I73" s="61"/>
      <c r="J73" s="90"/>
      <c r="K73" s="82"/>
      <c r="L73" s="398"/>
      <c r="M73" s="397"/>
      <c r="N73" s="397"/>
      <c r="O73" s="398"/>
    </row>
    <row r="74" spans="1:17" s="52" customFormat="1" ht="13.5">
      <c r="A74" s="58" t="s">
        <v>426</v>
      </c>
      <c r="B74" s="52" t="s">
        <v>58</v>
      </c>
      <c r="G74" s="52">
        <f t="shared" si="2"/>
        <v>116.41</v>
      </c>
      <c r="H74" s="52">
        <v>35</v>
      </c>
      <c r="I74" s="61">
        <f t="shared" si="3"/>
        <v>-81.41</v>
      </c>
      <c r="J74" s="90">
        <f>Jan!I74+Feb!I74+Mar!I74+Apr!I74+May!I74+Jun!I74+July!I74+Aug!I74+Sep!I74</f>
        <v>-415.23</v>
      </c>
      <c r="K74" s="82"/>
      <c r="L74" s="398"/>
      <c r="M74" s="397">
        <f>5.02+3.67+2.4+2+3.67+2.59+5.57+3.67+7.95+2.4+6.9+1.72+2.4+2.59+2.4+13.21+2.4+2.04+9+10.44+5.88+2.4+3.8+2.85+9.44</f>
        <v>116.41</v>
      </c>
      <c r="N74" s="397"/>
      <c r="O74" s="398"/>
    </row>
    <row r="75" spans="1:17" s="52" customFormat="1" ht="14.25" thickBot="1">
      <c r="A75" s="58"/>
      <c r="I75" s="61"/>
      <c r="J75" s="90"/>
      <c r="K75" s="82"/>
      <c r="L75" s="398"/>
      <c r="M75" s="397"/>
      <c r="N75" s="397"/>
      <c r="O75" s="398"/>
    </row>
    <row r="76" spans="1:17" s="52" customFormat="1" ht="14.25" thickBot="1">
      <c r="A76" s="99" t="s">
        <v>433</v>
      </c>
      <c r="B76" s="140">
        <f>B78+B90+B96+B101+B110+B115+B120+B125+B138+B141+B146+B149</f>
        <v>4005.64</v>
      </c>
      <c r="C76" s="140">
        <f>C90+C96+C101+C110+C115+C120+C125+C138+C141+C146+C149</f>
        <v>3211</v>
      </c>
      <c r="D76" s="140">
        <f>D90+D96+D101+D110+D115+D120+D125+D138+D141+D146+D149</f>
        <v>1980.0400000000002</v>
      </c>
      <c r="I76" s="61"/>
      <c r="J76" s="90"/>
      <c r="K76" s="82"/>
      <c r="L76" s="398"/>
      <c r="M76" s="397"/>
      <c r="N76" s="397"/>
      <c r="O76" s="398"/>
    </row>
    <row r="77" spans="1:17" s="52" customFormat="1" ht="13.5">
      <c r="A77" s="99"/>
      <c r="B77" s="380"/>
      <c r="C77" s="380"/>
      <c r="D77" s="380"/>
      <c r="I77" s="61"/>
      <c r="J77" s="90"/>
      <c r="K77" s="82"/>
      <c r="L77" s="398"/>
      <c r="M77" s="397"/>
      <c r="N77" s="397"/>
      <c r="O77" s="398"/>
    </row>
    <row r="78" spans="1:17" s="52" customFormat="1" ht="13.5">
      <c r="A78" s="58" t="s">
        <v>717</v>
      </c>
      <c r="B78" s="380">
        <f>SUM(G79:G88)</f>
        <v>2774.68</v>
      </c>
      <c r="C78" s="58">
        <f>SUM(H79:H80)</f>
        <v>2500</v>
      </c>
      <c r="D78" s="58">
        <f>SUM(I79:I80)</f>
        <v>27.289999999999964</v>
      </c>
      <c r="I78" s="61"/>
      <c r="J78" s="90"/>
      <c r="K78" s="82"/>
      <c r="L78" s="398"/>
      <c r="M78" s="397"/>
      <c r="N78" s="397"/>
      <c r="O78" s="398"/>
    </row>
    <row r="79" spans="1:17" s="52" customFormat="1" ht="13.5">
      <c r="A79" s="58"/>
      <c r="B79" s="52" t="s">
        <v>798</v>
      </c>
      <c r="G79" s="52">
        <f t="shared" si="2"/>
        <v>2472.71</v>
      </c>
      <c r="H79" s="52">
        <v>2500</v>
      </c>
      <c r="I79" s="61">
        <f t="shared" si="3"/>
        <v>27.289999999999964</v>
      </c>
      <c r="J79" s="90">
        <f>Jan!I79+Feb!I79+Mar!I79+Apr!I79+May!I79+Jun!I79+July!I79+Aug!I79+Sep!I79</f>
        <v>245.60999999999967</v>
      </c>
      <c r="K79" s="82"/>
      <c r="L79" s="398">
        <v>2472.71</v>
      </c>
      <c r="M79" s="397"/>
      <c r="N79" s="397"/>
      <c r="O79" s="398"/>
    </row>
    <row r="80" spans="1:17" s="52" customFormat="1" ht="13.5">
      <c r="A80" s="58"/>
      <c r="B80" s="52" t="s">
        <v>801</v>
      </c>
      <c r="G80" s="52">
        <f t="shared" si="2"/>
        <v>0</v>
      </c>
      <c r="H80" s="52">
        <v>0</v>
      </c>
      <c r="I80" s="61">
        <f t="shared" si="3"/>
        <v>0</v>
      </c>
      <c r="J80" s="90">
        <f>Jan!I80+Feb!I80+Mar!I80+Apr!I80+May!I80+Jun!I80+July!I80+Aug!I80+Sep!I80</f>
        <v>0</v>
      </c>
      <c r="K80" s="82"/>
      <c r="L80" s="398"/>
      <c r="M80" s="397"/>
      <c r="N80" s="397"/>
      <c r="O80" s="398"/>
    </row>
    <row r="81" spans="1:15" s="52" customFormat="1" ht="13.5">
      <c r="A81" s="58"/>
      <c r="B81" s="52" t="s">
        <v>421</v>
      </c>
      <c r="G81" s="52">
        <f t="shared" si="2"/>
        <v>56.32</v>
      </c>
      <c r="H81" s="52">
        <v>5000</v>
      </c>
      <c r="I81" s="61">
        <f t="shared" si="3"/>
        <v>4943.68</v>
      </c>
      <c r="J81" s="90">
        <f>Jan!I81+Feb!I81+Mar!I81+Apr!I81+May!I81+Jun!I81+July!I81+Aug!I81+Sep!I81</f>
        <v>-57588.380000000012</v>
      </c>
      <c r="K81" s="82"/>
      <c r="L81" s="398"/>
      <c r="M81" s="397">
        <f>56.32</f>
        <v>56.32</v>
      </c>
      <c r="N81" s="397"/>
      <c r="O81" s="398"/>
    </row>
    <row r="82" spans="1:15" s="52" customFormat="1" ht="13.5">
      <c r="A82" s="58"/>
      <c r="B82" s="52" t="s">
        <v>888</v>
      </c>
      <c r="G82" s="52">
        <f t="shared" si="2"/>
        <v>0</v>
      </c>
      <c r="H82" s="52">
        <v>1000</v>
      </c>
      <c r="I82" s="61">
        <f t="shared" si="3"/>
        <v>1000</v>
      </c>
      <c r="J82" s="90">
        <f>Jan!I82+Feb!I82+Mar!I82+Apr!I82+May!I82+Jun!I82+July!I82+Aug!I82+Sep!I82</f>
        <v>-1622.75</v>
      </c>
      <c r="K82" s="82"/>
      <c r="L82" s="398"/>
      <c r="M82" s="397"/>
      <c r="N82" s="397"/>
      <c r="O82" s="398"/>
    </row>
    <row r="83" spans="1:15" s="52" customFormat="1" ht="13.5">
      <c r="A83" s="58"/>
      <c r="B83" s="52" t="s">
        <v>889</v>
      </c>
      <c r="G83" s="52">
        <f t="shared" si="2"/>
        <v>0</v>
      </c>
      <c r="H83" s="52">
        <v>50</v>
      </c>
      <c r="I83" s="61">
        <f t="shared" si="3"/>
        <v>50</v>
      </c>
      <c r="J83" s="90">
        <f>Jan!I83+Feb!I83+Mar!I83+Apr!I83+May!I83+Jun!I83+July!I83+Aug!I83+Sep!I83</f>
        <v>-34.949999999999989</v>
      </c>
      <c r="K83" s="82"/>
      <c r="L83" s="398"/>
      <c r="M83" s="397"/>
      <c r="N83" s="397"/>
      <c r="O83" s="398"/>
    </row>
    <row r="84" spans="1:15" s="52" customFormat="1" ht="13.5">
      <c r="A84" s="58"/>
      <c r="B84" s="52" t="s">
        <v>26</v>
      </c>
      <c r="G84" s="52">
        <f t="shared" si="2"/>
        <v>80.2</v>
      </c>
      <c r="H84" s="52">
        <v>100</v>
      </c>
      <c r="I84" s="61">
        <f t="shared" si="3"/>
        <v>19.799999999999997</v>
      </c>
      <c r="J84" s="90">
        <f>Jan!I84+Feb!I84+Mar!I84+Apr!I84+May!I84+Jun!I84+July!I84+Aug!I84+Sep!I84</f>
        <v>193.22000000000003</v>
      </c>
      <c r="K84" s="82"/>
      <c r="L84" s="398">
        <v>80.2</v>
      </c>
      <c r="M84" s="397"/>
      <c r="N84" s="397"/>
      <c r="O84" s="398"/>
    </row>
    <row r="85" spans="1:15" s="52" customFormat="1" ht="13.5">
      <c r="A85" s="58"/>
      <c r="B85" s="52" t="s">
        <v>799</v>
      </c>
      <c r="C85" s="52" t="s">
        <v>824</v>
      </c>
      <c r="D85" s="52" t="s">
        <v>1043</v>
      </c>
      <c r="G85" s="52">
        <f t="shared" si="2"/>
        <v>25.98</v>
      </c>
      <c r="H85" s="52">
        <v>70</v>
      </c>
      <c r="I85" s="61">
        <f t="shared" si="3"/>
        <v>44.019999999999996</v>
      </c>
      <c r="J85" s="90">
        <f>Jan!I85+Feb!I85+Mar!I85+Apr!I85+May!I85+Jun!I85+July!I85+Aug!I85+Sep!I85</f>
        <v>-169.31000000000006</v>
      </c>
      <c r="K85" s="82"/>
      <c r="L85" s="398">
        <v>25.98</v>
      </c>
      <c r="M85" s="397"/>
      <c r="N85" s="397"/>
      <c r="O85" s="398"/>
    </row>
    <row r="86" spans="1:15" s="52" customFormat="1" ht="13.5">
      <c r="A86" s="58"/>
      <c r="B86" s="52" t="s">
        <v>799</v>
      </c>
      <c r="C86" s="52" t="s">
        <v>824</v>
      </c>
      <c r="D86" s="52" t="s">
        <v>1044</v>
      </c>
      <c r="G86" s="52">
        <f t="shared" si="2"/>
        <v>22.41</v>
      </c>
      <c r="H86" s="52">
        <v>25</v>
      </c>
      <c r="I86" s="61">
        <f t="shared" si="3"/>
        <v>2.59</v>
      </c>
      <c r="J86" s="90">
        <f>Jan!I86+Feb!I86+Mar!I86+Apr!I86+May!I86+Jun!I86+July!I86+Aug!I86+Sep!I86</f>
        <v>36.47999999999999</v>
      </c>
      <c r="K86" s="82"/>
      <c r="L86" s="398">
        <v>22.41</v>
      </c>
      <c r="M86" s="397"/>
      <c r="N86" s="397"/>
      <c r="O86" s="398"/>
    </row>
    <row r="87" spans="1:15" s="52" customFormat="1" ht="13.5">
      <c r="A87" s="58"/>
      <c r="B87" s="52" t="s">
        <v>800</v>
      </c>
      <c r="G87" s="52">
        <f t="shared" si="2"/>
        <v>53.36</v>
      </c>
      <c r="H87" s="52">
        <v>40</v>
      </c>
      <c r="I87" s="61">
        <f t="shared" si="3"/>
        <v>-13.36</v>
      </c>
      <c r="J87" s="90">
        <f>Jan!I87+Feb!I87+Mar!I87+Apr!I87+May!I87+Jun!I87+July!I87+Aug!I87+Sep!I87</f>
        <v>-220.28999999999996</v>
      </c>
      <c r="K87" s="82"/>
      <c r="L87" s="398">
        <v>53.36</v>
      </c>
      <c r="M87" s="397"/>
      <c r="N87" s="397"/>
      <c r="O87" s="398"/>
    </row>
    <row r="88" spans="1:15" s="52" customFormat="1" ht="13.5">
      <c r="A88" s="58"/>
      <c r="B88" s="52" t="s">
        <v>802</v>
      </c>
      <c r="C88" s="52" t="s">
        <v>1090</v>
      </c>
      <c r="G88" s="52">
        <f t="shared" si="2"/>
        <v>63.7</v>
      </c>
      <c r="H88" s="52">
        <v>100</v>
      </c>
      <c r="I88" s="61">
        <f t="shared" si="3"/>
        <v>36.299999999999997</v>
      </c>
      <c r="J88" s="90">
        <f>Jan!I88+Feb!I88+Mar!I88+Apr!I88+May!I88+Jun!I88+July!I88+Aug!I88+Sep!I88</f>
        <v>483.58000000000004</v>
      </c>
      <c r="K88" s="82"/>
      <c r="L88" s="398"/>
      <c r="M88" s="397">
        <v>63.7</v>
      </c>
      <c r="N88" s="397"/>
      <c r="O88" s="398"/>
    </row>
    <row r="89" spans="1:15" s="52" customFormat="1" ht="13.5">
      <c r="A89" s="58"/>
      <c r="I89" s="61"/>
      <c r="J89" s="90"/>
      <c r="K89" s="82"/>
      <c r="L89" s="398"/>
      <c r="M89" s="397"/>
      <c r="N89" s="397"/>
      <c r="O89" s="398"/>
    </row>
    <row r="90" spans="1:15" s="52" customFormat="1" ht="13.5">
      <c r="A90" s="58" t="s">
        <v>39</v>
      </c>
      <c r="B90" s="58">
        <f>SUM(G91:G94)</f>
        <v>49.56</v>
      </c>
      <c r="C90" s="58">
        <f>SUM(H91:H94)</f>
        <v>360</v>
      </c>
      <c r="D90" s="58">
        <f>C90-B90</f>
        <v>310.44</v>
      </c>
      <c r="I90" s="61"/>
      <c r="J90" s="90"/>
      <c r="K90" s="82"/>
      <c r="L90" s="398"/>
      <c r="M90" s="397"/>
      <c r="N90" s="397"/>
      <c r="O90" s="398"/>
    </row>
    <row r="91" spans="1:15" s="52" customFormat="1" ht="13.5">
      <c r="B91" s="52" t="s">
        <v>26</v>
      </c>
      <c r="C91" s="52" t="s">
        <v>27</v>
      </c>
      <c r="G91" s="52">
        <f t="shared" si="2"/>
        <v>49.56</v>
      </c>
      <c r="H91" s="52">
        <v>100</v>
      </c>
      <c r="I91" s="61">
        <f t="shared" si="3"/>
        <v>50.44</v>
      </c>
      <c r="J91" s="90">
        <f>Jan!I91+Feb!I91+Mar!I91+Apr!I91+May!I91+Jun!I91+July!I91+Aug!I91+Sep!I91</f>
        <v>287.08000000000004</v>
      </c>
      <c r="K91" s="82"/>
      <c r="L91" s="398">
        <v>49.56</v>
      </c>
      <c r="M91" s="397"/>
      <c r="N91" s="397"/>
      <c r="O91" s="398"/>
    </row>
    <row r="92" spans="1:15" s="52" customFormat="1" ht="13.5">
      <c r="B92" s="52" t="s">
        <v>28</v>
      </c>
      <c r="C92" s="52" t="s">
        <v>29</v>
      </c>
      <c r="G92" s="52">
        <f t="shared" si="2"/>
        <v>0</v>
      </c>
      <c r="H92" s="52">
        <v>40</v>
      </c>
      <c r="I92" s="61">
        <f t="shared" si="3"/>
        <v>40</v>
      </c>
      <c r="J92" s="90">
        <f>Jan!I92+Feb!I92+Mar!I92+Apr!I92+May!I92+Jun!I92+July!I92+Aug!I92+Sep!I92</f>
        <v>231.75</v>
      </c>
      <c r="K92" s="82"/>
      <c r="L92" s="398"/>
      <c r="M92" s="397"/>
      <c r="N92" s="397"/>
      <c r="O92" s="398"/>
    </row>
    <row r="93" spans="1:15" s="52" customFormat="1" ht="13.5">
      <c r="B93" s="52" t="s">
        <v>40</v>
      </c>
      <c r="C93" s="52" t="s">
        <v>41</v>
      </c>
      <c r="D93" s="52" t="s">
        <v>321</v>
      </c>
      <c r="G93" s="52">
        <f t="shared" si="2"/>
        <v>0</v>
      </c>
      <c r="H93" s="52">
        <v>100</v>
      </c>
      <c r="I93" s="61">
        <f t="shared" si="3"/>
        <v>100</v>
      </c>
      <c r="J93" s="90">
        <f>Jan!I93+Feb!I93+Mar!I93+Apr!I93+May!I93+Jun!I93+July!I93+Aug!I93+Sep!I93</f>
        <v>900</v>
      </c>
      <c r="K93" s="82"/>
      <c r="L93" s="398"/>
      <c r="M93" s="397"/>
      <c r="N93" s="397"/>
      <c r="O93" s="398"/>
    </row>
    <row r="94" spans="1:15" s="52" customFormat="1" ht="13.5">
      <c r="B94" s="52" t="s">
        <v>42</v>
      </c>
      <c r="C94" s="52" t="s">
        <v>43</v>
      </c>
      <c r="D94" s="52" t="s">
        <v>435</v>
      </c>
      <c r="G94" s="52">
        <f t="shared" si="2"/>
        <v>0</v>
      </c>
      <c r="H94" s="52">
        <v>120</v>
      </c>
      <c r="I94" s="61">
        <f t="shared" si="3"/>
        <v>120</v>
      </c>
      <c r="J94" s="90">
        <f>Jan!I94+Feb!I94+Mar!I94+Apr!I94+May!I94+Jun!I94+July!I94+Aug!I94+Sep!I94</f>
        <v>579.79999999999995</v>
      </c>
      <c r="K94" s="82"/>
      <c r="L94" s="398"/>
      <c r="M94" s="397"/>
      <c r="N94" s="397"/>
      <c r="O94" s="398"/>
    </row>
    <row r="95" spans="1:15" s="52" customFormat="1" ht="13.5">
      <c r="I95" s="61"/>
      <c r="J95" s="90"/>
      <c r="K95" s="82"/>
      <c r="L95" s="398"/>
      <c r="M95" s="397"/>
      <c r="N95" s="397"/>
      <c r="O95" s="398"/>
    </row>
    <row r="96" spans="1:15" s="52" customFormat="1" ht="13.5">
      <c r="A96" s="58" t="s">
        <v>45</v>
      </c>
      <c r="B96" s="58">
        <f>SUM(G97:G99)</f>
        <v>432.82</v>
      </c>
      <c r="C96" s="58">
        <f>SUM(H97:H99)</f>
        <v>173</v>
      </c>
      <c r="D96" s="58">
        <f>C96-B96</f>
        <v>-259.82</v>
      </c>
      <c r="I96" s="61"/>
      <c r="J96" s="90"/>
      <c r="K96" s="82"/>
      <c r="L96" s="398"/>
      <c r="M96" s="397"/>
      <c r="N96" s="397"/>
      <c r="O96" s="398"/>
    </row>
    <row r="97" spans="1:17" s="52" customFormat="1" ht="13.5">
      <c r="B97" s="52" t="s">
        <v>46</v>
      </c>
      <c r="D97" s="52" t="s">
        <v>437</v>
      </c>
      <c r="G97" s="52">
        <f t="shared" si="2"/>
        <v>0</v>
      </c>
      <c r="H97" s="52">
        <v>65</v>
      </c>
      <c r="I97" s="61">
        <f t="shared" si="3"/>
        <v>65</v>
      </c>
      <c r="J97" s="90">
        <f>Jan!I97+Feb!I97+Mar!I97+Apr!I97+May!I97+Jun!I97+July!I97+Aug!I97+Sep!I97</f>
        <v>-145</v>
      </c>
      <c r="K97" s="82"/>
      <c r="L97" s="398"/>
      <c r="M97" s="397"/>
      <c r="N97" s="397"/>
      <c r="O97" s="398"/>
    </row>
    <row r="98" spans="1:17" s="52" customFormat="1" ht="13.5">
      <c r="B98" s="52" t="s">
        <v>47</v>
      </c>
      <c r="D98" s="52" t="s">
        <v>436</v>
      </c>
      <c r="G98" s="52">
        <f t="shared" si="2"/>
        <v>0</v>
      </c>
      <c r="H98" s="52">
        <v>72</v>
      </c>
      <c r="I98" s="61">
        <f t="shared" si="3"/>
        <v>72</v>
      </c>
      <c r="J98" s="90">
        <f>Jan!I98+Feb!I98+Mar!I98+Apr!I98+May!I98+Jun!I98+July!I98+Aug!I98+Sep!I98</f>
        <v>-210</v>
      </c>
      <c r="K98" s="82"/>
      <c r="L98" s="398"/>
      <c r="M98" s="397"/>
      <c r="N98" s="397"/>
      <c r="O98" s="398"/>
    </row>
    <row r="99" spans="1:17" s="52" customFormat="1" ht="13.5">
      <c r="B99" s="52" t="s">
        <v>48</v>
      </c>
      <c r="D99" s="52" t="s">
        <v>445</v>
      </c>
      <c r="G99" s="52">
        <f t="shared" si="2"/>
        <v>432.82</v>
      </c>
      <c r="H99" s="52">
        <v>36</v>
      </c>
      <c r="I99" s="61">
        <f t="shared" si="3"/>
        <v>-396.82</v>
      </c>
      <c r="J99" s="90">
        <f>Jan!I99+Feb!I99+Mar!I99+Apr!I99+May!I99+Jun!I99+July!I99+Aug!I99+Sep!I99</f>
        <v>-108.82</v>
      </c>
      <c r="K99" s="82"/>
      <c r="L99" s="398">
        <v>432.82</v>
      </c>
      <c r="M99" s="397"/>
      <c r="N99" s="397"/>
      <c r="O99" s="398"/>
    </row>
    <row r="100" spans="1:17" s="52" customFormat="1" ht="13.5">
      <c r="I100" s="61"/>
      <c r="J100" s="90"/>
      <c r="K100" s="82"/>
      <c r="L100" s="398"/>
      <c r="M100" s="397"/>
      <c r="N100" s="397"/>
      <c r="O100" s="398"/>
    </row>
    <row r="101" spans="1:17" s="52" customFormat="1" ht="13.5">
      <c r="A101" s="58" t="s">
        <v>49</v>
      </c>
      <c r="B101" s="58">
        <f>SUM(G102:G108)</f>
        <v>-297.36</v>
      </c>
      <c r="C101" s="58">
        <f>SUM(H102:H108)</f>
        <v>178</v>
      </c>
      <c r="D101" s="58">
        <f>C101-B101</f>
        <v>475.36</v>
      </c>
      <c r="I101" s="61"/>
      <c r="J101" s="90"/>
      <c r="K101" s="82"/>
      <c r="L101" s="398"/>
      <c r="M101" s="397"/>
      <c r="N101" s="397"/>
      <c r="O101" s="398"/>
    </row>
    <row r="102" spans="1:17" s="52" customFormat="1" ht="13.5">
      <c r="B102" s="52" t="s">
        <v>438</v>
      </c>
      <c r="G102" s="52">
        <f t="shared" si="2"/>
        <v>-400</v>
      </c>
      <c r="H102" s="52">
        <v>20</v>
      </c>
      <c r="I102" s="61">
        <f t="shared" si="3"/>
        <v>420</v>
      </c>
      <c r="J102" s="90">
        <f>Jan!I102+Feb!I102+Mar!I102+Apr!I102+May!I102+Jun!I102+July!I102+Aug!I102+Sep!I102</f>
        <v>-3330.5199999999995</v>
      </c>
      <c r="K102" s="82"/>
      <c r="L102" s="398">
        <v>-400</v>
      </c>
      <c r="M102" s="397"/>
      <c r="N102" s="397"/>
      <c r="O102" s="398"/>
      <c r="Q102" s="52" t="s">
        <v>1163</v>
      </c>
    </row>
    <row r="103" spans="1:17" s="52" customFormat="1" ht="13.5">
      <c r="B103" s="52" t="s">
        <v>439</v>
      </c>
      <c r="G103" s="52">
        <f t="shared" si="2"/>
        <v>59.13</v>
      </c>
      <c r="H103" s="52">
        <v>5</v>
      </c>
      <c r="I103" s="61">
        <f t="shared" si="3"/>
        <v>-54.13</v>
      </c>
      <c r="J103" s="90">
        <f>Jan!I103+Feb!I103+Mar!I103+Apr!I103+May!I103+Jun!I103+July!I103+Aug!I103+Sep!I103</f>
        <v>-76.95</v>
      </c>
      <c r="K103" s="82"/>
      <c r="L103" s="398"/>
      <c r="M103" s="397">
        <f>59.13</f>
        <v>59.13</v>
      </c>
      <c r="N103" s="397"/>
      <c r="O103" s="398"/>
    </row>
    <row r="104" spans="1:17" s="52" customFormat="1" ht="13.5">
      <c r="B104" s="52" t="s">
        <v>303</v>
      </c>
      <c r="G104" s="52">
        <f t="shared" si="2"/>
        <v>0</v>
      </c>
      <c r="H104" s="52">
        <v>65</v>
      </c>
      <c r="I104" s="61">
        <f t="shared" si="3"/>
        <v>65</v>
      </c>
      <c r="J104" s="90">
        <f>Jan!I104+Feb!I104+Mar!I104+Apr!I104+May!I104+Jun!I104+July!I104+Aug!I104+Sep!I104</f>
        <v>-274.83000000000004</v>
      </c>
      <c r="K104" s="82"/>
      <c r="L104" s="398"/>
      <c r="M104" s="397"/>
      <c r="N104" s="397"/>
      <c r="O104" s="398"/>
    </row>
    <row r="105" spans="1:17" s="52" customFormat="1" ht="13.5">
      <c r="B105" s="52" t="s">
        <v>259</v>
      </c>
      <c r="G105" s="52">
        <f t="shared" si="2"/>
        <v>0</v>
      </c>
      <c r="H105" s="52">
        <v>15</v>
      </c>
      <c r="I105" s="61">
        <f t="shared" si="3"/>
        <v>15</v>
      </c>
      <c r="J105" s="90">
        <f>Jan!I105+Feb!I105+Mar!I105+Apr!I105+May!I105+Jun!I105+July!I105+Aug!I105+Sep!I105</f>
        <v>135</v>
      </c>
      <c r="K105" s="82"/>
      <c r="L105" s="398"/>
      <c r="M105" s="397"/>
      <c r="N105" s="397"/>
      <c r="O105" s="398"/>
    </row>
    <row r="106" spans="1:17" s="52" customFormat="1" ht="13.5">
      <c r="B106" s="52" t="s">
        <v>299</v>
      </c>
      <c r="G106" s="52">
        <f t="shared" si="2"/>
        <v>43.51</v>
      </c>
      <c r="H106" s="52">
        <v>35</v>
      </c>
      <c r="I106" s="61">
        <f t="shared" si="3"/>
        <v>-8.509999999999998</v>
      </c>
      <c r="J106" s="90">
        <f>Jan!I106+Feb!I106+Mar!I106+Apr!I106+May!I106+Jun!I106+July!I106+Aug!I106+Sep!I106</f>
        <v>245.15</v>
      </c>
      <c r="K106" s="82"/>
      <c r="L106" s="398"/>
      <c r="M106" s="397"/>
      <c r="N106" s="397">
        <f>43.51</f>
        <v>43.51</v>
      </c>
      <c r="O106" s="398"/>
    </row>
    <row r="107" spans="1:17" s="52" customFormat="1" ht="13.5">
      <c r="B107" s="52" t="s">
        <v>440</v>
      </c>
      <c r="G107" s="52">
        <f t="shared" si="2"/>
        <v>0</v>
      </c>
      <c r="H107" s="52">
        <v>26</v>
      </c>
      <c r="I107" s="61">
        <f t="shared" si="3"/>
        <v>26</v>
      </c>
      <c r="J107" s="90">
        <f>Jan!I107+Feb!I107+Mar!I107+Apr!I107+May!I107+Jun!I107+July!I107+Aug!I107+Sep!I107</f>
        <v>-37</v>
      </c>
      <c r="K107" s="82"/>
      <c r="L107" s="398"/>
      <c r="M107" s="397"/>
      <c r="N107" s="397"/>
      <c r="O107" s="398"/>
    </row>
    <row r="108" spans="1:17" s="52" customFormat="1" ht="13.5">
      <c r="B108" s="52" t="s">
        <v>441</v>
      </c>
      <c r="G108" s="52">
        <f t="shared" si="2"/>
        <v>0</v>
      </c>
      <c r="H108" s="52">
        <v>12</v>
      </c>
      <c r="I108" s="61">
        <f t="shared" si="3"/>
        <v>12</v>
      </c>
      <c r="J108" s="90">
        <f>Jan!I108+Feb!I108+Mar!I108+Apr!I108+May!I108+Jun!I108+July!I108+Aug!I108+Sep!I108</f>
        <v>-37.990000000000009</v>
      </c>
      <c r="K108" s="82"/>
      <c r="L108" s="398"/>
      <c r="M108" s="397"/>
      <c r="N108" s="397"/>
      <c r="O108" s="398"/>
    </row>
    <row r="109" spans="1:17" s="52" customFormat="1" ht="13.5">
      <c r="I109" s="61"/>
      <c r="J109" s="90"/>
      <c r="K109" s="82"/>
      <c r="L109" s="398"/>
      <c r="M109" s="397"/>
      <c r="N109" s="397"/>
      <c r="O109" s="398"/>
    </row>
    <row r="110" spans="1:17" s="52" customFormat="1" ht="13.5">
      <c r="A110" s="58" t="s">
        <v>236</v>
      </c>
      <c r="B110" s="58">
        <f>SUM(G111:G113)</f>
        <v>146.53</v>
      </c>
      <c r="C110" s="58">
        <f>SUM(H111:H113)</f>
        <v>470</v>
      </c>
      <c r="D110" s="58">
        <f>C110-B110</f>
        <v>323.47000000000003</v>
      </c>
      <c r="I110" s="61"/>
      <c r="J110" s="90"/>
      <c r="K110" s="82"/>
      <c r="L110" s="398"/>
      <c r="M110" s="397"/>
      <c r="N110" s="397"/>
      <c r="O110" s="398"/>
    </row>
    <row r="111" spans="1:17" s="52" customFormat="1" ht="13.5">
      <c r="B111" s="52" t="s">
        <v>482</v>
      </c>
      <c r="G111" s="52">
        <f t="shared" si="2"/>
        <v>0</v>
      </c>
      <c r="H111" s="52">
        <v>60</v>
      </c>
      <c r="I111" s="61">
        <f t="shared" si="3"/>
        <v>60</v>
      </c>
      <c r="J111" s="90">
        <f>Jan!I111+Feb!I111+Mar!I111+Apr!I111+May!I111+Jun!I111+July!I111+Aug!I111+Sep!I111</f>
        <v>530.05999999999995</v>
      </c>
      <c r="K111" s="82"/>
      <c r="L111" s="398"/>
      <c r="M111" s="397"/>
      <c r="N111" s="397"/>
      <c r="O111" s="398"/>
    </row>
    <row r="112" spans="1:17" s="52" customFormat="1" ht="13.5">
      <c r="B112" s="52" t="s">
        <v>442</v>
      </c>
      <c r="G112" s="52">
        <f t="shared" si="2"/>
        <v>146.53</v>
      </c>
      <c r="H112" s="52">
        <v>400</v>
      </c>
      <c r="I112" s="61">
        <f t="shared" si="3"/>
        <v>253.47</v>
      </c>
      <c r="J112" s="90">
        <f>Jan!I112+Feb!I112+Mar!I112+Apr!I112+May!I112+Jun!I112+July!I112+Aug!I112+Sep!I112</f>
        <v>3232.1499999999996</v>
      </c>
      <c r="K112" s="82"/>
      <c r="L112" s="398"/>
      <c r="M112" s="397">
        <f>55.95+84.6+5.98</f>
        <v>146.53</v>
      </c>
      <c r="N112" s="397"/>
      <c r="O112" s="398"/>
    </row>
    <row r="113" spans="1:17" s="52" customFormat="1" ht="13.5">
      <c r="B113" s="52" t="s">
        <v>258</v>
      </c>
      <c r="G113" s="52">
        <f t="shared" si="2"/>
        <v>0</v>
      </c>
      <c r="H113" s="52">
        <v>10</v>
      </c>
      <c r="I113" s="61">
        <f t="shared" si="3"/>
        <v>10</v>
      </c>
      <c r="J113" s="90">
        <f>Jan!I113+Feb!I113+Mar!I113+Apr!I113+May!I113+Jun!I113+July!I113+Aug!I113+Sep!I113</f>
        <v>67.48</v>
      </c>
      <c r="K113" s="82"/>
      <c r="L113" s="398"/>
      <c r="M113" s="397"/>
      <c r="N113" s="397"/>
      <c r="O113" s="398"/>
    </row>
    <row r="114" spans="1:17" s="52" customFormat="1" ht="13.5">
      <c r="I114" s="61"/>
      <c r="J114" s="90"/>
      <c r="K114" s="82"/>
      <c r="L114" s="398"/>
      <c r="M114" s="397"/>
      <c r="N114" s="397"/>
      <c r="O114" s="398"/>
    </row>
    <row r="115" spans="1:17" s="52" customFormat="1" ht="13.5">
      <c r="A115" s="58" t="s">
        <v>53</v>
      </c>
      <c r="B115" s="58">
        <f>SUM(G116:G118)</f>
        <v>37.61</v>
      </c>
      <c r="C115" s="58">
        <f>SUM(H116:H118)</f>
        <v>245</v>
      </c>
      <c r="D115" s="58">
        <f>C115-B115</f>
        <v>207.39</v>
      </c>
      <c r="I115" s="61"/>
      <c r="J115" s="90"/>
      <c r="K115" s="82"/>
      <c r="L115" s="398"/>
      <c r="M115" s="397"/>
      <c r="N115" s="397"/>
      <c r="O115" s="398"/>
    </row>
    <row r="116" spans="1:17" s="52" customFormat="1" ht="13.5">
      <c r="B116" s="52" t="s">
        <v>443</v>
      </c>
      <c r="G116" s="52">
        <f t="shared" ref="G116:G170" si="4">SUM(L116:O116)</f>
        <v>0</v>
      </c>
      <c r="H116" s="52">
        <v>90</v>
      </c>
      <c r="I116" s="61">
        <f t="shared" si="3"/>
        <v>90</v>
      </c>
      <c r="J116" s="90">
        <f>Jan!I116+Feb!I116+Mar!I116+Apr!I116+May!I116+Jun!I116+July!I116+Aug!I116+Sep!I116</f>
        <v>-2028.3500000000004</v>
      </c>
      <c r="K116" s="82"/>
      <c r="L116" s="398"/>
      <c r="M116" s="397"/>
      <c r="N116" s="397"/>
      <c r="O116" s="398"/>
    </row>
    <row r="117" spans="1:17" s="52" customFormat="1" ht="13.5">
      <c r="B117" s="52" t="s">
        <v>54</v>
      </c>
      <c r="G117" s="52">
        <f t="shared" si="4"/>
        <v>0</v>
      </c>
      <c r="H117" s="52">
        <v>25</v>
      </c>
      <c r="I117" s="61">
        <f t="shared" si="3"/>
        <v>25</v>
      </c>
      <c r="J117" s="90">
        <f>Jan!I117+Feb!I117+Mar!I117+Apr!I117+May!I117+Jun!I117+July!I117+Aug!I117+Sep!I117</f>
        <v>-8.4000000000000057</v>
      </c>
      <c r="K117" s="82"/>
      <c r="L117" s="398"/>
      <c r="M117" s="397"/>
      <c r="N117" s="397"/>
      <c r="O117" s="398"/>
    </row>
    <row r="118" spans="1:17" s="52" customFormat="1" ht="13.5">
      <c r="B118" s="54" t="s">
        <v>444</v>
      </c>
      <c r="G118" s="52">
        <f t="shared" si="4"/>
        <v>37.61</v>
      </c>
      <c r="H118" s="52">
        <v>130</v>
      </c>
      <c r="I118" s="61">
        <f t="shared" si="3"/>
        <v>92.39</v>
      </c>
      <c r="J118" s="90">
        <f>Jan!I118+Feb!I118+Mar!I118+Apr!I118+May!I118+Jun!I118+July!I118+Aug!I118+Sep!I118</f>
        <v>179.15000000000003</v>
      </c>
      <c r="K118" s="82"/>
      <c r="L118" s="398"/>
      <c r="M118" s="397">
        <f>10.12</f>
        <v>10.119999999999999</v>
      </c>
      <c r="N118" s="397">
        <f>27.49</f>
        <v>27.49</v>
      </c>
      <c r="O118" s="398"/>
    </row>
    <row r="119" spans="1:17" s="52" customFormat="1" ht="13.5">
      <c r="I119" s="61"/>
      <c r="J119" s="90"/>
      <c r="K119" s="82"/>
      <c r="L119" s="398"/>
      <c r="M119" s="397"/>
      <c r="N119" s="397"/>
      <c r="O119" s="398"/>
    </row>
    <row r="120" spans="1:17" s="52" customFormat="1" ht="13.5">
      <c r="A120" s="58" t="s">
        <v>59</v>
      </c>
      <c r="B120" s="58">
        <f>SUM(G121:G123)</f>
        <v>0</v>
      </c>
      <c r="C120" s="58">
        <f>SUM(H121:H123)</f>
        <v>415</v>
      </c>
      <c r="D120" s="58">
        <f>C120-B120</f>
        <v>415</v>
      </c>
      <c r="I120" s="61"/>
      <c r="J120" s="90"/>
      <c r="K120" s="82"/>
      <c r="L120" s="398"/>
      <c r="M120" s="397"/>
      <c r="N120" s="397"/>
      <c r="O120" s="398"/>
    </row>
    <row r="121" spans="1:17" s="52" customFormat="1" ht="13.5">
      <c r="B121" s="52" t="s">
        <v>484</v>
      </c>
      <c r="D121" s="52" t="s">
        <v>60</v>
      </c>
      <c r="G121" s="52">
        <f t="shared" si="4"/>
        <v>0</v>
      </c>
      <c r="H121" s="52">
        <v>150</v>
      </c>
      <c r="I121" s="61">
        <f t="shared" si="3"/>
        <v>150</v>
      </c>
      <c r="J121" s="90">
        <f>Jan!I121+Feb!I121+Mar!I121+Apr!I121+May!I121+Jun!I121+July!I121+Aug!I121+Sep!I121</f>
        <v>365.20000000000005</v>
      </c>
      <c r="K121" s="82"/>
      <c r="L121" s="398"/>
      <c r="M121" s="397"/>
      <c r="N121" s="397"/>
      <c r="O121" s="398"/>
    </row>
    <row r="122" spans="1:17" s="52" customFormat="1" ht="13.5">
      <c r="A122" s="58"/>
      <c r="B122" s="52" t="s">
        <v>483</v>
      </c>
      <c r="G122" s="52">
        <f t="shared" si="4"/>
        <v>0</v>
      </c>
      <c r="H122" s="52">
        <v>215</v>
      </c>
      <c r="I122" s="61">
        <f t="shared" si="3"/>
        <v>215</v>
      </c>
      <c r="J122" s="90">
        <f>Jan!I122+Feb!I122+Mar!I122+Apr!I122+May!I122+Jun!I122+July!I122+Aug!I122+Sep!I122</f>
        <v>1425</v>
      </c>
      <c r="K122" s="82"/>
      <c r="L122" s="398"/>
      <c r="M122" s="397"/>
      <c r="N122" s="397"/>
      <c r="O122" s="398"/>
    </row>
    <row r="123" spans="1:17" s="52" customFormat="1" ht="13.5">
      <c r="A123" s="58"/>
      <c r="B123" s="52" t="s">
        <v>468</v>
      </c>
      <c r="G123" s="52">
        <f t="shared" si="4"/>
        <v>0</v>
      </c>
      <c r="H123" s="52">
        <v>50</v>
      </c>
      <c r="I123" s="61">
        <f t="shared" si="3"/>
        <v>50</v>
      </c>
      <c r="J123" s="90">
        <f>Jan!I123+Feb!I123+Mar!I123+Apr!I123+May!I123+Jun!I123+July!I123+Aug!I123+Sep!I123</f>
        <v>-1675</v>
      </c>
      <c r="K123" s="82"/>
      <c r="L123" s="398"/>
      <c r="M123" s="397"/>
      <c r="N123" s="397"/>
      <c r="O123" s="398"/>
    </row>
    <row r="124" spans="1:17" s="52" customFormat="1" ht="13.5">
      <c r="A124" s="58"/>
      <c r="I124" s="61"/>
      <c r="J124" s="90"/>
      <c r="K124" s="82"/>
      <c r="L124" s="398"/>
      <c r="M124" s="397"/>
      <c r="N124" s="397"/>
      <c r="O124" s="398"/>
    </row>
    <row r="125" spans="1:17" s="52" customFormat="1" ht="13.5">
      <c r="A125" s="58" t="s">
        <v>50</v>
      </c>
      <c r="B125" s="58">
        <f>SUM(G126:G136)</f>
        <v>794.69</v>
      </c>
      <c r="C125" s="58">
        <f>SUM(H126:H136)</f>
        <v>740</v>
      </c>
      <c r="D125" s="58">
        <f>C125-B125</f>
        <v>-54.690000000000055</v>
      </c>
      <c r="I125" s="61"/>
      <c r="J125" s="90"/>
      <c r="K125" s="82"/>
      <c r="L125" s="398"/>
      <c r="M125" s="397"/>
      <c r="N125" s="397"/>
      <c r="O125" s="398"/>
    </row>
    <row r="126" spans="1:17" s="52" customFormat="1" ht="13.5">
      <c r="B126" s="52" t="s">
        <v>51</v>
      </c>
      <c r="G126" s="52">
        <f t="shared" si="4"/>
        <v>200</v>
      </c>
      <c r="H126" s="52">
        <v>100</v>
      </c>
      <c r="I126" s="61">
        <f t="shared" si="3"/>
        <v>-100</v>
      </c>
      <c r="J126" s="90">
        <f>Jan!I126+Feb!I126+Mar!I126+Apr!I126+May!I126+Jun!I126+July!I126+Aug!I126+Sep!I126</f>
        <v>-989.1</v>
      </c>
      <c r="K126" s="82"/>
      <c r="L126" s="398">
        <v>200</v>
      </c>
      <c r="M126" s="397"/>
      <c r="N126" s="397"/>
      <c r="O126" s="398"/>
      <c r="Q126" s="120">
        <v>42256</v>
      </c>
    </row>
    <row r="127" spans="1:17" s="52" customFormat="1" ht="14.25" thickBot="1">
      <c r="B127" s="52" t="s">
        <v>453</v>
      </c>
      <c r="G127" s="52">
        <f t="shared" si="4"/>
        <v>298.95</v>
      </c>
      <c r="H127" s="52">
        <v>500</v>
      </c>
      <c r="I127" s="61">
        <f t="shared" si="3"/>
        <v>201.05</v>
      </c>
      <c r="J127" s="90">
        <f>Jan!I127+Feb!I127+Mar!I127+Apr!I127+May!I127+Jun!I127+July!I127+Aug!I127+Sep!I127</f>
        <v>709.82000000000016</v>
      </c>
      <c r="K127" s="82"/>
      <c r="L127" s="398"/>
      <c r="M127" s="397">
        <f>15.47+34.4+6.52+14</f>
        <v>70.39</v>
      </c>
      <c r="N127" s="397">
        <f>48.58+55.55-4.59+46.25+82.77</f>
        <v>228.56</v>
      </c>
      <c r="O127" s="398"/>
    </row>
    <row r="128" spans="1:17" s="52" customFormat="1" ht="14.25" thickBot="1">
      <c r="C128" s="52" t="s">
        <v>446</v>
      </c>
      <c r="E128" s="88"/>
      <c r="I128" s="61"/>
      <c r="J128" s="90"/>
      <c r="K128" s="82"/>
      <c r="L128" s="398"/>
      <c r="M128" s="397"/>
      <c r="N128" s="397"/>
      <c r="O128" s="398"/>
    </row>
    <row r="129" spans="1:15" s="52" customFormat="1" ht="14.25" thickBot="1">
      <c r="C129" s="52" t="s">
        <v>447</v>
      </c>
      <c r="E129" s="88"/>
      <c r="I129" s="61"/>
      <c r="J129" s="90"/>
      <c r="K129" s="82"/>
      <c r="L129" s="398"/>
      <c r="M129" s="397"/>
      <c r="N129" s="397"/>
      <c r="O129" s="398"/>
    </row>
    <row r="130" spans="1:15" s="52" customFormat="1" ht="13.5">
      <c r="B130" s="52" t="s">
        <v>300</v>
      </c>
      <c r="G130" s="52">
        <f t="shared" si="4"/>
        <v>254.17000000000002</v>
      </c>
      <c r="H130" s="52">
        <v>50</v>
      </c>
      <c r="I130" s="61">
        <f t="shared" si="3"/>
        <v>-204.17000000000002</v>
      </c>
      <c r="J130" s="90">
        <f>Jan!I130+Feb!I130+Mar!I130+Apr!I130+May!I130+Jun!I130+July!I130+Aug!I130+Sep!I130</f>
        <v>-864.42000000000007</v>
      </c>
      <c r="K130" s="82"/>
      <c r="L130" s="398"/>
      <c r="M130" s="397">
        <f>184.77+69.4</f>
        <v>254.17000000000002</v>
      </c>
      <c r="N130" s="397"/>
      <c r="O130" s="398"/>
    </row>
    <row r="131" spans="1:15" s="52" customFormat="1" ht="14.25" thickBot="1">
      <c r="B131" s="52" t="s">
        <v>52</v>
      </c>
      <c r="G131" s="52">
        <f t="shared" si="4"/>
        <v>41.57</v>
      </c>
      <c r="H131" s="52">
        <v>70</v>
      </c>
      <c r="I131" s="61">
        <f t="shared" si="3"/>
        <v>28.43</v>
      </c>
      <c r="J131" s="90">
        <f>Jan!I131+Feb!I131+Mar!I131+Apr!I131+May!I131+Jun!I131+July!I131+Aug!I131+Sep!I131</f>
        <v>333.00000000000006</v>
      </c>
      <c r="K131" s="82"/>
      <c r="L131" s="398"/>
      <c r="M131" s="397">
        <v>41.57</v>
      </c>
      <c r="N131" s="397"/>
      <c r="O131" s="398"/>
    </row>
    <row r="132" spans="1:15" s="52" customFormat="1" ht="14.25" thickBot="1">
      <c r="C132" s="259" t="s">
        <v>448</v>
      </c>
      <c r="D132" s="260"/>
      <c r="E132" s="88">
        <v>41.57</v>
      </c>
      <c r="I132" s="61"/>
      <c r="J132" s="90"/>
      <c r="K132" s="82"/>
      <c r="L132" s="398"/>
      <c r="M132" s="397"/>
      <c r="N132" s="397"/>
      <c r="O132" s="398"/>
    </row>
    <row r="133" spans="1:15" s="52" customFormat="1" ht="14.25" thickBot="1">
      <c r="C133" s="259" t="s">
        <v>449</v>
      </c>
      <c r="D133" s="260"/>
      <c r="E133" s="88"/>
      <c r="I133" s="61"/>
      <c r="J133" s="90"/>
      <c r="K133" s="82"/>
      <c r="L133" s="398"/>
      <c r="M133" s="397"/>
      <c r="N133" s="397"/>
      <c r="O133" s="398"/>
    </row>
    <row r="134" spans="1:15" s="52" customFormat="1" ht="14.25" thickBot="1">
      <c r="C134" s="259" t="s">
        <v>450</v>
      </c>
      <c r="D134" s="260"/>
      <c r="E134" s="88"/>
      <c r="I134" s="61"/>
      <c r="J134" s="90"/>
      <c r="K134" s="82"/>
      <c r="L134" s="398"/>
      <c r="M134" s="397"/>
      <c r="N134" s="397"/>
      <c r="O134" s="398"/>
    </row>
    <row r="135" spans="1:15" s="52" customFormat="1" ht="14.25" thickBot="1">
      <c r="C135" s="259" t="s">
        <v>451</v>
      </c>
      <c r="D135" s="260"/>
      <c r="E135" s="88"/>
      <c r="I135" s="61"/>
      <c r="J135" s="90"/>
      <c r="K135" s="82"/>
      <c r="L135" s="398"/>
      <c r="M135" s="397"/>
      <c r="N135" s="397"/>
      <c r="O135" s="398"/>
    </row>
    <row r="136" spans="1:15" s="52" customFormat="1" ht="13.5">
      <c r="B136" s="52" t="s">
        <v>452</v>
      </c>
      <c r="G136" s="52">
        <f t="shared" si="4"/>
        <v>0</v>
      </c>
      <c r="H136" s="52">
        <v>20</v>
      </c>
      <c r="I136" s="61">
        <f t="shared" ref="I136:I151" si="5">H136-G136</f>
        <v>20</v>
      </c>
      <c r="J136" s="90">
        <f>Jan!I136+Feb!I136+Mar!I136+Apr!I136+May!I136+Jun!I136+July!I136+Aug!I136+Sep!I136</f>
        <v>94.16</v>
      </c>
      <c r="K136" s="82"/>
      <c r="L136" s="398"/>
      <c r="M136" s="397"/>
      <c r="N136" s="397"/>
      <c r="O136" s="398"/>
    </row>
    <row r="137" spans="1:15" s="52" customFormat="1" ht="13.5">
      <c r="I137" s="61"/>
      <c r="J137" s="90"/>
      <c r="K137" s="82"/>
      <c r="L137" s="398"/>
      <c r="M137" s="397"/>
      <c r="N137" s="397"/>
      <c r="O137" s="398"/>
    </row>
    <row r="138" spans="1:15" s="52" customFormat="1" ht="13.5">
      <c r="A138" s="58" t="s">
        <v>65</v>
      </c>
      <c r="B138" s="58">
        <f>G139</f>
        <v>0</v>
      </c>
      <c r="C138" s="58">
        <f>H139</f>
        <v>140</v>
      </c>
      <c r="D138" s="58">
        <f>I139</f>
        <v>140</v>
      </c>
      <c r="I138" s="61"/>
      <c r="J138" s="90"/>
      <c r="K138" s="82"/>
      <c r="L138" s="398"/>
      <c r="M138" s="397"/>
      <c r="N138" s="397"/>
      <c r="O138" s="398"/>
    </row>
    <row r="139" spans="1:15" s="52" customFormat="1" ht="13.5">
      <c r="B139" s="52" t="s">
        <v>66</v>
      </c>
      <c r="G139" s="52">
        <f t="shared" si="4"/>
        <v>0</v>
      </c>
      <c r="H139" s="52">
        <v>140</v>
      </c>
      <c r="I139" s="61">
        <f t="shared" si="5"/>
        <v>140</v>
      </c>
      <c r="J139" s="90">
        <f>Jan!I139+Feb!I139+Mar!I139+Apr!I139+May!I139+Jun!I139+July!I139+Aug!I139+Sep!I139</f>
        <v>898.08</v>
      </c>
      <c r="K139" s="82"/>
      <c r="L139" s="398"/>
      <c r="M139" s="397"/>
      <c r="N139" s="397"/>
      <c r="O139" s="398"/>
    </row>
    <row r="140" spans="1:15" s="52" customFormat="1" ht="13.5">
      <c r="I140" s="61"/>
      <c r="J140" s="90"/>
      <c r="K140" s="82"/>
      <c r="L140" s="398"/>
      <c r="M140" s="397"/>
      <c r="N140" s="397"/>
      <c r="O140" s="398"/>
    </row>
    <row r="141" spans="1:15" s="52" customFormat="1" ht="13.5">
      <c r="A141" s="58" t="s">
        <v>271</v>
      </c>
      <c r="B141" s="58">
        <f>SUM(G142:G144)</f>
        <v>65.64</v>
      </c>
      <c r="C141" s="58">
        <f>SUM(H142:H144)</f>
        <v>230</v>
      </c>
      <c r="D141" s="58">
        <f>C141-B141</f>
        <v>164.36</v>
      </c>
      <c r="I141" s="61"/>
      <c r="J141" s="90"/>
      <c r="K141" s="82"/>
      <c r="L141" s="398"/>
      <c r="M141" s="397"/>
      <c r="N141" s="397"/>
      <c r="O141" s="398"/>
    </row>
    <row r="142" spans="1:15" s="52" customFormat="1" ht="13.5">
      <c r="B142" s="52" t="s">
        <v>266</v>
      </c>
      <c r="G142" s="52">
        <f t="shared" si="4"/>
        <v>65.64</v>
      </c>
      <c r="H142" s="52">
        <v>100</v>
      </c>
      <c r="I142" s="61">
        <f t="shared" si="5"/>
        <v>34.36</v>
      </c>
      <c r="J142" s="90">
        <f>Jan!I142+Feb!I142+Mar!I142+Apr!I142+May!I142+Jun!I142+July!I142+Aug!I142+Sep!I142</f>
        <v>-404.68</v>
      </c>
      <c r="K142" s="82"/>
      <c r="L142" s="398"/>
      <c r="M142" s="397">
        <f>19.64+18.2+27.8</f>
        <v>65.64</v>
      </c>
      <c r="N142" s="397"/>
      <c r="O142" s="398"/>
    </row>
    <row r="143" spans="1:15" s="52" customFormat="1" ht="13.5">
      <c r="B143" s="52" t="s">
        <v>454</v>
      </c>
      <c r="G143" s="52">
        <f t="shared" si="4"/>
        <v>0</v>
      </c>
      <c r="H143" s="52">
        <v>100</v>
      </c>
      <c r="I143" s="61">
        <f t="shared" si="5"/>
        <v>100</v>
      </c>
      <c r="J143" s="90">
        <f>Jan!I143+Feb!I143+Mar!I143+Apr!I143+May!I143+Jun!I143+July!I143+Aug!I143+Sep!I143</f>
        <v>798.68000000000006</v>
      </c>
      <c r="K143" s="82"/>
      <c r="L143" s="398"/>
      <c r="M143" s="397"/>
      <c r="N143" s="397"/>
      <c r="O143" s="398"/>
    </row>
    <row r="144" spans="1:15" s="52" customFormat="1" ht="13.5">
      <c r="B144" s="52" t="s">
        <v>455</v>
      </c>
      <c r="G144" s="52">
        <f t="shared" si="4"/>
        <v>0</v>
      </c>
      <c r="H144" s="52">
        <v>30</v>
      </c>
      <c r="I144" s="61">
        <f t="shared" si="5"/>
        <v>30</v>
      </c>
      <c r="J144" s="90">
        <f>Jan!I144+Feb!I144+Mar!I144+Apr!I144+May!I144+Jun!I144+July!I144+Aug!I144+Sep!I144</f>
        <v>270</v>
      </c>
      <c r="K144" s="82"/>
      <c r="L144" s="398"/>
      <c r="M144" s="397"/>
      <c r="N144" s="397"/>
      <c r="O144" s="398"/>
    </row>
    <row r="145" spans="1:15" s="52" customFormat="1" ht="13.5">
      <c r="I145" s="61"/>
      <c r="J145" s="90"/>
      <c r="K145" s="82"/>
      <c r="L145" s="398"/>
      <c r="M145" s="397"/>
      <c r="N145" s="397"/>
      <c r="O145" s="398"/>
    </row>
    <row r="146" spans="1:15" s="52" customFormat="1" ht="13.5">
      <c r="A146" s="58" t="s">
        <v>67</v>
      </c>
      <c r="B146" s="58">
        <f>G147</f>
        <v>1.47</v>
      </c>
      <c r="C146" s="58">
        <f>H147</f>
        <v>10</v>
      </c>
      <c r="D146" s="58">
        <f>C146-B146</f>
        <v>8.5299999999999994</v>
      </c>
      <c r="I146" s="61"/>
      <c r="J146" s="90"/>
      <c r="K146" s="82"/>
      <c r="L146" s="398"/>
      <c r="M146" s="397"/>
      <c r="N146" s="397"/>
      <c r="O146" s="398"/>
    </row>
    <row r="147" spans="1:15" s="52" customFormat="1" ht="13.5">
      <c r="B147" s="52" t="s">
        <v>68</v>
      </c>
      <c r="G147" s="52">
        <f t="shared" si="4"/>
        <v>1.47</v>
      </c>
      <c r="H147" s="52">
        <v>10</v>
      </c>
      <c r="I147" s="61">
        <f t="shared" si="5"/>
        <v>8.5299999999999994</v>
      </c>
      <c r="J147" s="90">
        <f>Jan!I147+Feb!I147+Mar!I147+Apr!I147+May!I147+Jun!I147+July!I147+Aug!I147+Sep!I147</f>
        <v>55.269999999999996</v>
      </c>
      <c r="K147" s="82"/>
      <c r="L147" s="398"/>
      <c r="M147" s="397">
        <f>1.47</f>
        <v>1.47</v>
      </c>
      <c r="N147" s="397"/>
      <c r="O147" s="398"/>
    </row>
    <row r="148" spans="1:15" s="52" customFormat="1" ht="13.5">
      <c r="I148" s="61"/>
      <c r="J148" s="90"/>
      <c r="K148" s="82"/>
      <c r="L148" s="398"/>
      <c r="M148" s="397"/>
      <c r="N148" s="397"/>
      <c r="O148" s="398"/>
    </row>
    <row r="149" spans="1:15" s="52" customFormat="1" ht="13.5">
      <c r="A149" s="58" t="s">
        <v>269</v>
      </c>
      <c r="B149" s="58">
        <f>SUM(G150:G151)</f>
        <v>0</v>
      </c>
      <c r="C149" s="58">
        <f>SUM(H150:H151)</f>
        <v>250</v>
      </c>
      <c r="D149" s="58">
        <f>C149-B149</f>
        <v>250</v>
      </c>
      <c r="I149" s="61"/>
      <c r="J149" s="90"/>
      <c r="K149" s="82"/>
      <c r="L149" s="398"/>
      <c r="M149" s="397"/>
      <c r="N149" s="397"/>
      <c r="O149" s="398"/>
    </row>
    <row r="150" spans="1:15" s="52" customFormat="1" ht="13.5">
      <c r="B150" s="52" t="s">
        <v>63</v>
      </c>
      <c r="G150" s="52">
        <f t="shared" si="4"/>
        <v>0</v>
      </c>
      <c r="H150" s="52">
        <v>150</v>
      </c>
      <c r="I150" s="61">
        <f t="shared" si="5"/>
        <v>150</v>
      </c>
      <c r="J150" s="90">
        <f>Jan!I150+Feb!I150+Mar!I150+Apr!I150+May!I150+Jun!I150+July!I150+Aug!I150+Sep!I150</f>
        <v>1300</v>
      </c>
      <c r="K150" s="82"/>
      <c r="L150" s="398"/>
      <c r="M150" s="397"/>
      <c r="N150" s="397"/>
      <c r="O150" s="398"/>
    </row>
    <row r="151" spans="1:15" s="52" customFormat="1" ht="13.5">
      <c r="B151" s="52" t="s">
        <v>64</v>
      </c>
      <c r="D151" s="52" t="s">
        <v>270</v>
      </c>
      <c r="G151" s="52">
        <f t="shared" si="4"/>
        <v>0</v>
      </c>
      <c r="H151" s="52">
        <v>100</v>
      </c>
      <c r="I151" s="61">
        <f t="shared" si="5"/>
        <v>100</v>
      </c>
      <c r="J151" s="90">
        <f>Jan!I151+Feb!I151+Mar!I151+Apr!I151+May!I151+Jun!I151+July!I151+Aug!I151+Sep!I151</f>
        <v>608.08000000000004</v>
      </c>
      <c r="K151" s="87"/>
      <c r="L151" s="398"/>
      <c r="M151" s="397"/>
      <c r="N151" s="397"/>
      <c r="O151" s="398"/>
    </row>
    <row r="152" spans="1:15" s="52" customFormat="1" ht="13.5">
      <c r="I152" s="61"/>
      <c r="J152" s="90"/>
      <c r="K152" s="87"/>
      <c r="L152" s="398"/>
      <c r="M152" s="397"/>
      <c r="N152" s="397"/>
      <c r="O152" s="398"/>
    </row>
    <row r="153" spans="1:15" ht="13.5">
      <c r="A153" s="52"/>
      <c r="B153" s="52"/>
      <c r="C153" s="52"/>
      <c r="D153" s="52"/>
      <c r="E153" s="52"/>
      <c r="F153" s="52"/>
      <c r="G153" s="52"/>
      <c r="H153" s="52"/>
      <c r="I153" s="61"/>
      <c r="J153" s="90"/>
      <c r="L153" s="398"/>
      <c r="M153" s="397"/>
      <c r="N153" s="397"/>
      <c r="O153" s="398"/>
    </row>
    <row r="154" spans="1:15" ht="13.5">
      <c r="A154" s="58" t="s">
        <v>459</v>
      </c>
      <c r="B154" s="52"/>
      <c r="C154" s="52"/>
      <c r="D154" s="52"/>
      <c r="E154" s="52"/>
      <c r="F154" s="52"/>
      <c r="G154" s="52"/>
      <c r="H154" s="52"/>
      <c r="I154" s="61"/>
      <c r="J154" s="90"/>
      <c r="L154" s="398"/>
      <c r="M154" s="397"/>
      <c r="N154" s="397"/>
      <c r="O154" s="398"/>
    </row>
    <row r="155" spans="1:15" ht="13.5">
      <c r="A155" s="52"/>
      <c r="B155" s="52">
        <f>SUM(G156:G170)</f>
        <v>0</v>
      </c>
      <c r="C155" s="52">
        <f>SUM(H156:H170)</f>
        <v>610</v>
      </c>
      <c r="D155" s="58">
        <f>C155-B155</f>
        <v>610</v>
      </c>
      <c r="E155" s="52"/>
      <c r="F155" s="52"/>
      <c r="G155" s="52"/>
      <c r="H155" s="52"/>
      <c r="I155" s="61"/>
      <c r="J155" s="90"/>
      <c r="L155" s="398"/>
      <c r="M155" s="397"/>
      <c r="N155" s="397"/>
      <c r="O155" s="398"/>
    </row>
    <row r="156" spans="1:15" ht="13.5">
      <c r="A156" s="58" t="s">
        <v>461</v>
      </c>
      <c r="B156" s="52"/>
      <c r="C156" s="52"/>
      <c r="D156" s="52"/>
      <c r="E156" s="52"/>
      <c r="F156" s="52"/>
      <c r="G156" s="52"/>
      <c r="H156" s="52"/>
      <c r="I156" s="61"/>
      <c r="J156" s="90"/>
      <c r="L156" s="398"/>
      <c r="M156" s="397"/>
      <c r="N156" s="397"/>
      <c r="O156" s="398"/>
    </row>
    <row r="157" spans="1:15" ht="14.25" thickBot="1">
      <c r="A157" s="52"/>
      <c r="B157" s="52" t="s">
        <v>267</v>
      </c>
      <c r="C157" s="52"/>
      <c r="D157" s="52"/>
      <c r="E157" s="52"/>
      <c r="F157" s="52"/>
      <c r="G157" s="52">
        <f t="shared" si="4"/>
        <v>0</v>
      </c>
      <c r="H157" s="52">
        <v>100</v>
      </c>
      <c r="I157" s="61">
        <f t="shared" ref="I157:I170" si="6">H157-G157</f>
        <v>100</v>
      </c>
      <c r="J157" s="90">
        <f>Jan!I157+Feb!I157+Mar!I157+Apr!I157+May!I157+Jun!I157+July!I157+Aug!I157+Sep!I157</f>
        <v>900</v>
      </c>
      <c r="L157" s="398"/>
      <c r="M157" s="397"/>
      <c r="N157" s="397"/>
      <c r="O157" s="398"/>
    </row>
    <row r="158" spans="1:15" ht="14.25" thickBot="1">
      <c r="A158" s="88">
        <f>SUM(G157:G161)</f>
        <v>0</v>
      </c>
      <c r="B158" s="52" t="s">
        <v>268</v>
      </c>
      <c r="C158" s="52"/>
      <c r="D158" s="52"/>
      <c r="E158" s="52"/>
      <c r="F158" s="52"/>
      <c r="G158" s="52">
        <f t="shared" si="4"/>
        <v>0</v>
      </c>
      <c r="H158" s="52">
        <v>100</v>
      </c>
      <c r="I158" s="61">
        <f t="shared" si="6"/>
        <v>100</v>
      </c>
      <c r="J158" s="90">
        <f>Jan!I158+Feb!I158+Mar!I158+Apr!I158+May!I158+Jun!I158+July!I158+Aug!I158+Sep!I158</f>
        <v>900</v>
      </c>
      <c r="L158" s="398"/>
      <c r="M158" s="397"/>
      <c r="N158" s="397"/>
      <c r="O158" s="398"/>
    </row>
    <row r="159" spans="1:15" ht="13.5">
      <c r="A159" s="52"/>
      <c r="B159" s="52" t="s">
        <v>61</v>
      </c>
      <c r="C159" s="52"/>
      <c r="D159" s="52"/>
      <c r="E159" s="52"/>
      <c r="F159" s="52"/>
      <c r="G159" s="52">
        <f t="shared" si="4"/>
        <v>0</v>
      </c>
      <c r="H159" s="52">
        <v>30</v>
      </c>
      <c r="I159" s="61">
        <f t="shared" si="6"/>
        <v>30</v>
      </c>
      <c r="J159" s="90">
        <f>Jan!I159+Feb!I159+Mar!I159+Apr!I159+May!I159+Jun!I159+July!I159+Aug!I159+Sep!I159</f>
        <v>270</v>
      </c>
      <c r="L159" s="398"/>
      <c r="M159" s="397"/>
      <c r="N159" s="397"/>
      <c r="O159" s="398"/>
    </row>
    <row r="160" spans="1:15" ht="13.5">
      <c r="A160" s="52"/>
      <c r="B160" s="52" t="s">
        <v>62</v>
      </c>
      <c r="C160" s="52"/>
      <c r="D160" s="52"/>
      <c r="E160" s="52"/>
      <c r="F160" s="52"/>
      <c r="G160" s="52">
        <f t="shared" si="4"/>
        <v>0</v>
      </c>
      <c r="H160" s="52">
        <v>50</v>
      </c>
      <c r="I160" s="61">
        <f t="shared" si="6"/>
        <v>50</v>
      </c>
      <c r="J160" s="90">
        <f>Jan!I160+Feb!I160+Mar!I160+Apr!I160+May!I160+Jun!I160+July!I160+Aug!I160+Sep!I160</f>
        <v>375</v>
      </c>
      <c r="L160" s="398"/>
      <c r="M160" s="397"/>
      <c r="N160" s="397"/>
      <c r="O160" s="398"/>
    </row>
    <row r="161" spans="1:15" ht="13.5">
      <c r="A161" s="52"/>
      <c r="B161" s="52" t="s">
        <v>486</v>
      </c>
      <c r="C161" s="52"/>
      <c r="D161" s="52"/>
      <c r="E161" s="52"/>
      <c r="F161" s="52"/>
      <c r="G161" s="52">
        <f t="shared" si="4"/>
        <v>0</v>
      </c>
      <c r="H161" s="52">
        <v>10</v>
      </c>
      <c r="I161" s="61">
        <f t="shared" si="6"/>
        <v>10</v>
      </c>
      <c r="J161" s="90">
        <f>Jan!I161+Feb!I161+Mar!I161+Apr!I161+May!I161+Jun!I161+July!I161+Aug!I161+Sep!I161</f>
        <v>90</v>
      </c>
      <c r="L161" s="398"/>
      <c r="M161" s="397"/>
      <c r="N161" s="397"/>
      <c r="O161" s="398"/>
    </row>
    <row r="162" spans="1:15" ht="13.5">
      <c r="A162" s="52"/>
      <c r="B162" s="52"/>
      <c r="C162" s="52"/>
      <c r="D162" s="52"/>
      <c r="E162" s="52"/>
      <c r="F162" s="52"/>
      <c r="G162" s="52"/>
      <c r="H162" s="52"/>
      <c r="I162" s="61"/>
      <c r="J162" s="90"/>
      <c r="L162" s="398"/>
      <c r="M162" s="397"/>
      <c r="N162" s="397"/>
      <c r="O162" s="398"/>
    </row>
    <row r="163" spans="1:15" ht="13.5">
      <c r="A163" s="58" t="s">
        <v>460</v>
      </c>
      <c r="B163" s="52"/>
      <c r="C163" s="52"/>
      <c r="D163" s="52"/>
      <c r="E163" s="52"/>
      <c r="F163" s="52"/>
      <c r="G163" s="52"/>
      <c r="H163" s="52"/>
      <c r="I163" s="61"/>
      <c r="J163" s="90"/>
      <c r="L163" s="398"/>
      <c r="M163" s="397"/>
      <c r="N163" s="397"/>
      <c r="O163" s="398"/>
    </row>
    <row r="164" spans="1:15" ht="14.25" thickBot="1">
      <c r="A164" s="52"/>
      <c r="B164" s="52" t="s">
        <v>456</v>
      </c>
      <c r="C164" s="52"/>
      <c r="D164" s="52"/>
      <c r="E164" s="52"/>
      <c r="F164" s="52"/>
      <c r="G164" s="52">
        <f t="shared" si="4"/>
        <v>0</v>
      </c>
      <c r="H164" s="52">
        <v>30</v>
      </c>
      <c r="I164" s="61">
        <f t="shared" si="6"/>
        <v>30</v>
      </c>
      <c r="J164" s="90">
        <f>Jan!I164+Feb!I164+Mar!I164+Apr!I164+May!I164+Jun!I164+July!I164+Aug!I164+Sep!I164</f>
        <v>236.82999999999998</v>
      </c>
      <c r="L164" s="398"/>
      <c r="M164" s="397"/>
      <c r="N164" s="397"/>
      <c r="O164" s="398"/>
    </row>
    <row r="165" spans="1:15" ht="14.25" thickBot="1">
      <c r="A165" s="88">
        <f>SUM(G164:G168)</f>
        <v>0</v>
      </c>
      <c r="B165" s="52" t="s">
        <v>457</v>
      </c>
      <c r="C165" s="52"/>
      <c r="D165" s="52"/>
      <c r="E165" s="52"/>
      <c r="F165" s="52"/>
      <c r="G165" s="52">
        <f t="shared" si="4"/>
        <v>0</v>
      </c>
      <c r="H165" s="52">
        <v>30</v>
      </c>
      <c r="I165" s="61">
        <f t="shared" si="6"/>
        <v>30</v>
      </c>
      <c r="J165" s="90">
        <f>Jan!I165+Feb!I165+Mar!I165+Apr!I165+May!I165+Jun!I165+July!I165+Aug!I165+Sep!I165</f>
        <v>260</v>
      </c>
      <c r="L165" s="398"/>
      <c r="M165" s="397"/>
      <c r="N165" s="397"/>
      <c r="O165" s="398"/>
    </row>
    <row r="166" spans="1:15" ht="13.5">
      <c r="A166" s="52"/>
      <c r="B166" s="52" t="s">
        <v>462</v>
      </c>
      <c r="C166" s="52"/>
      <c r="D166" s="52"/>
      <c r="E166" s="52"/>
      <c r="F166" s="52"/>
      <c r="G166" s="52">
        <f t="shared" si="4"/>
        <v>0</v>
      </c>
      <c r="H166" s="52">
        <v>30</v>
      </c>
      <c r="I166" s="61">
        <f t="shared" si="6"/>
        <v>30</v>
      </c>
      <c r="J166" s="90">
        <f>Jan!I166+Feb!I166+Mar!I166+Apr!I166+May!I166+Jun!I166+July!I166+Aug!I166+Sep!I166</f>
        <v>270</v>
      </c>
      <c r="L166" s="398"/>
      <c r="M166" s="397"/>
      <c r="N166" s="397"/>
      <c r="O166" s="398"/>
    </row>
    <row r="167" spans="1:15" ht="13.5">
      <c r="A167" s="52"/>
      <c r="B167" s="52" t="s">
        <v>458</v>
      </c>
      <c r="C167" s="52"/>
      <c r="D167" s="52"/>
      <c r="E167" s="52"/>
      <c r="F167" s="52"/>
      <c r="G167" s="52">
        <f t="shared" si="4"/>
        <v>0</v>
      </c>
      <c r="H167" s="52">
        <v>30</v>
      </c>
      <c r="I167" s="61">
        <f t="shared" si="6"/>
        <v>30</v>
      </c>
      <c r="J167" s="90">
        <f>Jan!I167+Feb!I167+Mar!I167+Apr!I167+May!I167+Jun!I167+July!I167+Aug!I167+Sep!I167</f>
        <v>270</v>
      </c>
      <c r="L167" s="398"/>
      <c r="M167" s="397"/>
      <c r="N167" s="397"/>
      <c r="O167" s="398"/>
    </row>
    <row r="168" spans="1:15" ht="13.5">
      <c r="A168" s="52"/>
      <c r="B168" s="52" t="s">
        <v>485</v>
      </c>
      <c r="C168" s="52"/>
      <c r="D168" s="52"/>
      <c r="E168" s="52"/>
      <c r="F168" s="52"/>
      <c r="G168" s="52">
        <f t="shared" si="4"/>
        <v>0</v>
      </c>
      <c r="H168" s="52">
        <v>100</v>
      </c>
      <c r="I168" s="61">
        <f t="shared" si="6"/>
        <v>100</v>
      </c>
      <c r="J168" s="90">
        <f>Jan!I168+Feb!I168+Mar!I168+Apr!I168+May!I168+Jun!I168+July!I168+Aug!I168+Sep!I168</f>
        <v>900</v>
      </c>
      <c r="L168" s="398"/>
      <c r="M168" s="397"/>
      <c r="N168" s="397"/>
      <c r="O168" s="398"/>
    </row>
    <row r="169" spans="1:15" ht="13.5">
      <c r="A169" s="52"/>
      <c r="B169" s="52"/>
      <c r="C169" s="52"/>
      <c r="D169" s="52"/>
      <c r="E169" s="52"/>
      <c r="F169" s="52"/>
      <c r="G169" s="52"/>
      <c r="H169" s="52"/>
      <c r="I169" s="61"/>
      <c r="J169" s="90"/>
      <c r="L169" s="398"/>
      <c r="M169" s="397"/>
      <c r="N169" s="397"/>
      <c r="O169" s="398"/>
    </row>
    <row r="170" spans="1:15" ht="13.5">
      <c r="A170" s="58" t="s">
        <v>272</v>
      </c>
      <c r="B170" s="52"/>
      <c r="C170" s="52"/>
      <c r="D170" s="52"/>
      <c r="E170" s="52"/>
      <c r="F170" s="52"/>
      <c r="G170" s="52">
        <f t="shared" si="4"/>
        <v>0</v>
      </c>
      <c r="H170" s="52">
        <v>100</v>
      </c>
      <c r="I170" s="61">
        <f t="shared" si="6"/>
        <v>100</v>
      </c>
      <c r="J170" s="90">
        <f>Jan!I170+Feb!I170+Mar!I170+Apr!I170+May!I170+Jun!I170+July!I170+Aug!I170+Sep!I170</f>
        <v>900</v>
      </c>
      <c r="L170" s="398"/>
      <c r="M170" s="397"/>
      <c r="N170" s="397"/>
      <c r="O170" s="398"/>
    </row>
  </sheetData>
  <sheetProtection selectLockedCells="1" selectUnlockedCells="1"/>
  <pageMargins left="0.75" right="0.75" top="1" bottom="1" header="0.51180555555555551" footer="0.51180555555555551"/>
  <pageSetup firstPageNumber="0" orientation="portrait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0"/>
  <sheetViews>
    <sheetView topLeftCell="A91" zoomScale="84" zoomScaleNormal="84" workbookViewId="0">
      <selection activeCell="Q123" sqref="Q123"/>
    </sheetView>
  </sheetViews>
  <sheetFormatPr defaultColWidth="9" defaultRowHeight="15.75"/>
  <cols>
    <col min="1" max="1" width="24.42578125" style="74" customWidth="1"/>
    <col min="2" max="2" width="18" style="65" customWidth="1"/>
    <col min="3" max="3" width="17.140625" style="65" customWidth="1"/>
    <col min="4" max="5" width="16.5703125" style="65" customWidth="1"/>
    <col min="6" max="6" width="15.28515625" style="65" customWidth="1"/>
    <col min="7" max="7" width="13.5703125" style="65" customWidth="1"/>
    <col min="8" max="8" width="13.85546875" style="65" customWidth="1"/>
    <col min="9" max="10" width="14" style="65" customWidth="1"/>
    <col min="11" max="11" width="2.28515625" style="80" customWidth="1"/>
    <col min="12" max="12" width="11.5703125" style="65" customWidth="1"/>
    <col min="13" max="13" width="11.85546875" style="65" customWidth="1"/>
    <col min="14" max="15" width="11.5703125" style="65" customWidth="1"/>
    <col min="16" max="16" width="1.7109375" style="65" customWidth="1"/>
    <col min="17" max="17" width="11.7109375" style="65" customWidth="1"/>
    <col min="18" max="18" width="11.5703125" style="65" customWidth="1"/>
    <col min="19" max="16384" width="9" style="65"/>
  </cols>
  <sheetData>
    <row r="1" spans="1:16">
      <c r="A1" s="71" t="s">
        <v>182</v>
      </c>
      <c r="B1" s="72">
        <v>2015</v>
      </c>
      <c r="C1" s="72"/>
      <c r="L1" s="73" t="s">
        <v>492</v>
      </c>
    </row>
    <row r="2" spans="1:16">
      <c r="A2" s="71" t="s">
        <v>171</v>
      </c>
      <c r="B2" s="73" t="s">
        <v>15</v>
      </c>
      <c r="C2" s="73"/>
      <c r="M2" s="73" t="s">
        <v>1210</v>
      </c>
    </row>
    <row r="3" spans="1:16">
      <c r="M3" s="73" t="s">
        <v>1220</v>
      </c>
      <c r="O3" s="75"/>
    </row>
    <row r="4" spans="1:16">
      <c r="A4" s="71" t="s">
        <v>4</v>
      </c>
      <c r="B4" s="76">
        <f>SUM(G5:G8)</f>
        <v>439906.42</v>
      </c>
      <c r="C4" s="76"/>
      <c r="F4" s="93"/>
      <c r="G4" s="65" t="s">
        <v>31</v>
      </c>
      <c r="L4" s="77"/>
      <c r="M4" s="73" t="s">
        <v>1208</v>
      </c>
      <c r="O4" s="75"/>
    </row>
    <row r="5" spans="1:16" ht="12.75">
      <c r="A5" s="65" t="s">
        <v>24</v>
      </c>
      <c r="B5" s="121"/>
      <c r="C5" s="122"/>
      <c r="F5" s="93"/>
      <c r="G5" s="121">
        <f>SUM(B5:E5)</f>
        <v>0</v>
      </c>
      <c r="H5" s="77"/>
      <c r="I5" s="77"/>
      <c r="J5" s="77"/>
      <c r="K5" s="81"/>
      <c r="L5" s="77"/>
      <c r="M5" s="73" t="s">
        <v>1209</v>
      </c>
      <c r="O5" s="75"/>
    </row>
    <row r="6" spans="1:16" ht="12.75">
      <c r="A6" s="65" t="s">
        <v>230</v>
      </c>
      <c r="C6" s="75"/>
      <c r="F6" s="93"/>
      <c r="G6" s="121">
        <f>SUM(B6:E6)</f>
        <v>0</v>
      </c>
      <c r="H6" s="77"/>
      <c r="I6" s="77"/>
      <c r="J6" s="77"/>
      <c r="K6" s="81"/>
      <c r="L6" s="77"/>
      <c r="O6" s="75"/>
    </row>
    <row r="7" spans="1:16" ht="12.75">
      <c r="A7" s="65" t="s">
        <v>964</v>
      </c>
      <c r="B7" s="65">
        <v>3921.02</v>
      </c>
      <c r="C7" s="65">
        <v>3985.4</v>
      </c>
      <c r="F7" s="93"/>
      <c r="G7" s="121">
        <f>SUM(B7:E7)</f>
        <v>7906.42</v>
      </c>
      <c r="H7" s="77"/>
      <c r="I7" s="77"/>
      <c r="J7" s="77"/>
      <c r="K7" s="81"/>
      <c r="L7" s="77"/>
      <c r="O7" s="75"/>
    </row>
    <row r="8" spans="1:16">
      <c r="A8" s="456" t="s">
        <v>1218</v>
      </c>
      <c r="E8" s="65">
        <v>432000</v>
      </c>
      <c r="F8" s="93"/>
      <c r="G8" s="121">
        <f>SUM(B8:E8)</f>
        <v>432000</v>
      </c>
      <c r="H8" s="77"/>
      <c r="I8" s="77"/>
      <c r="J8" s="77"/>
      <c r="K8" s="81"/>
      <c r="P8" s="75"/>
    </row>
    <row r="9" spans="1:16" ht="13.5">
      <c r="A9" s="58"/>
      <c r="B9" s="62"/>
      <c r="C9" s="52"/>
      <c r="D9" s="52"/>
      <c r="E9" s="52"/>
      <c r="F9" s="261"/>
      <c r="G9" s="55"/>
      <c r="H9" s="52"/>
      <c r="I9" s="61" t="s">
        <v>34</v>
      </c>
      <c r="J9" s="90" t="s">
        <v>280</v>
      </c>
      <c r="M9" s="52"/>
    </row>
    <row r="10" spans="1:16" s="52" customFormat="1" ht="13.5">
      <c r="A10" s="58"/>
      <c r="B10" s="62"/>
      <c r="F10" s="261"/>
      <c r="G10" s="55" t="s">
        <v>234</v>
      </c>
      <c r="H10" s="52" t="s">
        <v>38</v>
      </c>
      <c r="I10" s="63" t="s">
        <v>37</v>
      </c>
      <c r="J10" s="91" t="s">
        <v>37</v>
      </c>
      <c r="K10" s="82"/>
    </row>
    <row r="11" spans="1:16" s="52" customFormat="1" ht="13.5">
      <c r="A11" s="58" t="s">
        <v>275</v>
      </c>
      <c r="B11" s="262">
        <f>G11</f>
        <v>1250</v>
      </c>
      <c r="D11" s="52" t="s">
        <v>277</v>
      </c>
      <c r="E11" s="52">
        <f>G11/B4</f>
        <v>2.8415134291515909E-3</v>
      </c>
      <c r="F11" s="261"/>
      <c r="G11" s="53">
        <f>Tithe!D15</f>
        <v>1250</v>
      </c>
      <c r="H11" s="52">
        <v>1200</v>
      </c>
      <c r="I11" s="64">
        <f>H11-G11</f>
        <v>-50</v>
      </c>
      <c r="J11" s="92">
        <f>Jan!I11+Feb!I11+Mar!I11+Apr!I11+May!I11+Jun!I11+July!I11+Aug!I11+Sep!I11+Oct!I11</f>
        <v>2652.49</v>
      </c>
      <c r="K11" s="83"/>
    </row>
    <row r="12" spans="1:16" s="52" customFormat="1" ht="13.5">
      <c r="I12" s="64"/>
      <c r="J12" s="92"/>
      <c r="K12" s="84"/>
      <c r="L12" s="269" t="s">
        <v>493</v>
      </c>
    </row>
    <row r="13" spans="1:16" s="52" customFormat="1" ht="13.5">
      <c r="A13" s="58" t="s">
        <v>465</v>
      </c>
      <c r="B13" s="262">
        <f>SUM(G14:G20)</f>
        <v>478.42</v>
      </c>
      <c r="F13" s="261"/>
      <c r="G13" s="55"/>
      <c r="I13" s="64"/>
      <c r="J13" s="92"/>
      <c r="K13" s="84"/>
    </row>
    <row r="14" spans="1:16" s="52" customFormat="1" ht="13.5">
      <c r="B14" s="58" t="s">
        <v>1216</v>
      </c>
      <c r="E14" s="52" t="s">
        <v>466</v>
      </c>
      <c r="F14" s="261"/>
      <c r="G14" s="52">
        <v>478.42</v>
      </c>
      <c r="H14" s="52">
        <v>800</v>
      </c>
      <c r="I14" s="64">
        <f t="shared" ref="I14:I20" si="0">H14-G14</f>
        <v>321.58</v>
      </c>
      <c r="J14" s="92">
        <f>Jan!I14+Feb!I14+Mar!I14+Apr!I14+May!I14+Jun!I14+July!I14+Aug!I14+Sep!I14+Oct!I14</f>
        <v>2926.58</v>
      </c>
      <c r="K14" s="84"/>
    </row>
    <row r="15" spans="1:16" s="52" customFormat="1" ht="13.5">
      <c r="B15" s="58" t="s">
        <v>261</v>
      </c>
      <c r="E15" s="52" t="s">
        <v>466</v>
      </c>
      <c r="F15" s="261"/>
      <c r="H15" s="52">
        <v>200</v>
      </c>
      <c r="I15" s="64">
        <f t="shared" si="0"/>
        <v>200</v>
      </c>
      <c r="J15" s="92">
        <f>Jan!I15+Feb!I15+Mar!I15+Apr!I15+May!I15+Jun!I15+July!I15+Aug!I15+Sep!I15+Oct!I15</f>
        <v>2000</v>
      </c>
      <c r="K15" s="84"/>
    </row>
    <row r="16" spans="1:16" s="52" customFormat="1" ht="13.5">
      <c r="B16" s="58" t="s">
        <v>292</v>
      </c>
      <c r="E16" s="52" t="s">
        <v>466</v>
      </c>
      <c r="F16" s="261"/>
      <c r="H16" s="52">
        <v>300</v>
      </c>
      <c r="I16" s="64">
        <f t="shared" si="0"/>
        <v>300</v>
      </c>
      <c r="J16" s="92">
        <f>Jan!I16+Feb!I16+Mar!I16+Apr!I16+May!I16+Jun!I16+July!I16+Aug!I16+Sep!I16+Oct!I16</f>
        <v>3000</v>
      </c>
      <c r="K16" s="84"/>
    </row>
    <row r="17" spans="1:13" s="52" customFormat="1" ht="13.5">
      <c r="B17" s="58" t="s">
        <v>464</v>
      </c>
      <c r="E17" s="52" t="s">
        <v>466</v>
      </c>
      <c r="F17" s="261"/>
      <c r="H17" s="52">
        <v>200</v>
      </c>
      <c r="I17" s="64">
        <f t="shared" si="0"/>
        <v>200</v>
      </c>
      <c r="J17" s="92">
        <f>Jan!I17+Feb!I17+Mar!I17+Apr!I17+May!I17+Jun!I17+July!I17+Aug!I17+Sep!I17+Oct!I17</f>
        <v>2000</v>
      </c>
      <c r="K17" s="84"/>
    </row>
    <row r="18" spans="1:13" s="52" customFormat="1" ht="13.5">
      <c r="B18" s="58" t="s">
        <v>263</v>
      </c>
      <c r="E18" s="52" t="s">
        <v>467</v>
      </c>
      <c r="F18" s="261"/>
      <c r="H18" s="52">
        <v>50</v>
      </c>
      <c r="I18" s="64">
        <f t="shared" si="0"/>
        <v>50</v>
      </c>
      <c r="J18" s="92">
        <f>Jan!I18+Feb!I18+Mar!I18+Apr!I18+May!I18+Jun!I18+July!I18+Aug!I18+Sep!I18+Oct!I18</f>
        <v>500</v>
      </c>
      <c r="K18" s="84"/>
    </row>
    <row r="19" spans="1:13" s="52" customFormat="1" ht="13.5">
      <c r="B19" s="58" t="s">
        <v>262</v>
      </c>
      <c r="E19" s="52" t="s">
        <v>467</v>
      </c>
      <c r="F19" s="261"/>
      <c r="H19" s="52">
        <v>200</v>
      </c>
      <c r="I19" s="64">
        <f t="shared" si="0"/>
        <v>200</v>
      </c>
      <c r="J19" s="92">
        <f>Jan!I19+Feb!I19+Mar!I19+Apr!I19+May!I19+Jun!I19+July!I19+Aug!I19+Sep!I19+Oct!I19</f>
        <v>2000</v>
      </c>
      <c r="K19" s="84"/>
    </row>
    <row r="20" spans="1:13" s="52" customFormat="1" ht="13.5">
      <c r="B20" s="58" t="s">
        <v>293</v>
      </c>
      <c r="E20" s="52" t="s">
        <v>467</v>
      </c>
      <c r="H20" s="52">
        <v>300</v>
      </c>
      <c r="I20" s="64">
        <f t="shared" si="0"/>
        <v>300</v>
      </c>
      <c r="J20" s="92">
        <f>Jan!I20+Feb!I20+Mar!I20+Apr!I20+May!I20+Jun!I20+July!I20+Aug!I20+Sep!I20+Oct!I20</f>
        <v>3000</v>
      </c>
      <c r="K20" s="84"/>
    </row>
    <row r="21" spans="1:13" s="52" customFormat="1" ht="13.5">
      <c r="A21" s="58"/>
      <c r="F21" s="261"/>
      <c r="I21" s="64"/>
      <c r="J21" s="92"/>
      <c r="K21" s="84"/>
      <c r="L21" s="58" t="s">
        <v>494</v>
      </c>
    </row>
    <row r="22" spans="1:13" s="52" customFormat="1" ht="13.5">
      <c r="A22" s="58" t="s">
        <v>278</v>
      </c>
      <c r="B22" s="263">
        <f>G22</f>
        <v>80900</v>
      </c>
      <c r="F22" s="261"/>
      <c r="G22" s="52">
        <f>72800+8100</f>
        <v>80900</v>
      </c>
      <c r="H22" s="52">
        <v>700</v>
      </c>
      <c r="I22" s="64">
        <f>H22-G22</f>
        <v>-80200</v>
      </c>
      <c r="J22" s="92">
        <f>Jan!I22+Feb!I22+Mar!I22+Apr!I22+May!I22+Jun!I22+July!I22+Aug!I22+Sep!I22+Oct!I22</f>
        <v>-79900</v>
      </c>
      <c r="K22" s="84"/>
    </row>
    <row r="23" spans="1:13" s="52" customFormat="1" ht="13.5">
      <c r="A23" s="58" t="s">
        <v>416</v>
      </c>
      <c r="B23" s="62" t="s">
        <v>415</v>
      </c>
      <c r="E23" s="52" t="s">
        <v>467</v>
      </c>
      <c r="F23" s="261"/>
      <c r="G23" s="53"/>
      <c r="I23" s="64"/>
      <c r="J23" s="92"/>
      <c r="K23" s="84"/>
    </row>
    <row r="24" spans="1:13" s="52" customFormat="1" ht="13.5">
      <c r="A24" s="58" t="s">
        <v>279</v>
      </c>
      <c r="B24" s="262">
        <f>SUM(G25:G26)</f>
        <v>0</v>
      </c>
      <c r="F24" s="261"/>
      <c r="G24" s="53"/>
      <c r="I24" s="64"/>
      <c r="J24" s="92"/>
      <c r="K24" s="84"/>
    </row>
    <row r="25" spans="1:13" s="52" customFormat="1" ht="13.5">
      <c r="B25" s="58" t="s">
        <v>255</v>
      </c>
      <c r="E25" s="52" t="s">
        <v>467</v>
      </c>
      <c r="F25" s="261"/>
      <c r="G25" s="53">
        <v>0</v>
      </c>
      <c r="H25" s="52">
        <v>500</v>
      </c>
      <c r="I25" s="64">
        <f>H25-G25</f>
        <v>500</v>
      </c>
      <c r="J25" s="92">
        <f>Jan!I25+Feb!I25+Mar!I25+Apr!I25+May!I25+Jun!I25+July!I25+Aug!I25+Sep!I25+Oct!I25</f>
        <v>5000</v>
      </c>
      <c r="K25" s="84"/>
    </row>
    <row r="26" spans="1:13" s="52" customFormat="1" ht="13.5">
      <c r="B26" s="58" t="s">
        <v>265</v>
      </c>
      <c r="E26" s="52" t="s">
        <v>466</v>
      </c>
      <c r="F26" s="261"/>
      <c r="G26" s="53">
        <v>0</v>
      </c>
      <c r="H26" s="52">
        <v>300</v>
      </c>
      <c r="I26" s="64">
        <f>H26-G26</f>
        <v>300</v>
      </c>
      <c r="J26" s="95">
        <f>Jan!I26+Feb!I26+Mar!I26+Apr!I26+May!I26+Jun!I26+July!I26+Aug!I26+Sep!I26+Oct!I26</f>
        <v>3000</v>
      </c>
      <c r="K26" s="84"/>
    </row>
    <row r="27" spans="1:13" s="52" customFormat="1" ht="13.5">
      <c r="A27" s="58"/>
      <c r="F27" s="261"/>
      <c r="G27" s="66"/>
      <c r="H27" s="66"/>
      <c r="I27" s="68"/>
      <c r="J27" s="79"/>
      <c r="K27" s="79"/>
    </row>
    <row r="28" spans="1:13" s="52" customFormat="1" ht="14.25" thickBot="1">
      <c r="A28" s="58"/>
      <c r="B28" s="58"/>
      <c r="F28" s="261"/>
      <c r="G28" s="67">
        <f>SUM(G14:G26)</f>
        <v>81378.42</v>
      </c>
      <c r="H28" s="67">
        <f>SUM(H11:H26)</f>
        <v>4750</v>
      </c>
      <c r="I28" s="67">
        <f>SUM(I11:I26)</f>
        <v>-77878.42</v>
      </c>
      <c r="J28" s="67">
        <f>SUM(J11:J26)</f>
        <v>-53820.93</v>
      </c>
      <c r="K28" s="85"/>
    </row>
    <row r="29" spans="1:13" s="52" customFormat="1" ht="15" thickTop="1" thickBot="1">
      <c r="H29" s="56"/>
      <c r="I29" s="56"/>
      <c r="J29" s="56"/>
      <c r="K29" s="85"/>
      <c r="L29" s="58" t="s">
        <v>495</v>
      </c>
    </row>
    <row r="30" spans="1:13" s="52" customFormat="1" ht="14.25" thickBot="1">
      <c r="A30" s="58" t="s">
        <v>283</v>
      </c>
      <c r="B30" s="58"/>
      <c r="F30" s="261"/>
      <c r="G30" s="88"/>
      <c r="H30" s="56"/>
      <c r="I30" s="56"/>
      <c r="J30" s="56"/>
      <c r="K30" s="85"/>
      <c r="L30" s="52" t="s">
        <v>740</v>
      </c>
    </row>
    <row r="31" spans="1:13" s="52" customFormat="1" ht="12.75" customHeight="1">
      <c r="A31" s="99" t="s">
        <v>276</v>
      </c>
      <c r="B31" s="58"/>
      <c r="F31" s="261"/>
      <c r="G31" s="266">
        <f>B4-G11-G28+G30</f>
        <v>357278</v>
      </c>
      <c r="H31" s="56"/>
      <c r="I31" s="56"/>
      <c r="J31" s="56"/>
      <c r="K31" s="85"/>
      <c r="L31" s="56" t="s">
        <v>1202</v>
      </c>
      <c r="M31" s="52" t="s">
        <v>741</v>
      </c>
    </row>
    <row r="32" spans="1:13" s="52" customFormat="1" ht="13.5">
      <c r="A32" s="52" t="s">
        <v>478</v>
      </c>
      <c r="B32" s="99"/>
      <c r="C32" s="54"/>
      <c r="D32" s="54"/>
      <c r="E32" s="54"/>
      <c r="F32" s="265"/>
      <c r="G32" s="267">
        <f>G46</f>
        <v>329144.08999999991</v>
      </c>
      <c r="H32" s="56"/>
      <c r="I32" s="56"/>
      <c r="J32" s="56"/>
      <c r="K32" s="85"/>
      <c r="L32" s="56"/>
    </row>
    <row r="33" spans="1:15" s="52" customFormat="1" ht="13.5">
      <c r="A33" s="58" t="s">
        <v>558</v>
      </c>
      <c r="B33" s="58"/>
      <c r="F33" s="261"/>
      <c r="G33" s="78">
        <f>G31-G32-M42-N42</f>
        <v>28133.910000000091</v>
      </c>
      <c r="H33" s="56"/>
      <c r="I33" s="56"/>
      <c r="J33" s="56"/>
      <c r="K33" s="85"/>
      <c r="L33" s="56"/>
    </row>
    <row r="34" spans="1:15" s="52" customFormat="1" ht="13.5">
      <c r="H34" s="56"/>
      <c r="I34" s="56"/>
      <c r="J34" s="56"/>
      <c r="K34" s="85"/>
      <c r="L34" s="56"/>
    </row>
    <row r="35" spans="1:15" s="52" customFormat="1" ht="13.5">
      <c r="A35" s="58" t="s">
        <v>469</v>
      </c>
      <c r="B35" s="58"/>
      <c r="E35" s="52">
        <f>B47</f>
        <v>-993.77999999999986</v>
      </c>
      <c r="F35" s="261"/>
      <c r="G35" s="128"/>
      <c r="H35" s="56"/>
      <c r="I35" s="56"/>
      <c r="J35" s="56"/>
      <c r="K35" s="85"/>
      <c r="L35" s="56"/>
    </row>
    <row r="36" spans="1:15" s="52" customFormat="1" ht="13.5">
      <c r="A36" s="58" t="s">
        <v>433</v>
      </c>
      <c r="B36" s="58"/>
      <c r="E36" s="52">
        <f>B76</f>
        <v>330137.87</v>
      </c>
      <c r="F36" s="261"/>
      <c r="G36" s="78"/>
      <c r="H36" s="56"/>
      <c r="I36" s="56"/>
      <c r="J36" s="56"/>
      <c r="K36" s="85"/>
      <c r="L36" s="56"/>
    </row>
    <row r="37" spans="1:15" s="52" customFormat="1" ht="13.5">
      <c r="A37" s="58"/>
      <c r="B37" s="58" t="s">
        <v>470</v>
      </c>
      <c r="D37" s="52">
        <f>B101+B110</f>
        <v>1677.3000000000002</v>
      </c>
      <c r="F37" s="261"/>
      <c r="G37" s="78"/>
      <c r="H37" s="56"/>
      <c r="I37" s="56"/>
      <c r="J37" s="56"/>
      <c r="K37" s="85"/>
      <c r="L37" s="56"/>
    </row>
    <row r="38" spans="1:15" s="52" customFormat="1" ht="14.25" thickBot="1">
      <c r="A38" s="58"/>
      <c r="B38" s="58" t="s">
        <v>471</v>
      </c>
      <c r="D38" s="52">
        <f>B90</f>
        <v>-950</v>
      </c>
      <c r="F38" s="261"/>
      <c r="G38" s="78"/>
      <c r="H38" s="56"/>
      <c r="I38" s="56"/>
      <c r="J38" s="56"/>
      <c r="K38" s="85"/>
      <c r="L38" s="56"/>
    </row>
    <row r="39" spans="1:15" s="52" customFormat="1" ht="14.25" thickBot="1">
      <c r="A39" s="58"/>
      <c r="B39" s="58" t="s">
        <v>472</v>
      </c>
      <c r="D39" s="52">
        <f>B96</f>
        <v>0</v>
      </c>
      <c r="F39" s="261"/>
      <c r="G39" s="89"/>
      <c r="H39" s="56"/>
      <c r="I39" s="56"/>
      <c r="J39" s="56"/>
      <c r="K39" s="85"/>
      <c r="L39" s="56"/>
    </row>
    <row r="40" spans="1:15" s="52" customFormat="1" ht="13.5">
      <c r="A40" s="58"/>
      <c r="B40" s="58" t="s">
        <v>473</v>
      </c>
      <c r="D40" s="52">
        <f>B115</f>
        <v>45.73</v>
      </c>
      <c r="F40" s="261"/>
      <c r="G40" s="98"/>
      <c r="H40" s="56"/>
      <c r="I40" s="56"/>
      <c r="J40" s="56"/>
      <c r="K40" s="85"/>
      <c r="L40" s="56"/>
    </row>
    <row r="41" spans="1:15" s="52" customFormat="1" ht="13.5">
      <c r="A41" s="99"/>
      <c r="B41" s="58" t="s">
        <v>474</v>
      </c>
      <c r="D41" s="52">
        <f>B120</f>
        <v>1440</v>
      </c>
      <c r="F41" s="261"/>
      <c r="G41" s="98"/>
      <c r="H41" s="56"/>
      <c r="I41" s="56"/>
      <c r="J41" s="56"/>
      <c r="K41" s="85"/>
      <c r="L41" s="56"/>
      <c r="M41" s="52">
        <f>M46+M44+M43+M42</f>
        <v>2489.7000000000003</v>
      </c>
      <c r="N41" s="52">
        <f>N46+N44+N43+N42</f>
        <v>2053</v>
      </c>
      <c r="O41" s="52">
        <f>O46+O44+O43+O42</f>
        <v>0</v>
      </c>
    </row>
    <row r="42" spans="1:15" s="52" customFormat="1" ht="13.5">
      <c r="B42" s="58" t="s">
        <v>475</v>
      </c>
      <c r="C42" s="59"/>
      <c r="D42" s="59">
        <f>B138</f>
        <v>0</v>
      </c>
      <c r="F42" s="261"/>
      <c r="G42" s="98"/>
      <c r="H42" s="56"/>
      <c r="I42" s="56"/>
      <c r="J42" s="56"/>
      <c r="K42" s="85"/>
      <c r="L42" s="52" t="s">
        <v>324</v>
      </c>
    </row>
    <row r="43" spans="1:15" s="52" customFormat="1" ht="13.5">
      <c r="B43" s="58" t="s">
        <v>476</v>
      </c>
      <c r="D43" s="52">
        <f>B125+B141+B146+B149</f>
        <v>1276.3</v>
      </c>
      <c r="F43" s="261"/>
      <c r="I43" s="61"/>
      <c r="J43" s="90" t="s">
        <v>280</v>
      </c>
      <c r="K43" s="82"/>
    </row>
    <row r="44" spans="1:15" s="52" customFormat="1" ht="13.5">
      <c r="A44" s="58" t="s">
        <v>477</v>
      </c>
      <c r="E44" s="52">
        <f>B155</f>
        <v>0</v>
      </c>
      <c r="F44" s="261"/>
      <c r="G44" s="55"/>
      <c r="I44" s="61" t="s">
        <v>34</v>
      </c>
      <c r="J44" s="90" t="s">
        <v>281</v>
      </c>
      <c r="K44" s="82"/>
      <c r="L44" s="52" t="s">
        <v>1064</v>
      </c>
      <c r="M44" s="52">
        <v>100</v>
      </c>
    </row>
    <row r="45" spans="1:15" s="52" customFormat="1" ht="13.5">
      <c r="A45" s="58"/>
      <c r="F45" s="261"/>
      <c r="G45" s="55" t="s">
        <v>234</v>
      </c>
      <c r="H45" s="52" t="s">
        <v>38</v>
      </c>
      <c r="I45" s="63" t="s">
        <v>37</v>
      </c>
      <c r="J45" s="91" t="s">
        <v>282</v>
      </c>
      <c r="K45" s="83"/>
      <c r="L45" s="391" t="s">
        <v>235</v>
      </c>
      <c r="M45" s="392" t="s">
        <v>497</v>
      </c>
      <c r="N45" s="392" t="s">
        <v>805</v>
      </c>
      <c r="O45" s="392" t="s">
        <v>806</v>
      </c>
    </row>
    <row r="46" spans="1:15" s="52" customFormat="1" ht="14.25" thickBot="1">
      <c r="D46"/>
      <c r="E46" s="264"/>
      <c r="F46" s="261"/>
      <c r="G46" s="94">
        <f>SUM(G48:G170)</f>
        <v>329144.08999999991</v>
      </c>
      <c r="H46" s="94">
        <f>SUM(H48:H170)</f>
        <v>14050</v>
      </c>
      <c r="I46" s="94">
        <f>H46-G46</f>
        <v>-315094.08999999991</v>
      </c>
      <c r="J46" s="94">
        <f>SUM(J48:J170)</f>
        <v>-365441.00000000006</v>
      </c>
      <c r="K46" s="86"/>
      <c r="L46" s="393">
        <f>SUM(L49:L170)</f>
        <v>324701.38999999996</v>
      </c>
      <c r="M46" s="394">
        <f>SUM(M49:M170)</f>
        <v>2389.7000000000003</v>
      </c>
      <c r="N46" s="395">
        <f>SUM(N49:N170)</f>
        <v>2053</v>
      </c>
      <c r="O46" s="395">
        <f>SUM(O49:O170)</f>
        <v>0</v>
      </c>
    </row>
    <row r="47" spans="1:15" s="52" customFormat="1" ht="14.25" thickBot="1">
      <c r="A47" s="99" t="s">
        <v>434</v>
      </c>
      <c r="B47" s="259">
        <f>B48+B61+B65</f>
        <v>-993.77999999999986</v>
      </c>
      <c r="C47" s="259">
        <f>C48+C61+C65</f>
        <v>1344</v>
      </c>
      <c r="D47" s="88">
        <f>D48+D61+D65</f>
        <v>2337.7799999999997</v>
      </c>
      <c r="I47" s="61"/>
      <c r="J47" s="90"/>
      <c r="K47" s="82"/>
      <c r="L47" s="396"/>
      <c r="M47" s="397"/>
      <c r="N47" s="397"/>
      <c r="O47" s="398"/>
    </row>
    <row r="48" spans="1:15" s="52" customFormat="1" ht="13.5">
      <c r="A48" s="58" t="s">
        <v>419</v>
      </c>
      <c r="B48" s="58">
        <f>SUM(G49:G57)</f>
        <v>599.63000000000011</v>
      </c>
      <c r="C48" s="58">
        <f>SUM(H49:H57)</f>
        <v>864</v>
      </c>
      <c r="D48" s="58">
        <f>SUM(I49:I57)</f>
        <v>264.36999999999989</v>
      </c>
      <c r="I48" s="61"/>
      <c r="J48" s="90"/>
      <c r="K48" s="82"/>
      <c r="L48" s="396"/>
      <c r="M48" s="397"/>
      <c r="N48" s="397"/>
      <c r="O48" s="398"/>
    </row>
    <row r="49" spans="1:15" s="52" customFormat="1" ht="13.5">
      <c r="B49" s="52" t="s">
        <v>327</v>
      </c>
      <c r="G49" s="52">
        <f>SUM(L49:O49)</f>
        <v>0</v>
      </c>
      <c r="H49" s="52">
        <v>0</v>
      </c>
      <c r="I49" s="61">
        <f t="shared" ref="I49:I57" si="1">H49-G49</f>
        <v>0</v>
      </c>
      <c r="J49" s="90">
        <f>Jan!I49+Feb!I49+Mar!I49+Apr!I49+May!I49+Jun!I49+July!I49+Aug!I49+Sep!I49+Oct!I49</f>
        <v>0</v>
      </c>
      <c r="K49" s="82"/>
      <c r="L49" s="396"/>
      <c r="M49" s="397"/>
      <c r="N49" s="397"/>
      <c r="O49" s="398"/>
    </row>
    <row r="50" spans="1:15" s="52" customFormat="1" ht="13.5">
      <c r="A50" s="58"/>
      <c r="B50" s="52" t="s">
        <v>421</v>
      </c>
      <c r="G50" s="52">
        <f t="shared" ref="G50:G113" si="2">SUM(L50:O50)</f>
        <v>0</v>
      </c>
      <c r="H50" s="52">
        <v>100</v>
      </c>
      <c r="I50" s="61">
        <f t="shared" si="1"/>
        <v>100</v>
      </c>
      <c r="J50" s="90">
        <f>Jan!I50+Feb!I50+Mar!I50+Apr!I50+May!I50+Jun!I50+July!I50+Aug!I50+Sep!I50+Oct!I50</f>
        <v>-509.63000000000011</v>
      </c>
      <c r="K50" s="82"/>
      <c r="L50" s="396"/>
      <c r="M50" s="397"/>
      <c r="N50" s="397"/>
      <c r="O50" s="398"/>
    </row>
    <row r="51" spans="1:15" s="52" customFormat="1" ht="13.5">
      <c r="A51" s="58"/>
      <c r="B51" s="52" t="s">
        <v>422</v>
      </c>
      <c r="G51" s="52">
        <f t="shared" si="2"/>
        <v>0</v>
      </c>
      <c r="H51" s="52">
        <v>100</v>
      </c>
      <c r="I51" s="61">
        <f t="shared" si="1"/>
        <v>100</v>
      </c>
      <c r="J51" s="90">
        <f>Jan!I51+Feb!I51+Mar!I51+Apr!I51+May!I51+Jun!I51+July!I51+Aug!I51+Sep!I51+Oct!I51</f>
        <v>-325</v>
      </c>
      <c r="K51" s="82"/>
      <c r="L51" s="396"/>
      <c r="M51" s="397"/>
      <c r="N51" s="397"/>
      <c r="O51" s="398"/>
    </row>
    <row r="52" spans="1:15" s="52" customFormat="1" ht="13.5">
      <c r="A52" s="58"/>
      <c r="B52" s="52" t="s">
        <v>420</v>
      </c>
      <c r="G52" s="52">
        <f t="shared" si="2"/>
        <v>0</v>
      </c>
      <c r="H52" s="52">
        <v>100</v>
      </c>
      <c r="I52" s="61">
        <f t="shared" si="1"/>
        <v>100</v>
      </c>
      <c r="J52" s="90">
        <f>Jan!I52+Feb!I52+Mar!I52+Apr!I52+May!I52+Jun!I52+July!I52+Aug!I52+Sep!I52+Oct!I52</f>
        <v>1000</v>
      </c>
      <c r="K52" s="82"/>
      <c r="L52" s="396"/>
      <c r="M52" s="397"/>
      <c r="N52" s="397"/>
      <c r="O52" s="398"/>
    </row>
    <row r="53" spans="1:15" s="52" customFormat="1" ht="13.5">
      <c r="A53" s="58"/>
      <c r="B53" s="52" t="s">
        <v>463</v>
      </c>
      <c r="G53" s="52">
        <f t="shared" si="2"/>
        <v>1031.68</v>
      </c>
      <c r="H53" s="52">
        <v>564</v>
      </c>
      <c r="I53" s="61">
        <f t="shared" si="1"/>
        <v>-467.68000000000006</v>
      </c>
      <c r="J53" s="90">
        <f>Jan!I53+Feb!I53+Mar!I53+Apr!I53+May!I53+Jun!I53+July!I53+Aug!I53+Sep!I53+Oct!I53</f>
        <v>-1402.8400000000001</v>
      </c>
      <c r="K53" s="82"/>
      <c r="L53" s="396">
        <f>564+467.68</f>
        <v>1031.68</v>
      </c>
      <c r="M53" s="397"/>
      <c r="N53" s="397"/>
      <c r="O53" s="398"/>
    </row>
    <row r="54" spans="1:15" s="52" customFormat="1" ht="13.5">
      <c r="A54" s="58"/>
      <c r="B54" s="52" t="s">
        <v>429</v>
      </c>
      <c r="G54" s="52">
        <f t="shared" si="2"/>
        <v>0</v>
      </c>
      <c r="H54" s="52">
        <v>60</v>
      </c>
      <c r="I54" s="61">
        <f t="shared" si="1"/>
        <v>60</v>
      </c>
      <c r="J54" s="90">
        <f>Jan!I54+Feb!I54+Mar!I54+Apr!I54+May!I54+Jun!I54+July!I54+Aug!I54+Sep!I54+Oct!I54</f>
        <v>-28</v>
      </c>
      <c r="K54" s="82"/>
      <c r="L54" s="396"/>
      <c r="M54" s="397"/>
      <c r="N54" s="397"/>
      <c r="O54" s="398"/>
    </row>
    <row r="55" spans="1:15" s="52" customFormat="1" ht="13.5">
      <c r="A55" s="58"/>
      <c r="B55" s="52" t="s">
        <v>328</v>
      </c>
      <c r="G55" s="52">
        <f t="shared" si="2"/>
        <v>1636.68</v>
      </c>
      <c r="H55" s="52">
        <f>1636.68+50.81</f>
        <v>1687.49</v>
      </c>
      <c r="I55" s="61">
        <f t="shared" si="1"/>
        <v>50.809999999999945</v>
      </c>
      <c r="J55" s="90">
        <f>Jan!I55+Feb!I55+Mar!I55+Apr!I55+May!I55+Jun!I55+July!I55+Aug!I55+Sep!I55+Oct!I55</f>
        <v>278.21999999999935</v>
      </c>
      <c r="K55" s="82"/>
      <c r="L55" s="398">
        <v>1636.68</v>
      </c>
      <c r="M55" s="397"/>
      <c r="N55" s="397"/>
      <c r="O55" s="398"/>
    </row>
    <row r="56" spans="1:15" s="52" customFormat="1" ht="13.5">
      <c r="A56" s="58"/>
      <c r="B56" s="52" t="s">
        <v>384</v>
      </c>
      <c r="G56" s="52">
        <f t="shared" si="2"/>
        <v>431.27</v>
      </c>
      <c r="H56" s="52">
        <v>312.51</v>
      </c>
      <c r="I56" s="61">
        <f t="shared" si="1"/>
        <v>-118.75999999999999</v>
      </c>
      <c r="J56" s="90">
        <f>Jan!I56+Feb!I56+Mar!I56+Apr!I56+May!I56+Jun!I56+July!I56+Aug!I56+Sep!I56+Oct!I56</f>
        <v>-685.92000000000007</v>
      </c>
      <c r="K56" s="82"/>
      <c r="L56" s="398">
        <v>431.27</v>
      </c>
      <c r="M56" s="397"/>
      <c r="N56" s="397"/>
      <c r="O56" s="398"/>
    </row>
    <row r="57" spans="1:15" s="52" customFormat="1" ht="13.5">
      <c r="A57" s="58"/>
      <c r="B57" s="52" t="s">
        <v>350</v>
      </c>
      <c r="G57" s="52">
        <f t="shared" si="2"/>
        <v>-2500</v>
      </c>
      <c r="H57" s="52">
        <v>-2060</v>
      </c>
      <c r="I57" s="61">
        <f t="shared" si="1"/>
        <v>440</v>
      </c>
      <c r="J57" s="90">
        <f>Jan!I57+Feb!I57+Mar!I57+Apr!I57+May!I57+Jun!I57+July!I57+Aug!I57+Sep!I57+Oct!I57</f>
        <v>1760</v>
      </c>
      <c r="K57" s="82"/>
      <c r="L57" s="398">
        <v>-2500</v>
      </c>
      <c r="M57" s="397"/>
      <c r="N57" s="397"/>
      <c r="O57" s="398"/>
    </row>
    <row r="58" spans="1:15" s="52" customFormat="1" ht="13.5">
      <c r="I58" s="61"/>
      <c r="J58" s="90"/>
      <c r="K58" s="82"/>
      <c r="L58" s="398"/>
      <c r="M58" s="397"/>
      <c r="N58" s="397"/>
      <c r="O58" s="398"/>
    </row>
    <row r="59" spans="1:15" s="52" customFormat="1" ht="13.5">
      <c r="I59" s="61"/>
      <c r="J59" s="90"/>
      <c r="K59" s="82"/>
      <c r="L59" s="398"/>
      <c r="M59" s="397"/>
      <c r="N59" s="397"/>
      <c r="O59" s="398"/>
    </row>
    <row r="60" spans="1:15" s="52" customFormat="1" ht="13.5">
      <c r="A60" s="58" t="s">
        <v>427</v>
      </c>
      <c r="I60" s="61"/>
      <c r="J60" s="90"/>
      <c r="K60" s="82"/>
      <c r="L60" s="398"/>
      <c r="M60" s="397"/>
      <c r="N60" s="397"/>
      <c r="O60" s="398"/>
    </row>
    <row r="61" spans="1:15" s="52" customFormat="1" ht="13.5">
      <c r="A61" s="58"/>
      <c r="B61" s="58">
        <f>SUM(G62:G63)</f>
        <v>106.41</v>
      </c>
      <c r="C61" s="58">
        <f>SUM(H62:H63)</f>
        <v>170</v>
      </c>
      <c r="D61" s="58">
        <f>C61-B61</f>
        <v>63.59</v>
      </c>
      <c r="I61" s="61"/>
      <c r="J61" s="90"/>
      <c r="K61" s="82"/>
      <c r="L61" s="398"/>
      <c r="M61" s="397"/>
      <c r="N61" s="397"/>
      <c r="O61" s="398"/>
    </row>
    <row r="62" spans="1:15" s="52" customFormat="1" ht="13.5">
      <c r="A62" s="58"/>
      <c r="B62" s="52" t="s">
        <v>431</v>
      </c>
      <c r="G62" s="52">
        <f t="shared" si="2"/>
        <v>0</v>
      </c>
      <c r="H62" s="52">
        <v>70</v>
      </c>
      <c r="I62" s="61">
        <f t="shared" ref="I62:I131" si="3">H62-G62</f>
        <v>70</v>
      </c>
      <c r="J62" s="90">
        <f>Jan!I62+Feb!I62+Mar!I62+Apr!I62+May!I62+Jun!I62+July!I62+Aug!I62+Sep!I62+Oct!I62</f>
        <v>306.54999999999995</v>
      </c>
      <c r="K62" s="82"/>
      <c r="L62" s="398"/>
      <c r="M62" s="397"/>
      <c r="N62" s="397"/>
      <c r="O62" s="398"/>
    </row>
    <row r="63" spans="1:15" s="52" customFormat="1" ht="13.5">
      <c r="A63" s="58"/>
      <c r="B63" s="52" t="s">
        <v>432</v>
      </c>
      <c r="D63" s="65"/>
      <c r="G63" s="52">
        <f t="shared" si="2"/>
        <v>106.41</v>
      </c>
      <c r="H63" s="52">
        <v>100</v>
      </c>
      <c r="I63" s="61">
        <f t="shared" si="3"/>
        <v>-6.4099999999999966</v>
      </c>
      <c r="J63" s="90">
        <f>Jan!I63+Feb!I63+Mar!I63+Apr!I63+May!I63+Jun!I63+July!I63+Aug!I63+Sep!I63+Oct!I63</f>
        <v>4.8500000000000085</v>
      </c>
      <c r="K63" s="82"/>
      <c r="L63" s="398"/>
      <c r="M63" s="397">
        <v>106.41</v>
      </c>
      <c r="N63" s="397"/>
      <c r="O63" s="398"/>
    </row>
    <row r="64" spans="1:15" s="52" customFormat="1" ht="13.5">
      <c r="A64" s="58"/>
      <c r="I64" s="61"/>
      <c r="J64" s="90"/>
      <c r="K64" s="82"/>
      <c r="L64" s="398"/>
      <c r="M64" s="397"/>
      <c r="N64" s="397"/>
      <c r="O64" s="398"/>
    </row>
    <row r="65" spans="1:17" s="52" customFormat="1" ht="13.5">
      <c r="A65" s="58" t="s">
        <v>428</v>
      </c>
      <c r="B65" s="58">
        <f>SUM(G66:G74)</f>
        <v>-1699.82</v>
      </c>
      <c r="C65" s="58">
        <f>SUM(H66:H74)</f>
        <v>310</v>
      </c>
      <c r="D65" s="58">
        <f>C65-B65</f>
        <v>2009.82</v>
      </c>
      <c r="I65" s="61"/>
      <c r="J65" s="90"/>
      <c r="K65" s="82"/>
      <c r="L65" s="398"/>
      <c r="M65" s="397"/>
      <c r="N65" s="397"/>
      <c r="O65" s="398"/>
    </row>
    <row r="66" spans="1:17" s="52" customFormat="1" ht="13.5">
      <c r="B66" s="52" t="s">
        <v>55</v>
      </c>
      <c r="G66" s="52">
        <f t="shared" si="2"/>
        <v>-1799.36</v>
      </c>
      <c r="H66" s="52">
        <v>60</v>
      </c>
      <c r="I66" s="61">
        <f t="shared" si="3"/>
        <v>1859.36</v>
      </c>
      <c r="J66" s="90">
        <f>Jan!I66+Feb!I66+Mar!I66+Apr!I66+May!I66+Jun!I66+July!I66+Aug!I66+Sep!I66+Oct!I66</f>
        <v>1309.53</v>
      </c>
      <c r="K66" s="82"/>
      <c r="L66" s="398">
        <f>-488.99-1334.37</f>
        <v>-1823.36</v>
      </c>
      <c r="M66" s="397">
        <v>24</v>
      </c>
      <c r="N66" s="397"/>
      <c r="O66" s="398"/>
      <c r="Q66" s="52" t="s">
        <v>1201</v>
      </c>
    </row>
    <row r="67" spans="1:17" s="52" customFormat="1" ht="13.5">
      <c r="B67" s="52" t="s">
        <v>56</v>
      </c>
      <c r="D67" s="52" t="s">
        <v>57</v>
      </c>
      <c r="G67" s="52">
        <f t="shared" si="2"/>
        <v>0</v>
      </c>
      <c r="H67" s="52">
        <v>140</v>
      </c>
      <c r="I67" s="61">
        <f t="shared" si="3"/>
        <v>140</v>
      </c>
      <c r="J67" s="90">
        <f>Jan!I67+Feb!I67+Mar!I67+Apr!I67+May!I67+Jun!I67+July!I67+Aug!I67+Sep!I67+Oct!I67</f>
        <v>638.75</v>
      </c>
      <c r="K67" s="82"/>
      <c r="L67" s="398"/>
      <c r="M67" s="397"/>
      <c r="N67" s="397"/>
      <c r="O67" s="398"/>
    </row>
    <row r="68" spans="1:17" s="52" customFormat="1" ht="13.5">
      <c r="I68" s="61"/>
      <c r="J68" s="90"/>
      <c r="K68" s="82"/>
      <c r="L68" s="398"/>
      <c r="M68" s="397"/>
      <c r="N68" s="397"/>
      <c r="O68" s="398"/>
    </row>
    <row r="69" spans="1:17" s="52" customFormat="1" ht="13.5">
      <c r="A69" s="58" t="s">
        <v>423</v>
      </c>
      <c r="I69" s="61"/>
      <c r="J69" s="90"/>
      <c r="K69" s="82"/>
      <c r="L69" s="398"/>
      <c r="M69" s="397"/>
      <c r="N69" s="397"/>
      <c r="O69" s="398"/>
    </row>
    <row r="70" spans="1:17" s="52" customFormat="1" ht="13.5">
      <c r="B70" s="52" t="s">
        <v>424</v>
      </c>
      <c r="G70" s="52">
        <f t="shared" si="2"/>
        <v>23.31</v>
      </c>
      <c r="H70" s="52">
        <v>25</v>
      </c>
      <c r="I70" s="61">
        <f t="shared" si="3"/>
        <v>1.6900000000000013</v>
      </c>
      <c r="J70" s="90">
        <f>Jan!I70+Feb!I70+Mar!I70+Apr!I70+May!I70+Jun!I70+July!I70+Aug!I70+Sep!I70+Oct!I70</f>
        <v>142.32999999999998</v>
      </c>
      <c r="K70" s="82"/>
      <c r="L70" s="398"/>
      <c r="M70" s="397">
        <f>23.31</f>
        <v>23.31</v>
      </c>
      <c r="N70" s="397"/>
      <c r="O70" s="398"/>
    </row>
    <row r="71" spans="1:17" s="52" customFormat="1" ht="13.5">
      <c r="A71" s="58"/>
      <c r="B71" s="52" t="s">
        <v>425</v>
      </c>
      <c r="G71" s="52">
        <f t="shared" si="2"/>
        <v>0</v>
      </c>
      <c r="H71" s="52">
        <v>30</v>
      </c>
      <c r="I71" s="61">
        <f t="shared" si="3"/>
        <v>30</v>
      </c>
      <c r="J71" s="90">
        <f>Jan!I71+Feb!I71+Mar!I71+Apr!I71+May!I71+Jun!I71+July!I71+Aug!I71+Sep!I71+Oct!I71</f>
        <v>190.51</v>
      </c>
      <c r="K71" s="82"/>
      <c r="L71" s="398"/>
      <c r="M71" s="397"/>
      <c r="N71" s="397"/>
      <c r="O71" s="398"/>
    </row>
    <row r="72" spans="1:17" s="52" customFormat="1" ht="13.5">
      <c r="A72" s="58"/>
      <c r="B72" s="52" t="s">
        <v>430</v>
      </c>
      <c r="G72" s="52">
        <f t="shared" si="2"/>
        <v>0</v>
      </c>
      <c r="H72" s="52">
        <v>20</v>
      </c>
      <c r="I72" s="61">
        <f t="shared" si="3"/>
        <v>20</v>
      </c>
      <c r="J72" s="90">
        <f>Jan!I72+Feb!I72+Mar!I72+Apr!I72+May!I72+Jun!I72+July!I72+Aug!I72+Sep!I72+Oct!I72</f>
        <v>19.090000000000003</v>
      </c>
      <c r="K72" s="82"/>
      <c r="L72" s="398"/>
      <c r="M72" s="397"/>
      <c r="N72" s="397"/>
      <c r="O72" s="398"/>
    </row>
    <row r="73" spans="1:17" s="52" customFormat="1" ht="13.5">
      <c r="A73" s="58"/>
      <c r="I73" s="61"/>
      <c r="J73" s="90"/>
      <c r="K73" s="82"/>
      <c r="L73" s="398"/>
      <c r="M73" s="397"/>
      <c r="N73" s="397"/>
      <c r="O73" s="398"/>
    </row>
    <row r="74" spans="1:17" s="52" customFormat="1" ht="13.5">
      <c r="A74" s="58" t="s">
        <v>426</v>
      </c>
      <c r="B74" s="52" t="s">
        <v>58</v>
      </c>
      <c r="G74" s="52">
        <f t="shared" si="2"/>
        <v>76.23</v>
      </c>
      <c r="H74" s="52">
        <v>35</v>
      </c>
      <c r="I74" s="61">
        <f t="shared" si="3"/>
        <v>-41.230000000000004</v>
      </c>
      <c r="J74" s="90">
        <f>Jan!I74+Feb!I74+Mar!I74+Apr!I74+May!I74+Jun!I74+July!I74+Aug!I74+Sep!I74+Oct!I74</f>
        <v>-456.46000000000004</v>
      </c>
      <c r="K74" s="82"/>
      <c r="L74" s="398"/>
      <c r="M74" s="397">
        <f>2.85+1.65+2.12+1.75+8.04+4.31+1.75+3.27+3.46+4.09+1.75+6.31+3.04+3.2+1.89+3.81+2.05+1.75+5.38+3.81+6.05+2.15+1.75</f>
        <v>76.23</v>
      </c>
      <c r="N74" s="397"/>
      <c r="O74" s="398"/>
    </row>
    <row r="75" spans="1:17" s="52" customFormat="1" ht="14.25" thickBot="1">
      <c r="A75" s="58"/>
      <c r="I75" s="61"/>
      <c r="J75" s="90"/>
      <c r="K75" s="82"/>
      <c r="L75" s="398"/>
      <c r="M75" s="397"/>
      <c r="N75" s="397"/>
      <c r="O75" s="398"/>
    </row>
    <row r="76" spans="1:17" s="52" customFormat="1" ht="14.25" thickBot="1">
      <c r="A76" s="99" t="s">
        <v>433</v>
      </c>
      <c r="B76" s="140">
        <f>B78+B90+B96+B101+B110+B115+B120+B125+B138+B141+B146+B149</f>
        <v>330137.87</v>
      </c>
      <c r="C76" s="140">
        <f>C78+C90+C96+C101+C110+C115+C120+C125+C138+C141+C146+C149</f>
        <v>5711</v>
      </c>
      <c r="D76" s="140">
        <f>D78+D90+D96+D101+D110+D115+D120+D125+D138+D141+D146+D149</f>
        <v>-323231.66000000003</v>
      </c>
      <c r="I76" s="61"/>
      <c r="J76" s="90"/>
      <c r="K76" s="82"/>
      <c r="L76" s="398"/>
      <c r="M76" s="397"/>
      <c r="N76" s="397"/>
      <c r="O76" s="398"/>
    </row>
    <row r="77" spans="1:17" s="52" customFormat="1" ht="13.5">
      <c r="A77" s="99"/>
      <c r="B77" s="380"/>
      <c r="C77" s="380"/>
      <c r="D77" s="380"/>
      <c r="I77" s="61"/>
      <c r="J77" s="90"/>
      <c r="K77" s="82"/>
      <c r="L77" s="398"/>
      <c r="M77" s="397"/>
      <c r="N77" s="397"/>
      <c r="O77" s="398"/>
    </row>
    <row r="78" spans="1:17" s="52" customFormat="1" ht="13.5">
      <c r="A78" s="58" t="s">
        <v>715</v>
      </c>
      <c r="B78" s="380">
        <f>SUM(G79:G88)</f>
        <v>326648.53999999998</v>
      </c>
      <c r="C78" s="58">
        <f>SUM(H79:H80)</f>
        <v>2500</v>
      </c>
      <c r="D78" s="58">
        <f>SUM(I79:I80)</f>
        <v>-322953.33</v>
      </c>
      <c r="I78" s="61"/>
      <c r="J78" s="90"/>
      <c r="K78" s="82"/>
      <c r="L78" s="398"/>
      <c r="M78" s="397"/>
      <c r="N78" s="397"/>
      <c r="O78" s="398"/>
    </row>
    <row r="79" spans="1:17" s="52" customFormat="1" ht="13.5">
      <c r="B79" s="52" t="s">
        <v>798</v>
      </c>
      <c r="G79" s="52">
        <f t="shared" si="2"/>
        <v>2472.71</v>
      </c>
      <c r="H79" s="52">
        <v>2500</v>
      </c>
      <c r="I79" s="61">
        <f t="shared" si="3"/>
        <v>27.289999999999964</v>
      </c>
      <c r="J79" s="90">
        <f>Jan!I79+Feb!I79+Mar!I79+Apr!I79+May!I79+Jun!I79+July!I79+Aug!I79+Sep!I79+Oct!I79</f>
        <v>272.89999999999964</v>
      </c>
      <c r="K79" s="82"/>
      <c r="L79" s="398">
        <v>2472.71</v>
      </c>
      <c r="M79" s="397"/>
      <c r="N79" s="397"/>
      <c r="O79" s="398"/>
    </row>
    <row r="80" spans="1:17" s="52" customFormat="1" ht="13.5">
      <c r="A80" s="58"/>
      <c r="B80" s="52" t="s">
        <v>801</v>
      </c>
      <c r="G80" s="52">
        <f t="shared" si="2"/>
        <v>322980.62</v>
      </c>
      <c r="H80" s="52">
        <v>0</v>
      </c>
      <c r="I80" s="61">
        <f t="shared" si="3"/>
        <v>-322980.62</v>
      </c>
      <c r="J80" s="90">
        <f>Jan!I80+Feb!I80+Mar!I80+Apr!I80+May!I80+Jun!I80+July!I80+Aug!I80+Sep!I80+Oct!I80</f>
        <v>-322980.62</v>
      </c>
      <c r="K80" s="82"/>
      <c r="L80" s="398">
        <f>322955.62+25</f>
        <v>322980.62</v>
      </c>
      <c r="M80" s="397"/>
      <c r="N80" s="397"/>
      <c r="O80" s="398"/>
      <c r="Q80" s="52" t="s">
        <v>1219</v>
      </c>
    </row>
    <row r="81" spans="1:17" s="52" customFormat="1" ht="13.5">
      <c r="A81" s="58"/>
      <c r="B81" s="52" t="s">
        <v>421</v>
      </c>
      <c r="G81" s="52">
        <f t="shared" si="2"/>
        <v>959.72</v>
      </c>
      <c r="H81" s="52">
        <v>5000</v>
      </c>
      <c r="I81" s="61">
        <f t="shared" si="3"/>
        <v>4040.2799999999997</v>
      </c>
      <c r="J81" s="90">
        <f>Jan!I81+Feb!I81+Mar!I81+Apr!I81+May!I81+Jun!I81+July!I81+Aug!I81+Sep!I81+Oct!I81</f>
        <v>-53548.100000000013</v>
      </c>
      <c r="K81" s="82"/>
      <c r="L81" s="398">
        <f>100+42+87+500+30</f>
        <v>759</v>
      </c>
      <c r="M81" s="397">
        <f>142.29+18.49+24.84+15.1</f>
        <v>200.72</v>
      </c>
      <c r="N81" s="397"/>
      <c r="O81" s="398"/>
      <c r="Q81" s="52" t="s">
        <v>1198</v>
      </c>
    </row>
    <row r="82" spans="1:17" s="52" customFormat="1" ht="13.5">
      <c r="A82" s="58"/>
      <c r="B82" s="52" t="s">
        <v>888</v>
      </c>
      <c r="G82" s="52">
        <f t="shared" si="2"/>
        <v>0</v>
      </c>
      <c r="H82" s="52">
        <v>1000</v>
      </c>
      <c r="I82" s="61">
        <f t="shared" si="3"/>
        <v>1000</v>
      </c>
      <c r="J82" s="90">
        <f>Jan!I82+Feb!I82+Mar!I82+Apr!I82+May!I82+Jun!I82+July!I82+Aug!I82+Sep!I82+Oct!I82</f>
        <v>-622.75</v>
      </c>
      <c r="K82" s="82"/>
      <c r="L82" s="398"/>
      <c r="M82" s="397"/>
      <c r="N82" s="397"/>
      <c r="O82" s="398"/>
    </row>
    <row r="83" spans="1:17" s="52" customFormat="1" ht="13.5">
      <c r="A83" s="58"/>
      <c r="B83" s="52" t="s">
        <v>889</v>
      </c>
      <c r="G83" s="52">
        <f t="shared" si="2"/>
        <v>0</v>
      </c>
      <c r="H83" s="52">
        <v>50</v>
      </c>
      <c r="I83" s="61">
        <f t="shared" si="3"/>
        <v>50</v>
      </c>
      <c r="J83" s="90">
        <f>Jan!I83+Feb!I83+Mar!I83+Apr!I83+May!I83+Jun!I83+July!I83+Aug!I83+Sep!I83+Oct!I83</f>
        <v>15.050000000000011</v>
      </c>
      <c r="K83" s="82"/>
      <c r="L83" s="398"/>
      <c r="M83" s="397"/>
      <c r="N83" s="397"/>
      <c r="O83" s="398"/>
    </row>
    <row r="84" spans="1:17" s="52" customFormat="1" ht="13.5">
      <c r="A84" s="58"/>
      <c r="B84" s="52" t="s">
        <v>26</v>
      </c>
      <c r="G84" s="52">
        <f t="shared" si="2"/>
        <v>72.13</v>
      </c>
      <c r="H84" s="52">
        <v>100</v>
      </c>
      <c r="I84" s="61">
        <f t="shared" si="3"/>
        <v>27.870000000000005</v>
      </c>
      <c r="J84" s="90">
        <f>Jan!I84+Feb!I84+Mar!I84+Apr!I84+May!I84+Jun!I84+July!I84+Aug!I84+Sep!I84+Oct!I84</f>
        <v>221.09000000000003</v>
      </c>
      <c r="K84" s="82"/>
      <c r="L84" s="398">
        <v>72.13</v>
      </c>
      <c r="M84" s="397"/>
      <c r="N84" s="397"/>
      <c r="O84" s="398"/>
    </row>
    <row r="85" spans="1:17" s="52" customFormat="1" ht="13.5">
      <c r="A85" s="58"/>
      <c r="B85" s="52" t="s">
        <v>799</v>
      </c>
      <c r="C85" s="52" t="s">
        <v>824</v>
      </c>
      <c r="D85" s="52" t="s">
        <v>1043</v>
      </c>
      <c r="G85" s="52">
        <f t="shared" si="2"/>
        <v>24.36</v>
      </c>
      <c r="H85" s="52">
        <v>70</v>
      </c>
      <c r="I85" s="61">
        <f t="shared" si="3"/>
        <v>45.64</v>
      </c>
      <c r="J85" s="90">
        <f>Jan!I85+Feb!I85+Mar!I85+Apr!I85+May!I85+Jun!I85+July!I85+Aug!I85+Sep!I85+Oct!I85</f>
        <v>-123.67000000000006</v>
      </c>
      <c r="K85" s="82"/>
      <c r="L85" s="398">
        <v>24.36</v>
      </c>
      <c r="M85" s="397"/>
      <c r="N85" s="397"/>
      <c r="O85" s="398"/>
    </row>
    <row r="86" spans="1:17" s="52" customFormat="1" ht="13.5">
      <c r="A86" s="58"/>
      <c r="B86" s="52" t="s">
        <v>799</v>
      </c>
      <c r="C86" s="52" t="s">
        <v>824</v>
      </c>
      <c r="D86" s="52" t="s">
        <v>1044</v>
      </c>
      <c r="G86" s="52">
        <f t="shared" si="2"/>
        <v>23.63</v>
      </c>
      <c r="H86" s="52">
        <v>25</v>
      </c>
      <c r="I86" s="61">
        <f t="shared" si="3"/>
        <v>1.370000000000001</v>
      </c>
      <c r="J86" s="90">
        <f>Jan!I86+Feb!I86+Mar!I86+Apr!I86+May!I86+Jun!I86+July!I86+Aug!I86+Sep!I86+Oct!I86</f>
        <v>37.849999999999994</v>
      </c>
      <c r="K86" s="82"/>
      <c r="L86" s="398">
        <v>23.63</v>
      </c>
      <c r="M86" s="397"/>
      <c r="N86" s="397"/>
      <c r="O86" s="398"/>
    </row>
    <row r="87" spans="1:17" s="52" customFormat="1" ht="13.5">
      <c r="A87" s="58"/>
      <c r="B87" s="52" t="s">
        <v>800</v>
      </c>
      <c r="G87" s="52">
        <f t="shared" si="2"/>
        <v>51.67</v>
      </c>
      <c r="H87" s="52">
        <v>40</v>
      </c>
      <c r="I87" s="61">
        <f t="shared" si="3"/>
        <v>-11.670000000000002</v>
      </c>
      <c r="J87" s="90">
        <f>Jan!I87+Feb!I87+Mar!I87+Apr!I87+May!I87+Jun!I87+July!I87+Aug!I87+Sep!I87+Oct!I87</f>
        <v>-231.95999999999998</v>
      </c>
      <c r="K87" s="82"/>
      <c r="L87" s="398">
        <v>51.67</v>
      </c>
      <c r="M87" s="397"/>
      <c r="N87" s="397"/>
      <c r="O87" s="398"/>
    </row>
    <row r="88" spans="1:17" s="52" customFormat="1" ht="13.5">
      <c r="A88" s="58"/>
      <c r="B88" s="52" t="s">
        <v>802</v>
      </c>
      <c r="C88" s="52" t="s">
        <v>1090</v>
      </c>
      <c r="G88" s="52">
        <f t="shared" si="2"/>
        <v>63.7</v>
      </c>
      <c r="H88" s="52">
        <v>100</v>
      </c>
      <c r="I88" s="61">
        <f t="shared" si="3"/>
        <v>36.299999999999997</v>
      </c>
      <c r="J88" s="90">
        <f>Jan!I88+Feb!I88+Mar!I88+Apr!I88+May!I88+Jun!I88+July!I88+Aug!I88+Sep!I88+Oct!I88</f>
        <v>519.88</v>
      </c>
      <c r="K88" s="82"/>
      <c r="L88" s="398"/>
      <c r="M88" s="397">
        <v>63.7</v>
      </c>
      <c r="N88" s="397"/>
      <c r="O88" s="398"/>
    </row>
    <row r="89" spans="1:17" s="52" customFormat="1" ht="13.5">
      <c r="A89" s="58"/>
      <c r="I89" s="61"/>
      <c r="J89" s="90"/>
      <c r="K89" s="82"/>
      <c r="L89" s="398"/>
      <c r="M89" s="397"/>
      <c r="N89" s="397"/>
      <c r="O89" s="398"/>
    </row>
    <row r="90" spans="1:17" s="52" customFormat="1" ht="13.5">
      <c r="A90" s="58" t="s">
        <v>39</v>
      </c>
      <c r="B90" s="58">
        <f>SUM(G91:G94)</f>
        <v>-950</v>
      </c>
      <c r="C90" s="58">
        <f>SUM(H91:H94)</f>
        <v>360</v>
      </c>
      <c r="D90" s="58">
        <f>C90-B90</f>
        <v>1310</v>
      </c>
      <c r="I90" s="61"/>
      <c r="J90" s="90"/>
      <c r="K90" s="82"/>
      <c r="L90" s="398"/>
      <c r="M90" s="397"/>
      <c r="N90" s="397"/>
      <c r="O90" s="398"/>
    </row>
    <row r="91" spans="1:17" s="52" customFormat="1" ht="13.5">
      <c r="B91" s="52" t="s">
        <v>26</v>
      </c>
      <c r="C91" s="52" t="s">
        <v>27</v>
      </c>
      <c r="G91" s="52">
        <f t="shared" si="2"/>
        <v>30.54</v>
      </c>
      <c r="H91" s="52">
        <v>100</v>
      </c>
      <c r="I91" s="61">
        <f t="shared" si="3"/>
        <v>69.460000000000008</v>
      </c>
      <c r="J91" s="90">
        <f>Jan!I91+Feb!I91+Mar!I91+Apr!I91+May!I91+Jun!I91+July!I91+Aug!I91+Sep!I91+Oct!I91</f>
        <v>356.54000000000008</v>
      </c>
      <c r="K91" s="82"/>
      <c r="L91" s="398">
        <v>30.54</v>
      </c>
      <c r="M91" s="397"/>
      <c r="N91" s="397"/>
      <c r="O91" s="398"/>
      <c r="Q91" s="52" t="s">
        <v>1240</v>
      </c>
    </row>
    <row r="92" spans="1:17" s="52" customFormat="1" ht="13.5">
      <c r="B92" s="52" t="s">
        <v>28</v>
      </c>
      <c r="C92" s="52" t="s">
        <v>29</v>
      </c>
      <c r="G92" s="52">
        <f t="shared" si="2"/>
        <v>26.08</v>
      </c>
      <c r="H92" s="52">
        <v>40</v>
      </c>
      <c r="I92" s="61">
        <f t="shared" si="3"/>
        <v>13.920000000000002</v>
      </c>
      <c r="J92" s="90">
        <f>Jan!I92+Feb!I92+Mar!I92+Apr!I92+May!I92+Jun!I92+July!I92+Aug!I92+Sep!I92+Oct!I92</f>
        <v>245.67000000000002</v>
      </c>
      <c r="K92" s="82"/>
      <c r="L92" s="398">
        <f>26.08</f>
        <v>26.08</v>
      </c>
      <c r="M92" s="397"/>
      <c r="N92" s="397"/>
      <c r="O92" s="398"/>
      <c r="Q92" s="52" t="s">
        <v>1240</v>
      </c>
    </row>
    <row r="93" spans="1:17" s="52" customFormat="1" ht="13.5">
      <c r="B93" s="52" t="s">
        <v>40</v>
      </c>
      <c r="C93" s="52" t="s">
        <v>41</v>
      </c>
      <c r="D93" s="52" t="s">
        <v>321</v>
      </c>
      <c r="G93" s="52">
        <f t="shared" si="2"/>
        <v>0</v>
      </c>
      <c r="H93" s="52">
        <v>100</v>
      </c>
      <c r="I93" s="61">
        <f t="shared" si="3"/>
        <v>100</v>
      </c>
      <c r="J93" s="90">
        <f>Jan!I93+Feb!I93+Mar!I93+Apr!I93+May!I93+Jun!I93+July!I93+Aug!I93+Sep!I93+Oct!I93</f>
        <v>1000</v>
      </c>
      <c r="K93" s="82"/>
      <c r="L93" s="398"/>
      <c r="M93" s="397"/>
      <c r="N93" s="397"/>
      <c r="O93" s="398"/>
    </row>
    <row r="94" spans="1:17" s="52" customFormat="1" ht="13.5">
      <c r="B94" s="52" t="s">
        <v>42</v>
      </c>
      <c r="C94" s="52" t="s">
        <v>43</v>
      </c>
      <c r="D94" s="52" t="s">
        <v>435</v>
      </c>
      <c r="G94" s="52">
        <f t="shared" si="2"/>
        <v>-1006.62</v>
      </c>
      <c r="H94" s="52">
        <v>120</v>
      </c>
      <c r="I94" s="61">
        <f t="shared" si="3"/>
        <v>1126.6199999999999</v>
      </c>
      <c r="J94" s="90">
        <f>Jan!I94+Feb!I94+Mar!I94+Apr!I94+May!I94+Jun!I94+July!I94+Aug!I94+Sep!I94+Oct!I94</f>
        <v>1706.4199999999998</v>
      </c>
      <c r="K94" s="82"/>
      <c r="L94" s="398">
        <v>-1006.62</v>
      </c>
      <c r="M94" s="397"/>
      <c r="N94" s="397"/>
      <c r="O94" s="398"/>
      <c r="Q94" s="52" t="s">
        <v>1217</v>
      </c>
    </row>
    <row r="95" spans="1:17" s="52" customFormat="1" ht="13.5">
      <c r="I95" s="61"/>
      <c r="J95" s="90"/>
      <c r="K95" s="82"/>
      <c r="L95" s="398"/>
      <c r="M95" s="397"/>
      <c r="N95" s="397"/>
      <c r="O95" s="398"/>
    </row>
    <row r="96" spans="1:17" s="52" customFormat="1" ht="13.5">
      <c r="A96" s="58" t="s">
        <v>45</v>
      </c>
      <c r="B96" s="58">
        <f>SUM(G97:G99)</f>
        <v>0</v>
      </c>
      <c r="C96" s="58">
        <f>SUM(H97:H99)</f>
        <v>173</v>
      </c>
      <c r="D96" s="58">
        <f>C96-B96</f>
        <v>173</v>
      </c>
      <c r="I96" s="61"/>
      <c r="J96" s="90"/>
      <c r="K96" s="82"/>
      <c r="L96" s="398"/>
      <c r="M96" s="397"/>
      <c r="N96" s="397"/>
      <c r="O96" s="398"/>
    </row>
    <row r="97" spans="1:17" s="52" customFormat="1" ht="13.5">
      <c r="B97" s="52" t="s">
        <v>46</v>
      </c>
      <c r="D97" s="52" t="s">
        <v>437</v>
      </c>
      <c r="G97" s="52">
        <f t="shared" si="2"/>
        <v>0</v>
      </c>
      <c r="H97" s="52">
        <v>65</v>
      </c>
      <c r="I97" s="61">
        <f t="shared" si="3"/>
        <v>65</v>
      </c>
      <c r="J97" s="90">
        <f>Jan!I97+Feb!I97+Mar!I97+Apr!I97+May!I97+Jun!I97+July!I97+Aug!I97+Sep!I97+Oct!I97</f>
        <v>-80</v>
      </c>
      <c r="K97" s="82"/>
      <c r="L97" s="398"/>
      <c r="M97" s="397"/>
      <c r="N97" s="397"/>
      <c r="O97" s="398"/>
    </row>
    <row r="98" spans="1:17" s="52" customFormat="1" ht="13.5">
      <c r="B98" s="52" t="s">
        <v>47</v>
      </c>
      <c r="D98" s="52" t="s">
        <v>436</v>
      </c>
      <c r="G98" s="52">
        <f t="shared" si="2"/>
        <v>0</v>
      </c>
      <c r="H98" s="52">
        <v>72</v>
      </c>
      <c r="I98" s="61">
        <f t="shared" si="3"/>
        <v>72</v>
      </c>
      <c r="J98" s="90">
        <f>Jan!I98+Feb!I98+Mar!I98+Apr!I98+May!I98+Jun!I98+July!I98+Aug!I98+Sep!I98+Oct!I98</f>
        <v>-138</v>
      </c>
      <c r="K98" s="82"/>
      <c r="L98" s="398"/>
      <c r="M98" s="397"/>
      <c r="N98" s="397"/>
      <c r="O98" s="398"/>
    </row>
    <row r="99" spans="1:17" s="52" customFormat="1" ht="13.5">
      <c r="B99" s="52" t="s">
        <v>48</v>
      </c>
      <c r="D99" s="52" t="s">
        <v>445</v>
      </c>
      <c r="G99" s="52">
        <f t="shared" si="2"/>
        <v>0</v>
      </c>
      <c r="H99" s="52">
        <v>36</v>
      </c>
      <c r="I99" s="61">
        <f t="shared" si="3"/>
        <v>36</v>
      </c>
      <c r="J99" s="90">
        <f>Jan!I99+Feb!I99+Mar!I99+Apr!I99+May!I99+Jun!I99+July!I99+Aug!I99+Sep!I99+Oct!I99</f>
        <v>-72.819999999999993</v>
      </c>
      <c r="K99" s="82"/>
      <c r="L99" s="398"/>
      <c r="M99" s="397"/>
      <c r="N99" s="397"/>
      <c r="O99" s="398"/>
    </row>
    <row r="100" spans="1:17" s="52" customFormat="1" ht="13.5">
      <c r="I100" s="61"/>
      <c r="J100" s="90"/>
      <c r="K100" s="82"/>
      <c r="L100" s="398"/>
      <c r="M100" s="397"/>
      <c r="N100" s="397"/>
      <c r="O100" s="398"/>
    </row>
    <row r="101" spans="1:17" s="52" customFormat="1" ht="13.5">
      <c r="A101" s="58" t="s">
        <v>49</v>
      </c>
      <c r="B101" s="58">
        <f>SUM(G102:G108)</f>
        <v>1482.8600000000001</v>
      </c>
      <c r="C101" s="58">
        <f>SUM(H102:H108)</f>
        <v>178</v>
      </c>
      <c r="D101" s="58">
        <f>C101-B101</f>
        <v>-1304.8600000000001</v>
      </c>
      <c r="I101" s="61"/>
      <c r="J101" s="90"/>
      <c r="K101" s="82"/>
      <c r="L101" s="398"/>
      <c r="M101" s="397"/>
      <c r="N101" s="397"/>
      <c r="O101" s="398"/>
    </row>
    <row r="102" spans="1:17" s="52" customFormat="1" ht="13.5">
      <c r="B102" s="52" t="s">
        <v>438</v>
      </c>
      <c r="G102" s="52">
        <f t="shared" si="2"/>
        <v>0</v>
      </c>
      <c r="H102" s="52">
        <v>20</v>
      </c>
      <c r="I102" s="61">
        <f t="shared" si="3"/>
        <v>20</v>
      </c>
      <c r="J102" s="90">
        <f>Jan!I102+Feb!I102+Mar!I102+Apr!I102+May!I102+Jun!I102+July!I102+Aug!I102+Sep!I102+Oct!I102</f>
        <v>-3310.5199999999995</v>
      </c>
      <c r="K102" s="82"/>
      <c r="L102" s="398"/>
      <c r="M102" s="397"/>
      <c r="N102" s="397"/>
      <c r="O102" s="398"/>
    </row>
    <row r="103" spans="1:17" s="52" customFormat="1" ht="13.5">
      <c r="B103" s="52" t="s">
        <v>439</v>
      </c>
      <c r="G103" s="52">
        <f t="shared" si="2"/>
        <v>0</v>
      </c>
      <c r="H103" s="52">
        <v>5</v>
      </c>
      <c r="I103" s="61">
        <f t="shared" si="3"/>
        <v>5</v>
      </c>
      <c r="J103" s="90">
        <f>Jan!I103+Feb!I103+Mar!I103+Apr!I103+May!I103+Jun!I103+July!I103+Aug!I103+Sep!I103+Oct!I103</f>
        <v>-71.95</v>
      </c>
      <c r="K103" s="82"/>
      <c r="L103" s="398"/>
      <c r="M103" s="397"/>
      <c r="N103" s="397"/>
      <c r="O103" s="398"/>
    </row>
    <row r="104" spans="1:17" s="52" customFormat="1" ht="13.5">
      <c r="B104" s="52" t="s">
        <v>303</v>
      </c>
      <c r="G104" s="52">
        <f t="shared" si="2"/>
        <v>0</v>
      </c>
      <c r="H104" s="52">
        <v>65</v>
      </c>
      <c r="I104" s="61">
        <f t="shared" si="3"/>
        <v>65</v>
      </c>
      <c r="J104" s="90">
        <f>Jan!I104+Feb!I104+Mar!I104+Apr!I104+May!I104+Jun!I104+July!I104+Aug!I104+Sep!I104+Oct!I104</f>
        <v>-209.83000000000004</v>
      </c>
      <c r="K104" s="82"/>
      <c r="L104" s="398"/>
      <c r="M104" s="397"/>
      <c r="N104" s="397"/>
      <c r="O104" s="398"/>
    </row>
    <row r="105" spans="1:17" s="52" customFormat="1" ht="13.5">
      <c r="B105" s="52" t="s">
        <v>259</v>
      </c>
      <c r="G105" s="52">
        <f t="shared" si="2"/>
        <v>0</v>
      </c>
      <c r="H105" s="52">
        <v>15</v>
      </c>
      <c r="I105" s="61">
        <f t="shared" si="3"/>
        <v>15</v>
      </c>
      <c r="J105" s="90">
        <f>Jan!I105+Feb!I105+Mar!I105+Apr!I105+May!I105+Jun!I105+July!I105+Aug!I105+Sep!I105+Oct!I105</f>
        <v>150</v>
      </c>
      <c r="K105" s="82"/>
      <c r="L105" s="398"/>
      <c r="M105" s="397"/>
      <c r="N105" s="397"/>
      <c r="O105" s="398"/>
    </row>
    <row r="106" spans="1:17" s="52" customFormat="1" ht="13.5">
      <c r="B106" s="52" t="s">
        <v>299</v>
      </c>
      <c r="G106" s="52">
        <f t="shared" si="2"/>
        <v>1482.8600000000001</v>
      </c>
      <c r="H106" s="52">
        <v>35</v>
      </c>
      <c r="I106" s="61">
        <f t="shared" si="3"/>
        <v>-1447.8600000000001</v>
      </c>
      <c r="J106" s="90">
        <f>Jan!I106+Feb!I106+Mar!I106+Apr!I106+May!I106+Jun!I106+July!I106+Aug!I106+Sep!I106+Oct!I106</f>
        <v>-1202.71</v>
      </c>
      <c r="K106" s="82"/>
      <c r="L106" s="398"/>
      <c r="M106" s="397">
        <f>287.86+1195</f>
        <v>1482.8600000000001</v>
      </c>
      <c r="N106" s="397"/>
      <c r="O106" s="398"/>
      <c r="Q106" s="52" t="s">
        <v>1188</v>
      </c>
    </row>
    <row r="107" spans="1:17" s="52" customFormat="1" ht="13.5">
      <c r="B107" s="52" t="s">
        <v>440</v>
      </c>
      <c r="G107" s="52">
        <f t="shared" si="2"/>
        <v>0</v>
      </c>
      <c r="H107" s="52">
        <v>26</v>
      </c>
      <c r="I107" s="61">
        <f t="shared" si="3"/>
        <v>26</v>
      </c>
      <c r="J107" s="90">
        <f>Jan!I107+Feb!I107+Mar!I107+Apr!I107+May!I107+Jun!I107+July!I107+Aug!I107+Sep!I107+Oct!I107</f>
        <v>-11</v>
      </c>
      <c r="K107" s="82"/>
      <c r="L107" s="398"/>
      <c r="M107" s="397"/>
      <c r="N107" s="397"/>
      <c r="O107" s="398"/>
    </row>
    <row r="108" spans="1:17" s="52" customFormat="1" ht="13.5">
      <c r="B108" s="52" t="s">
        <v>441</v>
      </c>
      <c r="G108" s="52">
        <f t="shared" si="2"/>
        <v>0</v>
      </c>
      <c r="H108" s="52">
        <v>12</v>
      </c>
      <c r="I108" s="61">
        <f t="shared" si="3"/>
        <v>12</v>
      </c>
      <c r="J108" s="90">
        <f>Jan!I108+Feb!I108+Mar!I108+Apr!I108+May!I108+Jun!I108+July!I108+Aug!I108+Sep!I108+Oct!I108</f>
        <v>-25.990000000000009</v>
      </c>
      <c r="K108" s="82"/>
      <c r="L108" s="398"/>
      <c r="M108" s="397"/>
      <c r="N108" s="397"/>
      <c r="O108" s="398"/>
    </row>
    <row r="109" spans="1:17" s="52" customFormat="1" ht="13.5">
      <c r="I109" s="61"/>
      <c r="J109" s="90"/>
      <c r="K109" s="82"/>
      <c r="L109" s="398"/>
      <c r="M109" s="397"/>
      <c r="N109" s="397"/>
      <c r="O109" s="398"/>
    </row>
    <row r="110" spans="1:17" s="52" customFormat="1" ht="13.5">
      <c r="A110" s="58" t="s">
        <v>236</v>
      </c>
      <c r="B110" s="58">
        <f>SUM(G111:G113)</f>
        <v>194.44</v>
      </c>
      <c r="C110" s="58">
        <f>SUM(H111:H113)</f>
        <v>470</v>
      </c>
      <c r="D110" s="58">
        <f>C110-B110</f>
        <v>275.56</v>
      </c>
      <c r="I110" s="61"/>
      <c r="J110" s="90"/>
      <c r="K110" s="82"/>
      <c r="L110" s="398"/>
      <c r="M110" s="397"/>
      <c r="N110" s="397"/>
      <c r="O110" s="398"/>
    </row>
    <row r="111" spans="1:17" s="52" customFormat="1" ht="13.5">
      <c r="B111" s="52" t="s">
        <v>482</v>
      </c>
      <c r="G111" s="52">
        <f t="shared" si="2"/>
        <v>0</v>
      </c>
      <c r="H111" s="52">
        <v>60</v>
      </c>
      <c r="I111" s="61">
        <f t="shared" si="3"/>
        <v>60</v>
      </c>
      <c r="J111" s="90">
        <f>Jan!I111+Feb!I111+Mar!I111+Apr!I111+May!I111+Jun!I111+July!I111+Aug!I111+Sep!I111+Oct!I111</f>
        <v>590.05999999999995</v>
      </c>
      <c r="K111" s="82"/>
      <c r="L111" s="398"/>
      <c r="M111" s="397"/>
      <c r="N111" s="397"/>
      <c r="O111" s="398"/>
      <c r="Q111" s="52" t="s">
        <v>1189</v>
      </c>
    </row>
    <row r="112" spans="1:17" s="52" customFormat="1" ht="13.5">
      <c r="B112" s="52" t="s">
        <v>442</v>
      </c>
      <c r="G112" s="52">
        <f t="shared" si="2"/>
        <v>194.44</v>
      </c>
      <c r="H112" s="52">
        <v>400</v>
      </c>
      <c r="I112" s="61">
        <f t="shared" si="3"/>
        <v>205.56</v>
      </c>
      <c r="J112" s="90">
        <f>Jan!I112+Feb!I112+Mar!I112+Apr!I112+May!I112+Jun!I112+July!I112+Aug!I112+Sep!I112+Oct!I112</f>
        <v>3437.7099999999996</v>
      </c>
      <c r="K112" s="82"/>
      <c r="L112" s="398"/>
      <c r="M112" s="397">
        <f>323.7-129.26</f>
        <v>194.44</v>
      </c>
      <c r="N112" s="397"/>
      <c r="O112" s="398"/>
      <c r="Q112" s="52" t="s">
        <v>1199</v>
      </c>
    </row>
    <row r="113" spans="1:18" s="52" customFormat="1" ht="13.5">
      <c r="B113" s="52" t="s">
        <v>258</v>
      </c>
      <c r="G113" s="52">
        <f t="shared" si="2"/>
        <v>0</v>
      </c>
      <c r="H113" s="52">
        <v>10</v>
      </c>
      <c r="I113" s="61">
        <f t="shared" si="3"/>
        <v>10</v>
      </c>
      <c r="J113" s="90">
        <f>Jan!I113+Feb!I113+Mar!I113+Apr!I113+May!I113+Jun!I113+July!I113+Aug!I113+Sep!I113+Oct!I113</f>
        <v>77.48</v>
      </c>
      <c r="K113" s="82"/>
      <c r="L113" s="398"/>
      <c r="M113" s="397"/>
      <c r="N113" s="397"/>
      <c r="O113" s="398"/>
    </row>
    <row r="114" spans="1:18" s="52" customFormat="1" ht="13.5">
      <c r="I114" s="61"/>
      <c r="J114" s="90"/>
      <c r="K114" s="82"/>
      <c r="L114" s="398"/>
      <c r="M114" s="397"/>
      <c r="N114" s="397"/>
      <c r="O114" s="398"/>
    </row>
    <row r="115" spans="1:18" s="52" customFormat="1" ht="13.5">
      <c r="A115" s="58" t="s">
        <v>53</v>
      </c>
      <c r="B115" s="58">
        <f>SUM(G116:G118)</f>
        <v>45.73</v>
      </c>
      <c r="C115" s="58">
        <f>SUM(H116:H118)</f>
        <v>245</v>
      </c>
      <c r="D115" s="58">
        <f>C115-B115</f>
        <v>199.27</v>
      </c>
      <c r="I115" s="61"/>
      <c r="J115" s="90"/>
      <c r="K115" s="82"/>
      <c r="L115" s="398"/>
      <c r="M115" s="397"/>
      <c r="N115" s="397"/>
      <c r="O115" s="398"/>
    </row>
    <row r="116" spans="1:18" s="52" customFormat="1" ht="13.5">
      <c r="B116" s="52" t="s">
        <v>443</v>
      </c>
      <c r="G116" s="52">
        <f t="shared" ref="G116:G170" si="4">SUM(L116:O116)</f>
        <v>0</v>
      </c>
      <c r="H116" s="52">
        <v>90</v>
      </c>
      <c r="I116" s="61">
        <f t="shared" si="3"/>
        <v>90</v>
      </c>
      <c r="J116" s="90">
        <f>Jan!I116+Feb!I116+Mar!I116+Apr!I116+May!I116+Jun!I116+July!I116+Aug!I116+Sep!I116+Oct!I116</f>
        <v>-1938.3500000000004</v>
      </c>
      <c r="K116" s="82"/>
      <c r="L116" s="398"/>
      <c r="M116" s="397"/>
      <c r="N116" s="397"/>
      <c r="O116" s="398"/>
    </row>
    <row r="117" spans="1:18" s="52" customFormat="1" ht="13.5">
      <c r="B117" s="52" t="s">
        <v>54</v>
      </c>
      <c r="G117" s="52">
        <f t="shared" si="4"/>
        <v>0</v>
      </c>
      <c r="H117" s="52">
        <v>25</v>
      </c>
      <c r="I117" s="61">
        <f t="shared" si="3"/>
        <v>25</v>
      </c>
      <c r="J117" s="90">
        <f>Jan!I117+Feb!I117+Mar!I117+Apr!I117+May!I117+Jun!I117+July!I117+Aug!I117+Sep!I117+Oct!I117</f>
        <v>16.599999999999994</v>
      </c>
      <c r="K117" s="82"/>
      <c r="L117" s="398"/>
      <c r="M117" s="397"/>
      <c r="N117" s="397"/>
      <c r="O117" s="398"/>
    </row>
    <row r="118" spans="1:18" s="52" customFormat="1" ht="13.5">
      <c r="B118" s="54" t="s">
        <v>444</v>
      </c>
      <c r="G118" s="52">
        <f t="shared" si="4"/>
        <v>45.73</v>
      </c>
      <c r="H118" s="52">
        <v>130</v>
      </c>
      <c r="I118" s="61">
        <f t="shared" si="3"/>
        <v>84.27000000000001</v>
      </c>
      <c r="J118" s="90">
        <f>Jan!I118+Feb!I118+Mar!I118+Apr!I118+May!I118+Jun!I118+July!I118+Aug!I118+Sep!I118+Oct!I118</f>
        <v>263.42000000000007</v>
      </c>
      <c r="K118" s="82"/>
      <c r="L118" s="398"/>
      <c r="M118" s="397">
        <f>45.73</f>
        <v>45.73</v>
      </c>
      <c r="N118" s="397"/>
      <c r="O118" s="398"/>
    </row>
    <row r="119" spans="1:18" s="52" customFormat="1" ht="13.5">
      <c r="I119" s="61"/>
      <c r="J119" s="90"/>
      <c r="K119" s="82"/>
      <c r="L119" s="398"/>
      <c r="M119" s="397"/>
      <c r="N119" s="397"/>
      <c r="O119" s="398"/>
    </row>
    <row r="120" spans="1:18" s="52" customFormat="1" ht="13.5">
      <c r="A120" s="58" t="s">
        <v>59</v>
      </c>
      <c r="B120" s="58">
        <f>SUM(G121:G123)</f>
        <v>1440</v>
      </c>
      <c r="C120" s="58">
        <f>SUM(H121:H123)</f>
        <v>415</v>
      </c>
      <c r="D120" s="58">
        <f>C120-B120</f>
        <v>-1025</v>
      </c>
      <c r="I120" s="61"/>
      <c r="J120" s="90"/>
      <c r="K120" s="82"/>
      <c r="L120" s="398"/>
      <c r="M120" s="397"/>
      <c r="N120" s="397"/>
      <c r="O120" s="398"/>
    </row>
    <row r="121" spans="1:18" s="52" customFormat="1" ht="13.5">
      <c r="B121" s="52" t="s">
        <v>484</v>
      </c>
      <c r="D121" s="52" t="s">
        <v>60</v>
      </c>
      <c r="G121" s="52">
        <f t="shared" si="4"/>
        <v>0</v>
      </c>
      <c r="H121" s="52">
        <v>150</v>
      </c>
      <c r="I121" s="61">
        <f t="shared" si="3"/>
        <v>150</v>
      </c>
      <c r="J121" s="90">
        <f>Jan!I121+Feb!I121+Mar!I121+Apr!I121+May!I121+Jun!I121+July!I121+Aug!I121+Sep!I121+Oct!I121</f>
        <v>515.20000000000005</v>
      </c>
      <c r="K121" s="82"/>
      <c r="L121" s="398"/>
      <c r="M121" s="397"/>
      <c r="N121" s="397"/>
      <c r="O121" s="398"/>
    </row>
    <row r="122" spans="1:18" s="52" customFormat="1" ht="13.5">
      <c r="A122" s="58"/>
      <c r="B122" s="52" t="s">
        <v>483</v>
      </c>
      <c r="G122" s="52">
        <f t="shared" si="4"/>
        <v>0</v>
      </c>
      <c r="H122" s="52">
        <v>215</v>
      </c>
      <c r="I122" s="61">
        <f t="shared" si="3"/>
        <v>215</v>
      </c>
      <c r="J122" s="90">
        <f>Jan!I122+Feb!I122+Mar!I122+Apr!I122+May!I122+Jun!I122+July!I122+Aug!I122+Sep!I122+Oct!I122</f>
        <v>1640</v>
      </c>
      <c r="K122" s="82"/>
      <c r="L122" s="398"/>
      <c r="M122" s="397"/>
      <c r="N122" s="397"/>
      <c r="O122" s="398"/>
    </row>
    <row r="123" spans="1:18" s="52" customFormat="1" ht="13.5">
      <c r="A123" s="58"/>
      <c r="B123" s="52" t="s">
        <v>468</v>
      </c>
      <c r="G123" s="52">
        <f t="shared" si="4"/>
        <v>1440</v>
      </c>
      <c r="H123" s="52">
        <v>50</v>
      </c>
      <c r="I123" s="61">
        <f t="shared" si="3"/>
        <v>-1390</v>
      </c>
      <c r="J123" s="90">
        <f>Jan!I123+Feb!I123+Mar!I123+Apr!I123+May!I123+Jun!I123+July!I123+Aug!I123+Sep!I123+Oct!I123</f>
        <v>-3065</v>
      </c>
      <c r="K123" s="82"/>
      <c r="L123" s="398">
        <v>120</v>
      </c>
      <c r="M123" s="397"/>
      <c r="N123" s="397">
        <v>1320</v>
      </c>
      <c r="O123" s="398"/>
      <c r="Q123" s="52" t="s">
        <v>1191</v>
      </c>
    </row>
    <row r="124" spans="1:18" s="52" customFormat="1" ht="13.5">
      <c r="A124" s="58"/>
      <c r="I124" s="61"/>
      <c r="J124" s="90"/>
      <c r="K124" s="82"/>
      <c r="L124" s="398"/>
      <c r="M124" s="397"/>
      <c r="N124" s="397"/>
      <c r="O124" s="398"/>
    </row>
    <row r="125" spans="1:18" s="52" customFormat="1" ht="13.5">
      <c r="A125" s="58" t="s">
        <v>50</v>
      </c>
      <c r="B125" s="58">
        <f>SUM(G126:G136)</f>
        <v>1126.5899999999999</v>
      </c>
      <c r="C125" s="58">
        <f>SUM(H126:H136)</f>
        <v>740</v>
      </c>
      <c r="D125" s="58">
        <f>C125-B125</f>
        <v>-386.58999999999992</v>
      </c>
      <c r="I125" s="61"/>
      <c r="J125" s="90"/>
      <c r="K125" s="82"/>
      <c r="L125" s="398"/>
      <c r="M125" s="397"/>
      <c r="N125" s="397"/>
      <c r="O125" s="398"/>
    </row>
    <row r="126" spans="1:18" s="52" customFormat="1" ht="13.5">
      <c r="B126" s="52" t="s">
        <v>51</v>
      </c>
      <c r="G126" s="52">
        <f t="shared" si="4"/>
        <v>311</v>
      </c>
      <c r="H126" s="52">
        <v>100</v>
      </c>
      <c r="I126" s="61">
        <f t="shared" si="3"/>
        <v>-211</v>
      </c>
      <c r="J126" s="90">
        <f>Jan!I126+Feb!I126+Mar!I126+Apr!I126+May!I126+Jun!I126+July!I126+Aug!I126+Sep!I126+Oct!I126</f>
        <v>-1200.0999999999999</v>
      </c>
      <c r="K126" s="82"/>
      <c r="L126" s="398">
        <f>300-60-142-87+100+600-400</f>
        <v>311</v>
      </c>
      <c r="M126" s="397"/>
      <c r="N126" s="397"/>
      <c r="O126" s="398"/>
      <c r="Q126" s="120">
        <v>42275</v>
      </c>
      <c r="R126" s="52" t="s">
        <v>1197</v>
      </c>
    </row>
    <row r="127" spans="1:18" s="52" customFormat="1" ht="14.25" thickBot="1">
      <c r="B127" s="52" t="s">
        <v>453</v>
      </c>
      <c r="G127" s="52">
        <f t="shared" si="4"/>
        <v>792.73</v>
      </c>
      <c r="H127" s="52">
        <v>500</v>
      </c>
      <c r="I127" s="61">
        <f t="shared" si="3"/>
        <v>-292.73</v>
      </c>
      <c r="J127" s="90">
        <f>Jan!I127+Feb!I127+Mar!I127+Apr!I127+May!I127+Jun!I127+July!I127+Aug!I127+Sep!I127+Oct!I127</f>
        <v>417.09000000000015</v>
      </c>
      <c r="K127" s="82"/>
      <c r="L127" s="398"/>
      <c r="M127" s="397">
        <f>18+36.66+19.06+28.07+24.34</f>
        <v>126.13</v>
      </c>
      <c r="N127" s="397">
        <f>52.26+64.07+51.61+70.8+29.11+45.55+20.95+53.07+151.79+127.39</f>
        <v>666.6</v>
      </c>
      <c r="O127" s="398"/>
    </row>
    <row r="128" spans="1:18" s="52" customFormat="1" ht="14.25" thickBot="1">
      <c r="C128" s="52" t="s">
        <v>446</v>
      </c>
      <c r="E128" s="88"/>
      <c r="I128" s="61"/>
      <c r="J128" s="90"/>
      <c r="K128" s="82"/>
      <c r="L128" s="398"/>
      <c r="M128" s="397"/>
      <c r="N128" s="397"/>
      <c r="O128" s="398"/>
    </row>
    <row r="129" spans="1:17" s="52" customFormat="1" ht="14.25" thickBot="1">
      <c r="C129" s="52" t="s">
        <v>447</v>
      </c>
      <c r="E129" s="88">
        <f>36.66</f>
        <v>36.659999999999997</v>
      </c>
      <c r="I129" s="61"/>
      <c r="J129" s="90"/>
      <c r="K129" s="82"/>
      <c r="L129" s="398"/>
      <c r="M129" s="397"/>
      <c r="N129" s="397"/>
      <c r="O129" s="398"/>
    </row>
    <row r="130" spans="1:17" s="52" customFormat="1" ht="13.5">
      <c r="B130" s="52" t="s">
        <v>300</v>
      </c>
      <c r="G130" s="52">
        <f t="shared" si="4"/>
        <v>0</v>
      </c>
      <c r="H130" s="52">
        <v>50</v>
      </c>
      <c r="I130" s="61">
        <f t="shared" si="3"/>
        <v>50</v>
      </c>
      <c r="J130" s="90">
        <f>Jan!I130+Feb!I130+Mar!I130+Apr!I130+May!I130+Jun!I130+July!I130+Aug!I130+Sep!I130+Oct!I130</f>
        <v>-814.42000000000007</v>
      </c>
      <c r="K130" s="82"/>
      <c r="L130" s="398"/>
      <c r="M130" s="397"/>
      <c r="N130" s="397"/>
      <c r="O130" s="398"/>
    </row>
    <row r="131" spans="1:17" s="52" customFormat="1" ht="14.25" thickBot="1">
      <c r="B131" s="52" t="s">
        <v>52</v>
      </c>
      <c r="G131" s="52">
        <f t="shared" si="4"/>
        <v>22.860000000000003</v>
      </c>
      <c r="H131" s="52">
        <v>70</v>
      </c>
      <c r="I131" s="61">
        <f t="shared" si="3"/>
        <v>47.14</v>
      </c>
      <c r="J131" s="90">
        <f>Jan!I131+Feb!I131+Mar!I131+Apr!I131+May!I131+Jun!I131+July!I131+Aug!I131+Sep!I131+Oct!I131</f>
        <v>380.14000000000004</v>
      </c>
      <c r="K131" s="82"/>
      <c r="L131" s="398"/>
      <c r="M131" s="397">
        <f>17.42-3.27+8.71</f>
        <v>22.860000000000003</v>
      </c>
      <c r="N131" s="397"/>
      <c r="O131" s="398"/>
      <c r="Q131" s="52" t="s">
        <v>1204</v>
      </c>
    </row>
    <row r="132" spans="1:17" s="52" customFormat="1" ht="14.25" thickBot="1">
      <c r="C132" s="259" t="s">
        <v>448</v>
      </c>
      <c r="D132" s="260"/>
      <c r="E132" s="88">
        <f>17.42</f>
        <v>17.420000000000002</v>
      </c>
      <c r="I132" s="61"/>
      <c r="J132" s="90"/>
      <c r="K132" s="82"/>
      <c r="L132" s="398"/>
      <c r="M132" s="397"/>
      <c r="N132" s="397"/>
      <c r="O132" s="398"/>
    </row>
    <row r="133" spans="1:17" s="52" customFormat="1" ht="14.25" thickBot="1">
      <c r="C133" s="259" t="s">
        <v>449</v>
      </c>
      <c r="D133" s="260"/>
      <c r="E133" s="88"/>
      <c r="I133" s="61"/>
      <c r="J133" s="90"/>
      <c r="K133" s="82"/>
      <c r="L133" s="398"/>
      <c r="M133" s="397"/>
      <c r="N133" s="397"/>
      <c r="O133" s="398"/>
    </row>
    <row r="134" spans="1:17" s="52" customFormat="1" ht="14.25" thickBot="1">
      <c r="C134" s="259" t="s">
        <v>450</v>
      </c>
      <c r="D134" s="260"/>
      <c r="E134" s="88"/>
      <c r="I134" s="61"/>
      <c r="J134" s="90"/>
      <c r="K134" s="82"/>
      <c r="L134" s="398"/>
      <c r="M134" s="397"/>
      <c r="N134" s="397"/>
      <c r="O134" s="398"/>
    </row>
    <row r="135" spans="1:17" s="52" customFormat="1" ht="14.25" thickBot="1">
      <c r="C135" s="259" t="s">
        <v>451</v>
      </c>
      <c r="D135" s="260"/>
      <c r="E135" s="88"/>
      <c r="I135" s="61"/>
      <c r="J135" s="90"/>
      <c r="K135" s="82"/>
      <c r="L135" s="398"/>
      <c r="M135" s="397"/>
      <c r="N135" s="397"/>
      <c r="O135" s="398"/>
    </row>
    <row r="136" spans="1:17" s="52" customFormat="1" ht="13.5">
      <c r="B136" s="52" t="s">
        <v>452</v>
      </c>
      <c r="G136" s="52">
        <f t="shared" si="4"/>
        <v>0</v>
      </c>
      <c r="H136" s="52">
        <v>20</v>
      </c>
      <c r="I136" s="61">
        <f t="shared" ref="I136:I151" si="5">H136-G136</f>
        <v>20</v>
      </c>
      <c r="J136" s="90">
        <f>Jan!I136+Feb!I136+Mar!I136+Apr!I136+May!I136+Jun!I136+July!I136+Aug!I136+Sep!I136+Oct!I136</f>
        <v>114.16</v>
      </c>
      <c r="K136" s="82"/>
      <c r="L136" s="398"/>
      <c r="M136" s="397"/>
      <c r="N136" s="397"/>
      <c r="O136" s="398"/>
    </row>
    <row r="137" spans="1:17" s="52" customFormat="1" ht="13.5">
      <c r="I137" s="61"/>
      <c r="J137" s="90"/>
      <c r="K137" s="82"/>
      <c r="L137" s="398"/>
      <c r="M137" s="397"/>
      <c r="N137" s="397"/>
      <c r="O137" s="398"/>
    </row>
    <row r="138" spans="1:17" s="52" customFormat="1" ht="13.5">
      <c r="A138" s="58" t="s">
        <v>65</v>
      </c>
      <c r="B138" s="58">
        <f>G139</f>
        <v>0</v>
      </c>
      <c r="C138" s="58">
        <f>H139</f>
        <v>140</v>
      </c>
      <c r="D138" s="58">
        <f>I139</f>
        <v>140</v>
      </c>
      <c r="I138" s="61"/>
      <c r="J138" s="90"/>
      <c r="K138" s="82"/>
      <c r="L138" s="398"/>
      <c r="M138" s="397"/>
      <c r="N138" s="397"/>
      <c r="O138" s="398"/>
    </row>
    <row r="139" spans="1:17" s="52" customFormat="1" ht="13.5">
      <c r="B139" s="52" t="s">
        <v>66</v>
      </c>
      <c r="G139" s="52">
        <f t="shared" si="4"/>
        <v>0</v>
      </c>
      <c r="H139" s="52">
        <v>140</v>
      </c>
      <c r="I139" s="61">
        <f t="shared" si="5"/>
        <v>140</v>
      </c>
      <c r="J139" s="90">
        <f>Jan!I139+Feb!I139+Mar!I139+Apr!I139+May!I139+Jun!I139+July!I139+Aug!I139+Sep!I139+Oct!I139</f>
        <v>1038.08</v>
      </c>
      <c r="K139" s="82"/>
      <c r="L139" s="398"/>
      <c r="M139" s="397"/>
      <c r="N139" s="397"/>
      <c r="O139" s="398"/>
    </row>
    <row r="140" spans="1:17" s="52" customFormat="1" ht="13.5">
      <c r="I140" s="61"/>
      <c r="J140" s="90"/>
      <c r="K140" s="82"/>
      <c r="L140" s="398"/>
      <c r="M140" s="397"/>
      <c r="N140" s="397"/>
      <c r="O140" s="398"/>
    </row>
    <row r="141" spans="1:17" s="52" customFormat="1" ht="13.5">
      <c r="A141" s="58" t="s">
        <v>271</v>
      </c>
      <c r="B141" s="58">
        <f>SUM(G142:G144)</f>
        <v>47.269999999999996</v>
      </c>
      <c r="C141" s="58">
        <f>SUM(H142:H144)</f>
        <v>230</v>
      </c>
      <c r="D141" s="58">
        <f>C141-B141</f>
        <v>182.73000000000002</v>
      </c>
      <c r="I141" s="61"/>
      <c r="J141" s="90"/>
      <c r="K141" s="82"/>
      <c r="L141" s="398"/>
      <c r="M141" s="397"/>
      <c r="N141" s="397"/>
      <c r="O141" s="398"/>
    </row>
    <row r="142" spans="1:17" s="52" customFormat="1" ht="13.5">
      <c r="B142" s="52" t="s">
        <v>266</v>
      </c>
      <c r="G142" s="52">
        <f t="shared" si="4"/>
        <v>47.269999999999996</v>
      </c>
      <c r="H142" s="52">
        <v>100</v>
      </c>
      <c r="I142" s="61">
        <f t="shared" si="5"/>
        <v>52.730000000000004</v>
      </c>
      <c r="J142" s="90">
        <f>Jan!I142+Feb!I142+Mar!I142+Apr!I142+May!I142+Jun!I142+July!I142+Aug!I142+Sep!I142+Oct!I142</f>
        <v>-351.95</v>
      </c>
      <c r="K142" s="82"/>
      <c r="L142" s="398"/>
      <c r="M142" s="397">
        <f>23.31</f>
        <v>23.31</v>
      </c>
      <c r="N142" s="397">
        <f>12.41+11.55</f>
        <v>23.96</v>
      </c>
      <c r="O142" s="398"/>
      <c r="Q142" s="52" t="s">
        <v>1203</v>
      </c>
    </row>
    <row r="143" spans="1:17" s="52" customFormat="1" ht="13.5">
      <c r="B143" s="52" t="s">
        <v>454</v>
      </c>
      <c r="G143" s="52">
        <f t="shared" si="4"/>
        <v>0</v>
      </c>
      <c r="H143" s="52">
        <v>100</v>
      </c>
      <c r="I143" s="61">
        <f t="shared" si="5"/>
        <v>100</v>
      </c>
      <c r="J143" s="90">
        <f>Jan!I143+Feb!I143+Mar!I143+Apr!I143+May!I143+Jun!I143+July!I143+Aug!I143+Sep!I143+Oct!I143</f>
        <v>898.68000000000006</v>
      </c>
      <c r="K143" s="82"/>
      <c r="L143" s="398"/>
      <c r="M143" s="397"/>
      <c r="N143" s="397"/>
      <c r="O143" s="398"/>
    </row>
    <row r="144" spans="1:17" s="52" customFormat="1" ht="13.5">
      <c r="B144" s="52" t="s">
        <v>455</v>
      </c>
      <c r="G144" s="52">
        <f t="shared" si="4"/>
        <v>0</v>
      </c>
      <c r="H144" s="52">
        <v>30</v>
      </c>
      <c r="I144" s="61">
        <f t="shared" si="5"/>
        <v>30</v>
      </c>
      <c r="J144" s="90">
        <f>Jan!I144+Feb!I144+Mar!I144+Apr!I144+May!I144+Jun!I144+July!I144+Aug!I144+Sep!I144+Oct!I144</f>
        <v>300</v>
      </c>
      <c r="K144" s="82"/>
      <c r="L144" s="398"/>
      <c r="M144" s="397"/>
      <c r="N144" s="397"/>
      <c r="O144" s="398"/>
    </row>
    <row r="145" spans="1:17" s="52" customFormat="1" ht="13.5">
      <c r="I145" s="61"/>
      <c r="J145" s="90"/>
      <c r="K145" s="82"/>
      <c r="L145" s="398"/>
      <c r="M145" s="397"/>
      <c r="N145" s="397"/>
      <c r="O145" s="398"/>
    </row>
    <row r="146" spans="1:17" s="52" customFormat="1" ht="13.5">
      <c r="A146" s="58" t="s">
        <v>67</v>
      </c>
      <c r="B146" s="58">
        <f>G147</f>
        <v>42.44</v>
      </c>
      <c r="C146" s="58">
        <f>H147</f>
        <v>10</v>
      </c>
      <c r="D146" s="58">
        <f>C146-B146</f>
        <v>-32.44</v>
      </c>
      <c r="I146" s="61"/>
      <c r="J146" s="90"/>
      <c r="K146" s="82"/>
      <c r="L146" s="398"/>
      <c r="M146" s="397"/>
      <c r="N146" s="397"/>
      <c r="O146" s="398"/>
    </row>
    <row r="147" spans="1:17" s="52" customFormat="1" ht="13.5">
      <c r="B147" s="52" t="s">
        <v>68</v>
      </c>
      <c r="G147" s="52">
        <f t="shared" si="4"/>
        <v>42.44</v>
      </c>
      <c r="H147" s="52">
        <v>10</v>
      </c>
      <c r="I147" s="61">
        <f t="shared" si="5"/>
        <v>-32.44</v>
      </c>
      <c r="J147" s="90">
        <f>Jan!I147+Feb!I147+Mar!I147+Apr!I147+May!I147+Jun!I147+July!I147+Aug!I147+Sep!I147+Oct!I147</f>
        <v>22.83</v>
      </c>
      <c r="K147" s="82"/>
      <c r="L147" s="398"/>
      <c r="M147" s="397"/>
      <c r="N147" s="397">
        <f>39.1+3.34</f>
        <v>42.44</v>
      </c>
      <c r="O147" s="398"/>
      <c r="Q147" s="52" t="s">
        <v>1190</v>
      </c>
    </row>
    <row r="148" spans="1:17" s="52" customFormat="1" ht="13.5">
      <c r="I148" s="61"/>
      <c r="J148" s="90"/>
      <c r="K148" s="82"/>
      <c r="L148" s="398"/>
      <c r="M148" s="397"/>
      <c r="N148" s="397"/>
      <c r="O148" s="398"/>
    </row>
    <row r="149" spans="1:17" s="52" customFormat="1" ht="13.5">
      <c r="A149" s="58" t="s">
        <v>269</v>
      </c>
      <c r="B149" s="58">
        <f>SUM(G150:G151)</f>
        <v>60</v>
      </c>
      <c r="C149" s="58">
        <f>SUM(H150:H151)</f>
        <v>250</v>
      </c>
      <c r="D149" s="58">
        <f>C149-B149</f>
        <v>190</v>
      </c>
      <c r="I149" s="61"/>
      <c r="J149" s="90"/>
      <c r="K149" s="82"/>
      <c r="L149" s="398"/>
      <c r="M149" s="397"/>
      <c r="N149" s="397"/>
      <c r="O149" s="398"/>
    </row>
    <row r="150" spans="1:17" s="52" customFormat="1" ht="13.5">
      <c r="B150" s="52" t="s">
        <v>63</v>
      </c>
      <c r="G150" s="52">
        <f t="shared" si="4"/>
        <v>0</v>
      </c>
      <c r="H150" s="52">
        <v>150</v>
      </c>
      <c r="I150" s="61">
        <f t="shared" si="5"/>
        <v>150</v>
      </c>
      <c r="J150" s="90">
        <f>Jan!I150+Feb!I150+Mar!I150+Apr!I150+May!I150+Jun!I150+July!I150+Aug!I150+Sep!I150+Oct!I150</f>
        <v>1450</v>
      </c>
      <c r="K150" s="82"/>
      <c r="L150" s="398"/>
      <c r="M150" s="397"/>
      <c r="N150" s="397"/>
      <c r="O150" s="398"/>
    </row>
    <row r="151" spans="1:17" s="52" customFormat="1" ht="13.5">
      <c r="B151" s="52" t="s">
        <v>64</v>
      </c>
      <c r="D151" s="52" t="s">
        <v>270</v>
      </c>
      <c r="G151" s="52">
        <f t="shared" si="4"/>
        <v>60</v>
      </c>
      <c r="H151" s="52">
        <v>100</v>
      </c>
      <c r="I151" s="61">
        <f t="shared" si="5"/>
        <v>40</v>
      </c>
      <c r="J151" s="90">
        <f>Jan!I151+Feb!I151+Mar!I151+Apr!I151+May!I151+Jun!I151+July!I151+Aug!I151+Sep!I151+Oct!I151</f>
        <v>648.08000000000004</v>
      </c>
      <c r="K151" s="87"/>
      <c r="L151" s="398">
        <f>60</f>
        <v>60</v>
      </c>
      <c r="M151" s="397"/>
      <c r="N151" s="397"/>
      <c r="O151" s="398"/>
      <c r="Q151" s="52" t="s">
        <v>1186</v>
      </c>
    </row>
    <row r="152" spans="1:17" s="52" customFormat="1" ht="13.5">
      <c r="I152" s="61"/>
      <c r="J152" s="90"/>
      <c r="K152" s="87"/>
      <c r="L152" s="398"/>
      <c r="M152" s="397"/>
      <c r="N152" s="397"/>
      <c r="O152" s="398"/>
    </row>
    <row r="153" spans="1:17" ht="13.5">
      <c r="A153" s="52"/>
      <c r="B153" s="52"/>
      <c r="C153" s="52"/>
      <c r="D153" s="52"/>
      <c r="E153" s="52"/>
      <c r="F153" s="52"/>
      <c r="G153" s="52"/>
      <c r="H153" s="52"/>
      <c r="I153" s="61"/>
      <c r="J153" s="90"/>
      <c r="L153" s="398"/>
      <c r="M153" s="397"/>
      <c r="N153" s="397"/>
      <c r="O153" s="398"/>
    </row>
    <row r="154" spans="1:17" ht="13.5">
      <c r="A154" s="58" t="s">
        <v>459</v>
      </c>
      <c r="B154" s="52"/>
      <c r="C154" s="52"/>
      <c r="D154" s="52"/>
      <c r="E154" s="52"/>
      <c r="F154" s="52"/>
      <c r="G154" s="52"/>
      <c r="H154" s="52"/>
      <c r="I154" s="61"/>
      <c r="J154" s="90"/>
      <c r="L154" s="398"/>
      <c r="M154" s="397"/>
      <c r="N154" s="397"/>
      <c r="O154" s="398"/>
    </row>
    <row r="155" spans="1:17" ht="13.5">
      <c r="A155" s="52"/>
      <c r="B155" s="52">
        <f>SUM(G156:G170)</f>
        <v>0</v>
      </c>
      <c r="C155" s="52">
        <f>SUM(H156:H170)</f>
        <v>610</v>
      </c>
      <c r="D155" s="58">
        <f>C155-B155</f>
        <v>610</v>
      </c>
      <c r="E155" s="52"/>
      <c r="F155" s="52"/>
      <c r="G155" s="52"/>
      <c r="H155" s="52"/>
      <c r="I155" s="61"/>
      <c r="J155" s="90"/>
      <c r="L155" s="398"/>
      <c r="M155" s="397"/>
      <c r="N155" s="397"/>
      <c r="O155" s="398"/>
    </row>
    <row r="156" spans="1:17" ht="13.5">
      <c r="A156" s="58" t="s">
        <v>461</v>
      </c>
      <c r="B156" s="52"/>
      <c r="C156" s="52"/>
      <c r="D156" s="52"/>
      <c r="E156" s="52"/>
      <c r="F156" s="52"/>
      <c r="G156" s="52"/>
      <c r="H156" s="52"/>
      <c r="I156" s="61"/>
      <c r="J156" s="90"/>
      <c r="L156" s="398"/>
      <c r="M156" s="397"/>
      <c r="N156" s="397"/>
      <c r="O156" s="398"/>
    </row>
    <row r="157" spans="1:17" ht="14.25" thickBot="1">
      <c r="A157" s="52"/>
      <c r="B157" s="52" t="s">
        <v>267</v>
      </c>
      <c r="C157" s="52"/>
      <c r="D157" s="52"/>
      <c r="E157" s="52"/>
      <c r="F157" s="52"/>
      <c r="G157" s="52">
        <f t="shared" si="4"/>
        <v>0</v>
      </c>
      <c r="H157" s="52">
        <v>100</v>
      </c>
      <c r="I157" s="61">
        <f t="shared" ref="I157:I170" si="6">H157-G157</f>
        <v>100</v>
      </c>
      <c r="J157" s="90">
        <f>Jan!I157+Feb!I157+Mar!I157+Apr!I157+May!I157+Jun!I157+July!I157+Aug!I157+Sep!I157+Oct!I157</f>
        <v>1000</v>
      </c>
      <c r="L157" s="398"/>
      <c r="M157" s="397"/>
      <c r="N157" s="397"/>
      <c r="O157" s="398"/>
    </row>
    <row r="158" spans="1:17" ht="14.25" thickBot="1">
      <c r="A158" s="88">
        <f>SUM(G157:G161)</f>
        <v>0</v>
      </c>
      <c r="B158" s="52" t="s">
        <v>268</v>
      </c>
      <c r="C158" s="52"/>
      <c r="D158" s="52"/>
      <c r="E158" s="52"/>
      <c r="F158" s="52"/>
      <c r="G158" s="52">
        <f t="shared" si="4"/>
        <v>0</v>
      </c>
      <c r="H158" s="52">
        <v>100</v>
      </c>
      <c r="I158" s="61">
        <f t="shared" si="6"/>
        <v>100</v>
      </c>
      <c r="J158" s="90">
        <f>Jan!I158+Feb!I158+Mar!I158+Apr!I158+May!I158+Jun!I158+July!I158+Aug!I158+Sep!I158+Oct!I158</f>
        <v>1000</v>
      </c>
      <c r="L158" s="398"/>
      <c r="M158" s="397"/>
      <c r="N158" s="397"/>
      <c r="O158" s="398"/>
    </row>
    <row r="159" spans="1:17" ht="13.5">
      <c r="A159" s="52"/>
      <c r="B159" s="52" t="s">
        <v>61</v>
      </c>
      <c r="C159" s="52"/>
      <c r="D159" s="52"/>
      <c r="E159" s="52"/>
      <c r="F159" s="52"/>
      <c r="G159" s="52">
        <f t="shared" si="4"/>
        <v>0</v>
      </c>
      <c r="H159" s="52">
        <v>30</v>
      </c>
      <c r="I159" s="61">
        <f t="shared" si="6"/>
        <v>30</v>
      </c>
      <c r="J159" s="90">
        <f>Jan!I159+Feb!I159+Mar!I159+Apr!I159+May!I159+Jun!I159+July!I159+Aug!I159+Sep!I159+Oct!I159</f>
        <v>300</v>
      </c>
      <c r="L159" s="398"/>
      <c r="M159" s="397"/>
      <c r="N159" s="397"/>
      <c r="O159" s="398"/>
    </row>
    <row r="160" spans="1:17" ht="13.5">
      <c r="A160" s="52"/>
      <c r="B160" s="52" t="s">
        <v>62</v>
      </c>
      <c r="C160" s="52"/>
      <c r="D160" s="52"/>
      <c r="E160" s="52"/>
      <c r="F160" s="52"/>
      <c r="G160" s="52">
        <f t="shared" si="4"/>
        <v>0</v>
      </c>
      <c r="H160" s="52">
        <v>50</v>
      </c>
      <c r="I160" s="61">
        <f t="shared" si="6"/>
        <v>50</v>
      </c>
      <c r="J160" s="90">
        <f>Jan!I160+Feb!I160+Mar!I160+Apr!I160+May!I160+Jun!I160+July!I160+Aug!I160+Sep!I160+Oct!I160</f>
        <v>425</v>
      </c>
      <c r="L160" s="398"/>
      <c r="M160" s="397"/>
      <c r="N160" s="397"/>
      <c r="O160" s="398"/>
    </row>
    <row r="161" spans="1:15" ht="13.5">
      <c r="A161" s="52"/>
      <c r="B161" s="52" t="s">
        <v>486</v>
      </c>
      <c r="C161" s="52"/>
      <c r="D161" s="52"/>
      <c r="E161" s="52"/>
      <c r="F161" s="52"/>
      <c r="G161" s="52">
        <f t="shared" si="4"/>
        <v>0</v>
      </c>
      <c r="H161" s="52">
        <v>10</v>
      </c>
      <c r="I161" s="61">
        <f t="shared" si="6"/>
        <v>10</v>
      </c>
      <c r="J161" s="90">
        <f>Jan!I161+Feb!I161+Mar!I161+Apr!I161+May!I161+Jun!I161+July!I161+Aug!I161+Sep!I161+Oct!I161</f>
        <v>100</v>
      </c>
      <c r="L161" s="398"/>
      <c r="M161" s="397"/>
      <c r="N161" s="397"/>
      <c r="O161" s="398"/>
    </row>
    <row r="162" spans="1:15" ht="13.5">
      <c r="A162" s="52"/>
      <c r="B162" s="52"/>
      <c r="C162" s="52"/>
      <c r="D162" s="52"/>
      <c r="E162" s="52"/>
      <c r="F162" s="52"/>
      <c r="G162" s="52"/>
      <c r="H162" s="52"/>
      <c r="I162" s="61"/>
      <c r="J162" s="90"/>
      <c r="L162" s="398"/>
      <c r="M162" s="397"/>
      <c r="N162" s="397"/>
      <c r="O162" s="398"/>
    </row>
    <row r="163" spans="1:15" ht="13.5">
      <c r="A163" s="58" t="s">
        <v>460</v>
      </c>
      <c r="B163" s="52"/>
      <c r="C163" s="52"/>
      <c r="D163" s="52"/>
      <c r="E163" s="52"/>
      <c r="F163" s="52"/>
      <c r="G163" s="52"/>
      <c r="H163" s="52"/>
      <c r="I163" s="61"/>
      <c r="J163" s="90"/>
      <c r="L163" s="398"/>
      <c r="M163" s="397"/>
      <c r="N163" s="397"/>
      <c r="O163" s="398"/>
    </row>
    <row r="164" spans="1:15" ht="14.25" thickBot="1">
      <c r="A164" s="52"/>
      <c r="B164" s="52" t="s">
        <v>456</v>
      </c>
      <c r="C164" s="52"/>
      <c r="D164" s="52"/>
      <c r="E164" s="52"/>
      <c r="F164" s="52"/>
      <c r="G164" s="52">
        <f t="shared" si="4"/>
        <v>0</v>
      </c>
      <c r="H164" s="52">
        <v>30</v>
      </c>
      <c r="I164" s="61">
        <f t="shared" si="6"/>
        <v>30</v>
      </c>
      <c r="J164" s="90">
        <f>Jan!I164+Feb!I164+Mar!I164+Apr!I164+May!I164+Jun!I164+July!I164+Aug!I164+Sep!I164+Oct!I164</f>
        <v>266.83</v>
      </c>
      <c r="L164" s="398"/>
      <c r="M164" s="397"/>
      <c r="N164" s="397"/>
      <c r="O164" s="398"/>
    </row>
    <row r="165" spans="1:15" ht="14.25" thickBot="1">
      <c r="A165" s="88">
        <f>SUM(G164:G168)</f>
        <v>0</v>
      </c>
      <c r="B165" s="52" t="s">
        <v>457</v>
      </c>
      <c r="C165" s="52"/>
      <c r="D165" s="52"/>
      <c r="E165" s="52"/>
      <c r="F165" s="52"/>
      <c r="G165" s="52">
        <f t="shared" si="4"/>
        <v>0</v>
      </c>
      <c r="H165" s="52">
        <v>30</v>
      </c>
      <c r="I165" s="61">
        <f t="shared" si="6"/>
        <v>30</v>
      </c>
      <c r="J165" s="90">
        <f>Jan!I165+Feb!I165+Mar!I165+Apr!I165+May!I165+Jun!I165+July!I165+Aug!I165+Sep!I165+Oct!I165</f>
        <v>290</v>
      </c>
      <c r="L165" s="398"/>
      <c r="M165" s="397"/>
      <c r="N165" s="397"/>
      <c r="O165" s="398"/>
    </row>
    <row r="166" spans="1:15" ht="13.5">
      <c r="A166" s="52"/>
      <c r="B166" s="52" t="s">
        <v>462</v>
      </c>
      <c r="C166" s="52"/>
      <c r="D166" s="52"/>
      <c r="E166" s="52"/>
      <c r="F166" s="52"/>
      <c r="G166" s="52">
        <f t="shared" si="4"/>
        <v>0</v>
      </c>
      <c r="H166" s="52">
        <v>30</v>
      </c>
      <c r="I166" s="61">
        <f t="shared" si="6"/>
        <v>30</v>
      </c>
      <c r="J166" s="90">
        <f>Jan!I166+Feb!I166+Mar!I166+Apr!I166+May!I166+Jun!I166+July!I166+Aug!I166+Sep!I166+Oct!I166</f>
        <v>300</v>
      </c>
      <c r="L166" s="398"/>
      <c r="M166" s="397"/>
      <c r="N166" s="397"/>
      <c r="O166" s="398"/>
    </row>
    <row r="167" spans="1:15" ht="13.5">
      <c r="A167" s="52"/>
      <c r="B167" s="52" t="s">
        <v>458</v>
      </c>
      <c r="C167" s="52"/>
      <c r="D167" s="52"/>
      <c r="E167" s="52"/>
      <c r="F167" s="52"/>
      <c r="G167" s="52">
        <f t="shared" si="4"/>
        <v>0</v>
      </c>
      <c r="H167" s="52">
        <v>30</v>
      </c>
      <c r="I167" s="61">
        <f t="shared" si="6"/>
        <v>30</v>
      </c>
      <c r="J167" s="90">
        <f>Jan!I167+Feb!I167+Mar!I167+Apr!I167+May!I167+Jun!I167+July!I167+Aug!I167+Sep!I167+Oct!I167</f>
        <v>300</v>
      </c>
      <c r="L167" s="398"/>
      <c r="M167" s="397"/>
      <c r="N167" s="397"/>
      <c r="O167" s="398"/>
    </row>
    <row r="168" spans="1:15" ht="13.5">
      <c r="A168" s="52"/>
      <c r="B168" s="52" t="s">
        <v>485</v>
      </c>
      <c r="C168" s="52"/>
      <c r="D168" s="52"/>
      <c r="E168" s="52"/>
      <c r="F168" s="52"/>
      <c r="G168" s="52">
        <f t="shared" si="4"/>
        <v>0</v>
      </c>
      <c r="H168" s="52">
        <v>100</v>
      </c>
      <c r="I168" s="61">
        <f t="shared" si="6"/>
        <v>100</v>
      </c>
      <c r="J168" s="90">
        <f>Jan!I168+Feb!I168+Mar!I168+Apr!I168+May!I168+Jun!I168+July!I168+Aug!I168+Sep!I168+Oct!I168</f>
        <v>1000</v>
      </c>
      <c r="L168" s="398"/>
      <c r="M168" s="397"/>
      <c r="N168" s="397"/>
      <c r="O168" s="398"/>
    </row>
    <row r="169" spans="1:15" ht="13.5">
      <c r="A169" s="52"/>
      <c r="B169" s="52"/>
      <c r="C169" s="52"/>
      <c r="D169" s="52"/>
      <c r="E169" s="52"/>
      <c r="F169" s="52"/>
      <c r="G169" s="52"/>
      <c r="H169" s="52"/>
      <c r="I169" s="61"/>
      <c r="J169" s="90"/>
      <c r="L169" s="398"/>
      <c r="M169" s="397"/>
      <c r="N169" s="397"/>
      <c r="O169" s="398"/>
    </row>
    <row r="170" spans="1:15" ht="13.5">
      <c r="A170" s="58" t="s">
        <v>272</v>
      </c>
      <c r="B170" s="52"/>
      <c r="C170" s="52"/>
      <c r="D170" s="52"/>
      <c r="E170" s="52"/>
      <c r="F170" s="52"/>
      <c r="G170" s="52">
        <f t="shared" si="4"/>
        <v>0</v>
      </c>
      <c r="H170" s="52">
        <v>100</v>
      </c>
      <c r="I170" s="61">
        <f t="shared" si="6"/>
        <v>100</v>
      </c>
      <c r="J170" s="90">
        <f>Jan!I170+Feb!I170+Mar!I170+Apr!I170+May!I170+Jun!I170+July!I170+Aug!I170+Sep!I170+Oct!I170</f>
        <v>1000</v>
      </c>
      <c r="L170" s="398"/>
      <c r="M170" s="397"/>
      <c r="N170" s="397"/>
      <c r="O170" s="398"/>
    </row>
  </sheetData>
  <sheetProtection selectLockedCells="1" selectUnlockedCells="1"/>
  <pageMargins left="0.75" right="0.75" top="1" bottom="1" header="0.51180555555555551" footer="0.51180555555555551"/>
  <pageSetup firstPageNumber="0" orientation="portrait" horizontalDpi="300" verticalDpi="3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0"/>
  <sheetViews>
    <sheetView topLeftCell="A123" zoomScale="84" zoomScaleNormal="84" workbookViewId="0">
      <selection activeCell="M165" sqref="M165"/>
    </sheetView>
  </sheetViews>
  <sheetFormatPr defaultColWidth="9" defaultRowHeight="15.75"/>
  <cols>
    <col min="1" max="1" width="24.42578125" style="74" customWidth="1"/>
    <col min="2" max="2" width="18" style="65" customWidth="1"/>
    <col min="3" max="3" width="17.140625" style="65" customWidth="1"/>
    <col min="4" max="5" width="16.5703125" style="65" customWidth="1"/>
    <col min="6" max="6" width="15.28515625" style="65" customWidth="1"/>
    <col min="7" max="7" width="13.5703125" style="65" customWidth="1"/>
    <col min="8" max="8" width="13.85546875" style="65" customWidth="1"/>
    <col min="9" max="10" width="14" style="65" customWidth="1"/>
    <col min="11" max="11" width="2.28515625" style="80" customWidth="1"/>
    <col min="12" max="12" width="11.5703125" style="65" customWidth="1"/>
    <col min="13" max="13" width="11.85546875" style="65" customWidth="1"/>
    <col min="14" max="15" width="11.5703125" style="65" customWidth="1"/>
    <col min="16" max="16" width="1.7109375" style="65" customWidth="1"/>
    <col min="17" max="17" width="11.7109375" style="65" customWidth="1"/>
    <col min="18" max="18" width="11.5703125" style="65" customWidth="1"/>
    <col min="19" max="16384" width="9" style="65"/>
  </cols>
  <sheetData>
    <row r="1" spans="1:16">
      <c r="A1" s="71" t="s">
        <v>182</v>
      </c>
      <c r="B1" s="72">
        <v>2015</v>
      </c>
      <c r="C1" s="72"/>
      <c r="L1" s="73" t="s">
        <v>492</v>
      </c>
    </row>
    <row r="2" spans="1:16">
      <c r="A2" s="71" t="s">
        <v>171</v>
      </c>
      <c r="B2" s="73" t="s">
        <v>16</v>
      </c>
      <c r="C2" s="73"/>
      <c r="M2" s="73"/>
    </row>
    <row r="3" spans="1:16">
      <c r="M3" s="73"/>
      <c r="O3" s="75"/>
    </row>
    <row r="4" spans="1:16">
      <c r="A4" s="71" t="s">
        <v>4</v>
      </c>
      <c r="B4" s="76">
        <f>SUM(G5:G8)</f>
        <v>41749.31</v>
      </c>
      <c r="C4" s="76"/>
      <c r="F4" s="93"/>
      <c r="G4" s="65" t="s">
        <v>31</v>
      </c>
      <c r="L4" s="77"/>
      <c r="M4" s="73"/>
      <c r="O4" s="75"/>
    </row>
    <row r="5" spans="1:16" ht="12.75">
      <c r="A5" s="65" t="s">
        <v>24</v>
      </c>
      <c r="B5" s="121"/>
      <c r="C5" s="122"/>
      <c r="F5" s="93"/>
      <c r="G5" s="121">
        <f>SUM(B5:E5)</f>
        <v>0</v>
      </c>
      <c r="H5" s="77"/>
      <c r="I5" s="77"/>
      <c r="J5" s="77"/>
      <c r="K5" s="81"/>
      <c r="L5" s="77"/>
      <c r="O5" s="75"/>
    </row>
    <row r="6" spans="1:16" ht="12.75">
      <c r="A6" s="65" t="s">
        <v>230</v>
      </c>
      <c r="B6" s="65">
        <v>1731.39</v>
      </c>
      <c r="C6" s="75">
        <v>1731.39</v>
      </c>
      <c r="F6" s="93"/>
      <c r="G6" s="121">
        <f>SUM(B6:E6)</f>
        <v>3462.78</v>
      </c>
      <c r="H6" s="77"/>
      <c r="I6" s="77"/>
      <c r="J6" s="77"/>
      <c r="K6" s="81"/>
      <c r="L6" s="77"/>
      <c r="O6" s="75"/>
    </row>
    <row r="7" spans="1:16" ht="12.75">
      <c r="A7" s="65" t="s">
        <v>964</v>
      </c>
      <c r="B7" s="65">
        <v>3921.03</v>
      </c>
      <c r="C7" s="65">
        <v>4115.5</v>
      </c>
      <c r="F7" s="93"/>
      <c r="G7" s="121">
        <f>SUM(B7:E7)</f>
        <v>8036.5300000000007</v>
      </c>
      <c r="H7" s="77"/>
      <c r="I7" s="77"/>
      <c r="J7" s="77"/>
      <c r="K7" s="81"/>
      <c r="L7" s="77"/>
      <c r="O7" s="75"/>
    </row>
    <row r="8" spans="1:16">
      <c r="A8" s="456" t="s">
        <v>1262</v>
      </c>
      <c r="E8" s="65">
        <v>30250</v>
      </c>
      <c r="F8" s="93"/>
      <c r="G8" s="121">
        <f>SUM(B8:E8)</f>
        <v>30250</v>
      </c>
      <c r="H8" s="77"/>
      <c r="I8" s="77"/>
      <c r="J8" s="77"/>
      <c r="K8" s="81"/>
      <c r="P8" s="75"/>
    </row>
    <row r="9" spans="1:16" ht="13.5">
      <c r="A9" s="58"/>
      <c r="B9" s="62"/>
      <c r="C9" s="52"/>
      <c r="D9" s="52"/>
      <c r="E9" s="52"/>
      <c r="F9" s="261"/>
      <c r="G9" s="55"/>
      <c r="H9" s="52"/>
      <c r="I9" s="61" t="s">
        <v>34</v>
      </c>
      <c r="J9" s="90" t="s">
        <v>280</v>
      </c>
      <c r="M9" s="52"/>
    </row>
    <row r="10" spans="1:16" s="52" customFormat="1" ht="13.5">
      <c r="A10" s="58"/>
      <c r="B10" s="62"/>
      <c r="F10" s="261"/>
      <c r="G10" s="55" t="s">
        <v>234</v>
      </c>
      <c r="H10" s="52" t="s">
        <v>38</v>
      </c>
      <c r="I10" s="63" t="s">
        <v>37</v>
      </c>
      <c r="J10" s="91" t="s">
        <v>37</v>
      </c>
      <c r="K10" s="82"/>
    </row>
    <row r="11" spans="1:16" s="52" customFormat="1" ht="13.5">
      <c r="A11" s="58" t="s">
        <v>275</v>
      </c>
      <c r="B11" s="262">
        <f>G11</f>
        <v>1850</v>
      </c>
      <c r="D11" s="52" t="s">
        <v>277</v>
      </c>
      <c r="E11" s="52">
        <f>G11/B4</f>
        <v>4.4312109589356087E-2</v>
      </c>
      <c r="F11" s="261"/>
      <c r="G11" s="53">
        <f>Tithe!D16</f>
        <v>1850</v>
      </c>
      <c r="H11" s="52">
        <v>1200</v>
      </c>
      <c r="I11" s="64">
        <f>H11-G11</f>
        <v>-650</v>
      </c>
      <c r="J11" s="92">
        <f>Jan!I11+Feb!I11+Mar!I11+Apr!I11+May!I11+Jun!I11+July!I11+Aug!I11+Sep!I11+Oct!I11+Nov!I11</f>
        <v>2002.4899999999998</v>
      </c>
      <c r="K11" s="83"/>
    </row>
    <row r="12" spans="1:16" s="52" customFormat="1" ht="13.5">
      <c r="I12" s="64"/>
      <c r="J12" s="92"/>
      <c r="K12" s="84"/>
      <c r="L12" s="269" t="s">
        <v>493</v>
      </c>
    </row>
    <row r="13" spans="1:16" s="52" customFormat="1" ht="13.5">
      <c r="A13" s="58" t="s">
        <v>465</v>
      </c>
      <c r="B13" s="262">
        <f>SUM(G14:G20)</f>
        <v>0</v>
      </c>
      <c r="F13" s="261"/>
      <c r="G13" s="55"/>
      <c r="I13" s="64"/>
      <c r="J13" s="92"/>
      <c r="K13" s="84"/>
      <c r="L13" s="52" t="s">
        <v>1257</v>
      </c>
    </row>
    <row r="14" spans="1:16" s="52" customFormat="1" ht="13.5">
      <c r="B14" s="58" t="s">
        <v>385</v>
      </c>
      <c r="E14" s="52" t="s">
        <v>466</v>
      </c>
      <c r="F14" s="261"/>
      <c r="H14" s="52">
        <v>800</v>
      </c>
      <c r="I14" s="64">
        <f t="shared" ref="I14:I20" si="0">H14-G14</f>
        <v>800</v>
      </c>
      <c r="J14" s="92">
        <f>Jan!I14+Feb!I14+Mar!I14+Apr!I14+May!I14+Jun!I14+July!I14+Aug!I14+Sep!I14+Oct!I14+Nov!I14</f>
        <v>3726.58</v>
      </c>
      <c r="K14" s="84"/>
      <c r="L14" s="52" t="s">
        <v>1258</v>
      </c>
    </row>
    <row r="15" spans="1:16" s="52" customFormat="1" ht="13.5">
      <c r="B15" s="58" t="s">
        <v>261</v>
      </c>
      <c r="E15" s="52" t="s">
        <v>466</v>
      </c>
      <c r="F15" s="261"/>
      <c r="H15" s="52">
        <v>200</v>
      </c>
      <c r="I15" s="64">
        <f t="shared" si="0"/>
        <v>200</v>
      </c>
      <c r="J15" s="92">
        <f>Jan!I15+Feb!I15+Mar!I15+Apr!I15+May!I15+Jun!I15+July!I15+Aug!I15+Sep!I15+Oct!I15+Nov!I15</f>
        <v>2200</v>
      </c>
      <c r="K15" s="84"/>
      <c r="L15" s="52" t="s">
        <v>1259</v>
      </c>
    </row>
    <row r="16" spans="1:16" s="52" customFormat="1" ht="13.5">
      <c r="B16" s="58" t="s">
        <v>292</v>
      </c>
      <c r="E16" s="52" t="s">
        <v>466</v>
      </c>
      <c r="F16" s="261"/>
      <c r="H16" s="52">
        <v>300</v>
      </c>
      <c r="I16" s="64">
        <f t="shared" si="0"/>
        <v>300</v>
      </c>
      <c r="J16" s="92">
        <f>Jan!I16+Feb!I16+Mar!I16+Apr!I16+May!I16+Jun!I16+July!I16+Aug!I16+Sep!I16+Oct!I16+Nov!I16</f>
        <v>3300</v>
      </c>
      <c r="K16" s="84"/>
      <c r="L16" s="52" t="s">
        <v>1260</v>
      </c>
    </row>
    <row r="17" spans="1:13" s="52" customFormat="1" ht="13.5">
      <c r="B17" s="58" t="s">
        <v>464</v>
      </c>
      <c r="E17" s="52" t="s">
        <v>466</v>
      </c>
      <c r="F17" s="261"/>
      <c r="H17" s="52">
        <v>200</v>
      </c>
      <c r="I17" s="64">
        <f t="shared" si="0"/>
        <v>200</v>
      </c>
      <c r="J17" s="92">
        <f>Jan!I17+Feb!I17+Mar!I17+Apr!I17+May!I17+Jun!I17+July!I17+Aug!I17+Sep!I17+Oct!I17+Nov!I17</f>
        <v>2200</v>
      </c>
      <c r="K17" s="84"/>
      <c r="L17" s="52" t="s">
        <v>1268</v>
      </c>
    </row>
    <row r="18" spans="1:13" s="52" customFormat="1" ht="13.5">
      <c r="B18" s="58" t="s">
        <v>263</v>
      </c>
      <c r="E18" s="52" t="s">
        <v>467</v>
      </c>
      <c r="F18" s="261"/>
      <c r="H18" s="52">
        <v>50</v>
      </c>
      <c r="I18" s="64">
        <f t="shared" si="0"/>
        <v>50</v>
      </c>
      <c r="J18" s="92">
        <f>Jan!I18+Feb!I18+Mar!I18+Apr!I18+May!I18+Jun!I18+July!I18+Aug!I18+Sep!I18+Oct!I18+Nov!I18</f>
        <v>550</v>
      </c>
      <c r="K18" s="84"/>
      <c r="L18" s="52" t="s">
        <v>1269</v>
      </c>
    </row>
    <row r="19" spans="1:13" s="52" customFormat="1" ht="13.5">
      <c r="B19" s="58" t="s">
        <v>262</v>
      </c>
      <c r="E19" s="52" t="s">
        <v>467</v>
      </c>
      <c r="F19" s="261"/>
      <c r="H19" s="52">
        <v>200</v>
      </c>
      <c r="I19" s="64">
        <f t="shared" si="0"/>
        <v>200</v>
      </c>
      <c r="J19" s="92">
        <f>Jan!I19+Feb!I19+Mar!I19+Apr!I19+May!I19+Jun!I19+July!I19+Aug!I19+Sep!I19+Oct!I19+Nov!I19</f>
        <v>2200</v>
      </c>
      <c r="K19" s="84"/>
    </row>
    <row r="20" spans="1:13" s="52" customFormat="1" ht="13.5">
      <c r="B20" s="58" t="s">
        <v>293</v>
      </c>
      <c r="E20" s="52" t="s">
        <v>467</v>
      </c>
      <c r="H20" s="52">
        <v>300</v>
      </c>
      <c r="I20" s="64">
        <f t="shared" si="0"/>
        <v>300</v>
      </c>
      <c r="J20" s="92">
        <f>Jan!I20+Feb!I20+Mar!I20+Apr!I20+May!I20+Jun!I20+July!I20+Aug!I20+Sep!I20+Oct!I20+Nov!I20</f>
        <v>3300</v>
      </c>
      <c r="K20" s="84"/>
    </row>
    <row r="21" spans="1:13" s="52" customFormat="1" ht="13.5">
      <c r="A21" s="58"/>
      <c r="F21" s="261"/>
      <c r="I21" s="64"/>
      <c r="J21" s="92"/>
      <c r="K21" s="84"/>
      <c r="L21" s="58" t="s">
        <v>494</v>
      </c>
    </row>
    <row r="22" spans="1:13" s="52" customFormat="1" ht="13.5">
      <c r="A22" s="58" t="s">
        <v>278</v>
      </c>
      <c r="B22" s="263">
        <f>G22</f>
        <v>0</v>
      </c>
      <c r="F22" s="261"/>
      <c r="H22" s="52">
        <v>700</v>
      </c>
      <c r="I22" s="64">
        <f>H22-G22</f>
        <v>700</v>
      </c>
      <c r="J22" s="92">
        <f>Jan!I22+Feb!I22+Mar!I22+Apr!I22+May!I22+Jun!I22+July!I22+Aug!I22+Sep!I22+Oct!I22+Nov!I22</f>
        <v>-79200</v>
      </c>
      <c r="K22" s="84"/>
    </row>
    <row r="23" spans="1:13" s="52" customFormat="1" ht="13.5">
      <c r="A23" s="58" t="s">
        <v>416</v>
      </c>
      <c r="B23" s="62" t="s">
        <v>415</v>
      </c>
      <c r="E23" s="52" t="s">
        <v>467</v>
      </c>
      <c r="F23" s="261"/>
      <c r="G23" s="53"/>
      <c r="I23" s="64"/>
      <c r="J23" s="92"/>
      <c r="K23" s="84"/>
    </row>
    <row r="24" spans="1:13" s="52" customFormat="1" ht="13.5">
      <c r="A24" s="58" t="s">
        <v>279</v>
      </c>
      <c r="B24" s="262">
        <f>SUM(G25:G26)</f>
        <v>0</v>
      </c>
      <c r="F24" s="261"/>
      <c r="G24" s="53"/>
      <c r="I24" s="64"/>
      <c r="J24" s="92"/>
      <c r="K24" s="84"/>
    </row>
    <row r="25" spans="1:13" s="52" customFormat="1" ht="13.5">
      <c r="B25" s="58" t="s">
        <v>255</v>
      </c>
      <c r="E25" s="52" t="s">
        <v>467</v>
      </c>
      <c r="F25" s="261"/>
      <c r="G25" s="53">
        <v>0</v>
      </c>
      <c r="H25" s="52">
        <v>500</v>
      </c>
      <c r="I25" s="64">
        <f>H25-G25</f>
        <v>500</v>
      </c>
      <c r="J25" s="92">
        <f>Jan!I25+Feb!I25+Mar!I25+Apr!I25+May!I25+Jun!I25+July!I25+Aug!I25+Sep!I25+Oct!I25+Nov!I25</f>
        <v>5500</v>
      </c>
      <c r="K25" s="84"/>
    </row>
    <row r="26" spans="1:13" s="52" customFormat="1" ht="13.5">
      <c r="B26" s="58" t="s">
        <v>265</v>
      </c>
      <c r="E26" s="52" t="s">
        <v>466</v>
      </c>
      <c r="F26" s="261"/>
      <c r="G26" s="53">
        <v>0</v>
      </c>
      <c r="H26" s="52">
        <v>300</v>
      </c>
      <c r="I26" s="64">
        <f>H26-G26</f>
        <v>300</v>
      </c>
      <c r="J26" s="95">
        <f>Jan!I26+Feb!I26+Mar!I26+Apr!I26+May!I26+Jun!I26+July!I26+Aug!I26+Sep!I26+Oct!I26+Nov!I26</f>
        <v>3300</v>
      </c>
      <c r="K26" s="84"/>
    </row>
    <row r="27" spans="1:13" s="52" customFormat="1" ht="13.5">
      <c r="A27" s="58"/>
      <c r="F27" s="261"/>
      <c r="G27" s="66"/>
      <c r="H27" s="66"/>
      <c r="I27" s="68"/>
      <c r="J27" s="79"/>
      <c r="K27" s="79"/>
    </row>
    <row r="28" spans="1:13" s="52" customFormat="1" ht="14.25" thickBot="1">
      <c r="A28" s="58"/>
      <c r="B28" s="58"/>
      <c r="F28" s="261"/>
      <c r="G28" s="67">
        <f>SUM(G14:G26)</f>
        <v>0</v>
      </c>
      <c r="H28" s="67">
        <f>SUM(H11:H26)</f>
        <v>4750</v>
      </c>
      <c r="I28" s="67">
        <f>SUM(I11:I26)</f>
        <v>2900</v>
      </c>
      <c r="J28" s="67">
        <f>SUM(J11:J26)</f>
        <v>-50920.93</v>
      </c>
      <c r="K28" s="85"/>
    </row>
    <row r="29" spans="1:13" s="52" customFormat="1" ht="15" thickTop="1" thickBot="1">
      <c r="H29" s="56"/>
      <c r="I29" s="56"/>
      <c r="J29" s="56"/>
      <c r="K29" s="85"/>
      <c r="L29" s="58" t="s">
        <v>495</v>
      </c>
    </row>
    <row r="30" spans="1:13" s="52" customFormat="1" ht="14.25" thickBot="1">
      <c r="A30" s="58" t="s">
        <v>283</v>
      </c>
      <c r="B30" s="58"/>
      <c r="F30" s="261"/>
      <c r="G30" s="88"/>
      <c r="H30" s="56"/>
      <c r="I30" s="56"/>
      <c r="J30" s="56"/>
      <c r="K30" s="85"/>
      <c r="L30" s="52" t="s">
        <v>1251</v>
      </c>
      <c r="M30" s="52" t="s">
        <v>769</v>
      </c>
    </row>
    <row r="31" spans="1:13" s="52" customFormat="1" ht="12.75" customHeight="1">
      <c r="A31" s="99" t="s">
        <v>276</v>
      </c>
      <c r="B31" s="58"/>
      <c r="F31" s="261"/>
      <c r="G31" s="266">
        <f>B4-G11-G28+G30</f>
        <v>39899.31</v>
      </c>
      <c r="H31" s="56"/>
      <c r="I31" s="56"/>
      <c r="J31" s="56"/>
      <c r="K31" s="85"/>
      <c r="L31" s="56" t="s">
        <v>1252</v>
      </c>
      <c r="M31" s="52" t="s">
        <v>770</v>
      </c>
    </row>
    <row r="32" spans="1:13" s="52" customFormat="1" ht="13.5">
      <c r="A32" s="52" t="s">
        <v>478</v>
      </c>
      <c r="B32" s="99"/>
      <c r="C32" s="54"/>
      <c r="D32" s="54"/>
      <c r="E32" s="54"/>
      <c r="F32" s="265"/>
      <c r="G32" s="267">
        <f>G46</f>
        <v>9484.2800000000007</v>
      </c>
      <c r="H32" s="56" t="s">
        <v>1261</v>
      </c>
      <c r="I32" s="56"/>
      <c r="J32" s="56"/>
      <c r="K32" s="85"/>
      <c r="L32" s="56"/>
    </row>
    <row r="33" spans="1:15" s="52" customFormat="1" ht="13.5">
      <c r="A33" s="58" t="s">
        <v>558</v>
      </c>
      <c r="B33" s="58"/>
      <c r="F33" s="261"/>
      <c r="G33" s="78">
        <f>G31-G32-M42-N42</f>
        <v>30415.03</v>
      </c>
      <c r="H33" s="56"/>
      <c r="I33" s="56"/>
      <c r="J33" s="56"/>
      <c r="K33" s="85"/>
      <c r="L33" s="56"/>
    </row>
    <row r="34" spans="1:15" s="52" customFormat="1" ht="13.5">
      <c r="H34" s="56"/>
      <c r="I34" s="56"/>
      <c r="J34" s="56"/>
      <c r="K34" s="85"/>
      <c r="L34" s="56"/>
    </row>
    <row r="35" spans="1:15" s="52" customFormat="1" ht="13.5">
      <c r="A35" s="58" t="s">
        <v>469</v>
      </c>
      <c r="B35" s="58"/>
      <c r="E35" s="52">
        <f>B47</f>
        <v>4686.9800000000014</v>
      </c>
      <c r="F35" s="261"/>
      <c r="G35" s="128"/>
      <c r="H35" s="56"/>
      <c r="I35" s="56"/>
      <c r="J35" s="56"/>
      <c r="K35" s="85"/>
      <c r="L35" s="56"/>
    </row>
    <row r="36" spans="1:15" s="52" customFormat="1" ht="13.5">
      <c r="A36" s="58" t="s">
        <v>433</v>
      </c>
      <c r="B36" s="58"/>
      <c r="E36" s="52">
        <f>B76</f>
        <v>1873.0800000000002</v>
      </c>
      <c r="F36" s="261"/>
      <c r="G36" s="78"/>
      <c r="H36" s="56"/>
      <c r="I36" s="56"/>
      <c r="J36" s="56"/>
      <c r="K36" s="85"/>
      <c r="L36" s="56"/>
    </row>
    <row r="37" spans="1:15" s="52" customFormat="1" ht="13.5">
      <c r="A37" s="58"/>
      <c r="B37" s="58" t="s">
        <v>470</v>
      </c>
      <c r="D37" s="52">
        <f>B101+B110</f>
        <v>57.88</v>
      </c>
      <c r="F37" s="261"/>
      <c r="G37" s="78"/>
      <c r="H37" s="56"/>
      <c r="I37" s="56"/>
      <c r="J37" s="56"/>
      <c r="K37" s="85"/>
      <c r="L37" s="56"/>
      <c r="M37" s="52">
        <f>M40-M41</f>
        <v>0</v>
      </c>
    </row>
    <row r="38" spans="1:15" s="52" customFormat="1" ht="14.25" thickBot="1">
      <c r="A38" s="58"/>
      <c r="B38" s="58" t="s">
        <v>471</v>
      </c>
      <c r="D38" s="52">
        <f>B90</f>
        <v>0</v>
      </c>
      <c r="F38" s="261"/>
      <c r="G38" s="78"/>
      <c r="H38" s="56"/>
      <c r="I38" s="56"/>
      <c r="J38" s="56"/>
      <c r="K38" s="85"/>
      <c r="L38" s="56"/>
    </row>
    <row r="39" spans="1:15" s="52" customFormat="1" ht="14.25" thickBot="1">
      <c r="A39" s="58"/>
      <c r="B39" s="58" t="s">
        <v>472</v>
      </c>
      <c r="D39" s="52">
        <f>B96</f>
        <v>0</v>
      </c>
      <c r="F39" s="261"/>
      <c r="G39" s="89"/>
      <c r="H39" s="56"/>
      <c r="I39" s="56"/>
      <c r="J39" s="56"/>
      <c r="K39" s="85"/>
      <c r="L39" s="56"/>
    </row>
    <row r="40" spans="1:15" s="52" customFormat="1" ht="13.5">
      <c r="A40" s="58"/>
      <c r="B40" s="58" t="s">
        <v>473</v>
      </c>
      <c r="D40" s="52">
        <f>B115</f>
        <v>0</v>
      </c>
      <c r="F40" s="261"/>
      <c r="G40" s="98"/>
      <c r="H40" s="56"/>
      <c r="I40" s="56"/>
      <c r="J40" s="56"/>
      <c r="K40" s="85"/>
      <c r="L40" s="56"/>
      <c r="M40" s="52">
        <v>3857.53</v>
      </c>
      <c r="N40" s="52">
        <v>555.05999999999995</v>
      </c>
    </row>
    <row r="41" spans="1:15" s="52" customFormat="1" ht="13.5">
      <c r="A41" s="99"/>
      <c r="B41" s="58" t="s">
        <v>474</v>
      </c>
      <c r="D41" s="52">
        <f>B120</f>
        <v>0</v>
      </c>
      <c r="F41" s="261"/>
      <c r="G41" s="98"/>
      <c r="H41" s="56"/>
      <c r="I41" s="56"/>
      <c r="J41" s="56"/>
      <c r="K41" s="85"/>
      <c r="L41" s="56"/>
      <c r="M41" s="52">
        <f>M46+M44+M43+M42</f>
        <v>3857.5299999999997</v>
      </c>
      <c r="N41" s="52">
        <f>N46+N44+N43+N42</f>
        <v>555.06000000000006</v>
      </c>
      <c r="O41" s="52">
        <f>O46+O44+O43+O42</f>
        <v>0</v>
      </c>
    </row>
    <row r="42" spans="1:15" s="52" customFormat="1" ht="13.5">
      <c r="B42" s="58" t="s">
        <v>475</v>
      </c>
      <c r="C42" s="59"/>
      <c r="D42" s="59">
        <f>B138</f>
        <v>0</v>
      </c>
      <c r="F42" s="261"/>
      <c r="G42" s="98"/>
      <c r="H42" s="56"/>
      <c r="I42" s="56"/>
      <c r="J42" s="56"/>
      <c r="K42" s="85"/>
      <c r="L42" s="52" t="s">
        <v>324</v>
      </c>
    </row>
    <row r="43" spans="1:15" s="52" customFormat="1" ht="13.5">
      <c r="B43" s="58" t="s">
        <v>476</v>
      </c>
      <c r="D43" s="52">
        <f>B125+B141+B146+B149</f>
        <v>1267.18</v>
      </c>
      <c r="F43" s="261"/>
      <c r="I43" s="61"/>
      <c r="J43" s="90" t="s">
        <v>280</v>
      </c>
      <c r="K43" s="82"/>
    </row>
    <row r="44" spans="1:15" s="52" customFormat="1" ht="13.5">
      <c r="A44" s="58" t="s">
        <v>477</v>
      </c>
      <c r="E44" s="52">
        <f>B155</f>
        <v>2924.22</v>
      </c>
      <c r="F44" s="261"/>
      <c r="G44" s="55"/>
      <c r="I44" s="61" t="s">
        <v>34</v>
      </c>
      <c r="J44" s="90" t="s">
        <v>281</v>
      </c>
      <c r="K44" s="82"/>
      <c r="L44" s="52" t="s">
        <v>1064</v>
      </c>
      <c r="M44" s="52">
        <v>100</v>
      </c>
    </row>
    <row r="45" spans="1:15" s="52" customFormat="1" ht="13.5">
      <c r="A45" s="58"/>
      <c r="F45" s="261"/>
      <c r="G45" s="55" t="s">
        <v>234</v>
      </c>
      <c r="H45" s="52" t="s">
        <v>38</v>
      </c>
      <c r="I45" s="63" t="s">
        <v>37</v>
      </c>
      <c r="J45" s="91" t="s">
        <v>282</v>
      </c>
      <c r="K45" s="83"/>
      <c r="L45" s="391" t="s">
        <v>235</v>
      </c>
      <c r="M45" s="392" t="s">
        <v>497</v>
      </c>
      <c r="N45" s="392" t="s">
        <v>805</v>
      </c>
      <c r="O45" s="392" t="s">
        <v>806</v>
      </c>
    </row>
    <row r="46" spans="1:15" s="52" customFormat="1" ht="14.25" thickBot="1">
      <c r="D46"/>
      <c r="E46" s="264"/>
      <c r="F46" s="261"/>
      <c r="G46" s="94">
        <f>SUM(G48:G170)</f>
        <v>9484.2800000000007</v>
      </c>
      <c r="H46" s="94">
        <f>SUM(H48:H170)</f>
        <v>14050</v>
      </c>
      <c r="I46" s="94">
        <f>H46-G46</f>
        <v>4565.7199999999993</v>
      </c>
      <c r="J46" s="94">
        <f>SUM(J48:J170)</f>
        <v>-360875.27999999991</v>
      </c>
      <c r="K46" s="86"/>
      <c r="L46" s="393">
        <f>SUM(L49:L170)</f>
        <v>5171.6900000000005</v>
      </c>
      <c r="M46" s="394">
        <f>SUM(M49:M170)</f>
        <v>3757.5299999999997</v>
      </c>
      <c r="N46" s="395">
        <f>SUM(N49:N170)</f>
        <v>555.06000000000006</v>
      </c>
      <c r="O46" s="395">
        <f>SUM(O49:O170)</f>
        <v>0</v>
      </c>
    </row>
    <row r="47" spans="1:15" s="52" customFormat="1" ht="14.25" thickBot="1">
      <c r="A47" s="99" t="s">
        <v>434</v>
      </c>
      <c r="B47" s="259">
        <f>B48+B61+B65</f>
        <v>4686.9800000000014</v>
      </c>
      <c r="C47" s="259">
        <f>C48+C61+C65</f>
        <v>1344</v>
      </c>
      <c r="D47" s="88">
        <f>D48+D61+D65</f>
        <v>-3342.9800000000014</v>
      </c>
      <c r="I47" s="61"/>
      <c r="J47" s="90"/>
      <c r="K47" s="82"/>
      <c r="L47" s="396"/>
      <c r="M47" s="397"/>
      <c r="N47" s="397"/>
      <c r="O47" s="398"/>
    </row>
    <row r="48" spans="1:15" s="52" customFormat="1" ht="13.5">
      <c r="A48" s="58" t="s">
        <v>419</v>
      </c>
      <c r="B48" s="58">
        <f>SUM(G49:G57)</f>
        <v>5131.9500000000007</v>
      </c>
      <c r="C48" s="58">
        <f>SUM(H49:H57)</f>
        <v>864</v>
      </c>
      <c r="D48" s="58">
        <f>SUM(I49:I57)</f>
        <v>-4267.9500000000007</v>
      </c>
      <c r="I48" s="61"/>
      <c r="J48" s="90"/>
      <c r="K48" s="82"/>
      <c r="L48" s="396"/>
      <c r="M48" s="397"/>
      <c r="N48" s="397"/>
      <c r="O48" s="398"/>
    </row>
    <row r="49" spans="1:15" s="52" customFormat="1" ht="13.5">
      <c r="B49" s="52" t="s">
        <v>327</v>
      </c>
      <c r="G49" s="52">
        <f>SUM(L49:O49)</f>
        <v>0</v>
      </c>
      <c r="H49" s="52">
        <v>0</v>
      </c>
      <c r="I49" s="61">
        <f t="shared" ref="I49:I57" si="1">H49-G49</f>
        <v>0</v>
      </c>
      <c r="J49" s="90">
        <f>Jan!I49+Feb!I49+Mar!I49+Apr!I49+May!I49+Jun!I49+July!I49+Aug!I49+Sep!I49+Oct!I49+Nov!I49</f>
        <v>0</v>
      </c>
      <c r="K49" s="82"/>
      <c r="L49" s="396"/>
      <c r="M49" s="397"/>
      <c r="N49" s="397"/>
      <c r="O49" s="398"/>
    </row>
    <row r="50" spans="1:15" s="52" customFormat="1" ht="13.5">
      <c r="A50" s="58"/>
      <c r="B50" s="52" t="s">
        <v>421</v>
      </c>
      <c r="G50" s="52">
        <f t="shared" ref="G50:G113" si="2">SUM(L50:O50)</f>
        <v>0</v>
      </c>
      <c r="H50" s="52">
        <v>100</v>
      </c>
      <c r="I50" s="61">
        <f t="shared" si="1"/>
        <v>100</v>
      </c>
      <c r="J50" s="90">
        <f>Jan!I50+Feb!I50+Mar!I50+Apr!I50+May!I50+Jun!I50+July!I50+Aug!I50+Sep!I50+Oct!I50+Nov!I50</f>
        <v>-409.63000000000011</v>
      </c>
      <c r="K50" s="82"/>
      <c r="L50" s="396"/>
      <c r="M50" s="397"/>
      <c r="N50" s="397"/>
      <c r="O50" s="398"/>
    </row>
    <row r="51" spans="1:15" s="52" customFormat="1" ht="13.5">
      <c r="A51" s="58"/>
      <c r="B51" s="52" t="s">
        <v>422</v>
      </c>
      <c r="G51" s="52">
        <f t="shared" si="2"/>
        <v>0</v>
      </c>
      <c r="H51" s="52">
        <v>100</v>
      </c>
      <c r="I51" s="61">
        <f t="shared" si="1"/>
        <v>100</v>
      </c>
      <c r="J51" s="90">
        <f>Jan!I51+Feb!I51+Mar!I51+Apr!I51+May!I51+Jun!I51+July!I51+Aug!I51+Sep!I51+Oct!I51+Nov!I51</f>
        <v>-225</v>
      </c>
      <c r="K51" s="82"/>
      <c r="L51" s="396"/>
      <c r="M51" s="397"/>
      <c r="N51" s="397"/>
      <c r="O51" s="398"/>
    </row>
    <row r="52" spans="1:15" s="52" customFormat="1" ht="13.5">
      <c r="A52" s="58"/>
      <c r="B52" s="52" t="s">
        <v>420</v>
      </c>
      <c r="G52" s="52">
        <f t="shared" si="2"/>
        <v>0</v>
      </c>
      <c r="H52" s="52">
        <v>100</v>
      </c>
      <c r="I52" s="61">
        <f t="shared" si="1"/>
        <v>100</v>
      </c>
      <c r="J52" s="90">
        <f>Jan!I52+Feb!I52+Mar!I52+Apr!I52+May!I52+Jun!I52+July!I52+Aug!I52+Sep!I52+Oct!I52+Nov!I52</f>
        <v>1100</v>
      </c>
      <c r="K52" s="82"/>
      <c r="L52" s="396"/>
      <c r="M52" s="397"/>
      <c r="N52" s="397"/>
      <c r="O52" s="398"/>
    </row>
    <row r="53" spans="1:15" s="52" customFormat="1" ht="13.5">
      <c r="A53" s="58"/>
      <c r="B53" s="52" t="s">
        <v>463</v>
      </c>
      <c r="G53" s="52">
        <f t="shared" si="2"/>
        <v>564</v>
      </c>
      <c r="H53" s="52">
        <v>564</v>
      </c>
      <c r="I53" s="61">
        <f t="shared" si="1"/>
        <v>0</v>
      </c>
      <c r="J53" s="90">
        <f>Jan!I53+Feb!I53+Mar!I53+Apr!I53+May!I53+Jun!I53+July!I53+Aug!I53+Sep!I53+Oct!I53+Nov!I53</f>
        <v>-1402.8400000000001</v>
      </c>
      <c r="K53" s="82"/>
      <c r="L53" s="396">
        <v>564</v>
      </c>
      <c r="M53" s="397"/>
      <c r="N53" s="397"/>
      <c r="O53" s="398"/>
    </row>
    <row r="54" spans="1:15" s="52" customFormat="1" ht="13.5">
      <c r="A54" s="58"/>
      <c r="B54" s="52" t="s">
        <v>429</v>
      </c>
      <c r="G54" s="52">
        <f t="shared" si="2"/>
        <v>0</v>
      </c>
      <c r="H54" s="52">
        <v>60</v>
      </c>
      <c r="I54" s="61">
        <f t="shared" si="1"/>
        <v>60</v>
      </c>
      <c r="J54" s="90">
        <f>Jan!I54+Feb!I54+Mar!I54+Apr!I54+May!I54+Jun!I54+July!I54+Aug!I54+Sep!I54+Oct!I54+Nov!I54</f>
        <v>32</v>
      </c>
      <c r="K54" s="82"/>
      <c r="L54" s="396"/>
      <c r="M54" s="397"/>
      <c r="N54" s="397"/>
      <c r="O54" s="398"/>
    </row>
    <row r="55" spans="1:15" s="52" customFormat="1" ht="13.5">
      <c r="A55" s="58"/>
      <c r="B55" s="52" t="s">
        <v>328</v>
      </c>
      <c r="G55" s="52">
        <f t="shared" si="2"/>
        <v>6636.68</v>
      </c>
      <c r="H55" s="52">
        <f>1636.68+50.81</f>
        <v>1687.49</v>
      </c>
      <c r="I55" s="61">
        <f t="shared" si="1"/>
        <v>-4949.1900000000005</v>
      </c>
      <c r="J55" s="90">
        <f>Jan!I55+Feb!I55+Mar!I55+Apr!I55+May!I55+Jun!I55+July!I55+Aug!I55+Sep!I55+Oct!I55+Nov!I55</f>
        <v>-4670.9700000000012</v>
      </c>
      <c r="K55" s="82"/>
      <c r="L55" s="398">
        <f>1636.68+5000</f>
        <v>6636.68</v>
      </c>
      <c r="M55" s="397"/>
      <c r="N55" s="397"/>
      <c r="O55" s="398"/>
    </row>
    <row r="56" spans="1:15" s="52" customFormat="1" ht="13.5">
      <c r="A56" s="58"/>
      <c r="B56" s="52" t="s">
        <v>384</v>
      </c>
      <c r="G56" s="52">
        <f t="shared" si="2"/>
        <v>431.27</v>
      </c>
      <c r="H56" s="52">
        <v>312.51</v>
      </c>
      <c r="I56" s="61">
        <f t="shared" si="1"/>
        <v>-118.75999999999999</v>
      </c>
      <c r="J56" s="90">
        <f>Jan!I56+Feb!I56+Mar!I56+Apr!I56+May!I56+Jun!I56+July!I56+Aug!I56+Sep!I56+Oct!I56+Nov!I56</f>
        <v>-804.68000000000006</v>
      </c>
      <c r="K56" s="82"/>
      <c r="L56" s="398">
        <v>431.27</v>
      </c>
      <c r="M56" s="397"/>
      <c r="N56" s="397"/>
      <c r="O56" s="398"/>
    </row>
    <row r="57" spans="1:15" s="52" customFormat="1" ht="13.5">
      <c r="A57" s="58"/>
      <c r="B57" s="52" t="s">
        <v>350</v>
      </c>
      <c r="G57" s="52">
        <f t="shared" si="2"/>
        <v>-2500</v>
      </c>
      <c r="H57" s="52">
        <v>-2060</v>
      </c>
      <c r="I57" s="61">
        <f t="shared" si="1"/>
        <v>440</v>
      </c>
      <c r="J57" s="90">
        <f>Jan!I57+Feb!I57+Mar!I57+Apr!I57+May!I57+Jun!I57+July!I57+Aug!I57+Sep!I57+Oct!I57+Nov!I57</f>
        <v>2200</v>
      </c>
      <c r="K57" s="82"/>
      <c r="L57" s="398">
        <v>-2500</v>
      </c>
      <c r="M57" s="397"/>
      <c r="N57" s="397"/>
      <c r="O57" s="398"/>
    </row>
    <row r="58" spans="1:15" s="52" customFormat="1" ht="13.5">
      <c r="A58" s="58" t="s">
        <v>715</v>
      </c>
      <c r="B58" s="52" t="s">
        <v>716</v>
      </c>
      <c r="I58" s="61"/>
      <c r="J58" s="90">
        <f>Jan!I58+Feb!I58+Mar!I58+Apr!I58+May!I58+Jun!I58+July!I58+Aug!I58+Sep!I58+Oct!I58+Nov!I58</f>
        <v>0</v>
      </c>
      <c r="K58" s="82"/>
      <c r="L58" s="398"/>
      <c r="M58" s="397"/>
      <c r="N58" s="397"/>
      <c r="O58" s="398"/>
    </row>
    <row r="59" spans="1:15" s="52" customFormat="1" ht="13.5">
      <c r="A59" s="58"/>
      <c r="B59" s="52" t="s">
        <v>421</v>
      </c>
      <c r="I59" s="61"/>
      <c r="J59" s="90">
        <f>Jan!I59+Feb!I59+Mar!I59+Apr!I59+May!I59+Jun!I59+July!I59+Aug!I59+Sep!I59+Oct!I59+Nov!I59</f>
        <v>0</v>
      </c>
      <c r="K59" s="82"/>
      <c r="L59" s="398"/>
      <c r="M59" s="397"/>
      <c r="N59" s="397"/>
      <c r="O59" s="398"/>
    </row>
    <row r="60" spans="1:15" s="52" customFormat="1" ht="13.5">
      <c r="A60" s="58" t="s">
        <v>427</v>
      </c>
      <c r="I60" s="61"/>
      <c r="J60" s="90">
        <f>Jan!I60+Feb!I60+Mar!I60+Apr!I60+May!I60+Jun!I60+July!I60+Aug!I60+Sep!I60+Oct!I60+Nov!I60</f>
        <v>0</v>
      </c>
      <c r="K60" s="82"/>
      <c r="L60" s="398"/>
      <c r="M60" s="397"/>
      <c r="N60" s="397"/>
      <c r="O60" s="398"/>
    </row>
    <row r="61" spans="1:15" s="52" customFormat="1" ht="13.5">
      <c r="A61" s="58"/>
      <c r="B61" s="58">
        <f>SUM(G62:G63)</f>
        <v>106.35</v>
      </c>
      <c r="C61" s="58">
        <f>SUM(H62:H63)</f>
        <v>170</v>
      </c>
      <c r="D61" s="58">
        <f>C61-B61</f>
        <v>63.650000000000006</v>
      </c>
      <c r="I61" s="61"/>
      <c r="J61" s="90">
        <f>Jan!I61+Feb!I61+Mar!I61+Apr!I61+May!I61+Jun!I61+July!I61+Aug!I61+Sep!I61+Oct!I61+Nov!I61</f>
        <v>0</v>
      </c>
      <c r="K61" s="82"/>
      <c r="L61" s="398"/>
      <c r="M61" s="397"/>
      <c r="N61" s="397"/>
      <c r="O61" s="398"/>
    </row>
    <row r="62" spans="1:15" s="52" customFormat="1" ht="13.5">
      <c r="A62" s="58"/>
      <c r="B62" s="52" t="s">
        <v>431</v>
      </c>
      <c r="G62" s="52">
        <f t="shared" si="2"/>
        <v>0</v>
      </c>
      <c r="H62" s="52">
        <v>70</v>
      </c>
      <c r="I62" s="61">
        <f t="shared" ref="I62:I131" si="3">H62-G62</f>
        <v>70</v>
      </c>
      <c r="J62" s="90">
        <f>Jan!I62+Feb!I62+Mar!I62+Apr!I62+May!I62+Jun!I62+July!I62+Aug!I62+Sep!I62+Oct!I62+Nov!I62</f>
        <v>376.54999999999995</v>
      </c>
      <c r="K62" s="82"/>
      <c r="L62" s="398"/>
      <c r="M62" s="397"/>
      <c r="N62" s="397"/>
      <c r="O62" s="398"/>
    </row>
    <row r="63" spans="1:15" s="52" customFormat="1" ht="13.5">
      <c r="A63" s="58"/>
      <c r="B63" s="52" t="s">
        <v>432</v>
      </c>
      <c r="D63" s="65"/>
      <c r="G63" s="52">
        <f t="shared" si="2"/>
        <v>106.35</v>
      </c>
      <c r="H63" s="52">
        <v>100</v>
      </c>
      <c r="I63" s="61">
        <f t="shared" si="3"/>
        <v>-6.3499999999999943</v>
      </c>
      <c r="J63" s="90">
        <f>Jan!I63+Feb!I63+Mar!I63+Apr!I63+May!I63+Jun!I63+July!I63+Aug!I63+Sep!I63+Oct!I63+Nov!I63</f>
        <v>-1.4999999999999858</v>
      </c>
      <c r="K63" s="82"/>
      <c r="L63" s="398"/>
      <c r="M63" s="397">
        <v>106.35</v>
      </c>
      <c r="N63" s="397"/>
      <c r="O63" s="398"/>
    </row>
    <row r="64" spans="1:15" s="52" customFormat="1" ht="13.5">
      <c r="A64" s="58"/>
      <c r="I64" s="61"/>
      <c r="J64" s="90">
        <f>Jan!I64+Feb!I64+Mar!I64+Apr!I64+May!I64+Jun!I64+July!I64+Aug!I64+Sep!I64+Oct!I64+Nov!I64</f>
        <v>0</v>
      </c>
      <c r="K64" s="82"/>
      <c r="L64" s="398"/>
      <c r="M64" s="397"/>
      <c r="N64" s="397"/>
      <c r="O64" s="398"/>
    </row>
    <row r="65" spans="1:17" s="52" customFormat="1" ht="13.5">
      <c r="A65" s="58" t="s">
        <v>428</v>
      </c>
      <c r="B65" s="58">
        <f>SUM(G66:G74)</f>
        <v>-551.31999999999994</v>
      </c>
      <c r="C65" s="58">
        <f>SUM(H66:H74)</f>
        <v>310</v>
      </c>
      <c r="D65" s="58">
        <f>C65-B65</f>
        <v>861.31999999999994</v>
      </c>
      <c r="I65" s="61"/>
      <c r="J65" s="90">
        <f>Jan!I65+Feb!I65+Mar!I65+Apr!I65+May!I65+Jun!I65+July!I65+Aug!I65+Sep!I65+Oct!I65+Nov!I65</f>
        <v>0</v>
      </c>
      <c r="K65" s="82"/>
      <c r="L65" s="398"/>
      <c r="M65" s="397"/>
      <c r="N65" s="397"/>
      <c r="O65" s="398"/>
    </row>
    <row r="66" spans="1:17" s="52" customFormat="1" ht="13.5">
      <c r="B66" s="52" t="s">
        <v>55</v>
      </c>
      <c r="G66" s="52">
        <f t="shared" si="2"/>
        <v>-539.9</v>
      </c>
      <c r="H66" s="52">
        <v>60</v>
      </c>
      <c r="I66" s="61">
        <f t="shared" si="3"/>
        <v>599.9</v>
      </c>
      <c r="J66" s="90">
        <f>Jan!I66+Feb!I66+Mar!I66+Apr!I66+May!I66+Jun!I66+July!I66+Aug!I66+Sep!I66+Oct!I66+Nov!I66</f>
        <v>1909.4299999999998</v>
      </c>
      <c r="K66" s="82"/>
      <c r="L66" s="398">
        <f>-200-362.9</f>
        <v>-562.9</v>
      </c>
      <c r="M66" s="397">
        <f>23</f>
        <v>23</v>
      </c>
      <c r="N66" s="397"/>
      <c r="O66" s="398"/>
      <c r="Q66" s="52" t="s">
        <v>1263</v>
      </c>
    </row>
    <row r="67" spans="1:17" s="52" customFormat="1" ht="13.5">
      <c r="B67" s="52" t="s">
        <v>56</v>
      </c>
      <c r="D67" s="52" t="s">
        <v>57</v>
      </c>
      <c r="G67" s="52">
        <f t="shared" si="2"/>
        <v>-60.99</v>
      </c>
      <c r="H67" s="52">
        <v>140</v>
      </c>
      <c r="I67" s="61">
        <f t="shared" si="3"/>
        <v>200.99</v>
      </c>
      <c r="J67" s="90">
        <f>Jan!I67+Feb!I67+Mar!I67+Apr!I67+May!I67+Jun!I67+July!I67+Aug!I67+Sep!I67+Oct!I67+Nov!I67</f>
        <v>839.74</v>
      </c>
      <c r="K67" s="82"/>
      <c r="L67" s="398"/>
      <c r="M67" s="397">
        <f>-10.99-50</f>
        <v>-60.99</v>
      </c>
      <c r="N67" s="397"/>
      <c r="O67" s="398"/>
      <c r="Q67" s="52" t="s">
        <v>1271</v>
      </c>
    </row>
    <row r="68" spans="1:17" s="52" customFormat="1" ht="13.5">
      <c r="I68" s="61"/>
      <c r="J68" s="90">
        <f>Jan!I68+Feb!I68+Mar!I68+Apr!I68+May!I68+Jun!I68+July!I68+Aug!I68+Sep!I68+Oct!I68+Nov!I68</f>
        <v>0</v>
      </c>
      <c r="K68" s="82"/>
      <c r="L68" s="398"/>
      <c r="M68" s="397"/>
      <c r="N68" s="397"/>
      <c r="O68" s="398"/>
    </row>
    <row r="69" spans="1:17" s="52" customFormat="1" ht="13.5">
      <c r="A69" s="58" t="s">
        <v>423</v>
      </c>
      <c r="I69" s="61"/>
      <c r="J69" s="90">
        <f>Jan!I69+Feb!I69+Mar!I69+Apr!I69+May!I69+Jun!I69+July!I69+Aug!I69+Sep!I69+Oct!I69+Nov!I69</f>
        <v>0</v>
      </c>
      <c r="K69" s="82"/>
      <c r="L69" s="398"/>
      <c r="M69" s="397"/>
      <c r="N69" s="397"/>
      <c r="O69" s="398"/>
    </row>
    <row r="70" spans="1:17" s="52" customFormat="1" ht="13.5">
      <c r="B70" s="52" t="s">
        <v>424</v>
      </c>
      <c r="G70" s="52">
        <f t="shared" si="2"/>
        <v>0</v>
      </c>
      <c r="H70" s="52">
        <v>25</v>
      </c>
      <c r="I70" s="61">
        <f t="shared" si="3"/>
        <v>25</v>
      </c>
      <c r="J70" s="90">
        <f>Jan!I70+Feb!I70+Mar!I70+Apr!I70+May!I70+Jun!I70+July!I70+Aug!I70+Sep!I70+Oct!I70+Nov!I70</f>
        <v>167.32999999999998</v>
      </c>
      <c r="K70" s="82"/>
      <c r="L70" s="398"/>
      <c r="M70" s="397"/>
      <c r="N70" s="397"/>
      <c r="O70" s="398"/>
    </row>
    <row r="71" spans="1:17" s="52" customFormat="1" ht="13.5">
      <c r="A71" s="58"/>
      <c r="B71" s="52" t="s">
        <v>425</v>
      </c>
      <c r="G71" s="52">
        <f t="shared" si="2"/>
        <v>0</v>
      </c>
      <c r="H71" s="52">
        <v>30</v>
      </c>
      <c r="I71" s="61">
        <f t="shared" si="3"/>
        <v>30</v>
      </c>
      <c r="J71" s="90">
        <f>Jan!I71+Feb!I71+Mar!I71+Apr!I71+May!I71+Jun!I71+July!I71+Aug!I71+Sep!I71+Oct!I71+Nov!I71</f>
        <v>220.51</v>
      </c>
      <c r="K71" s="82"/>
      <c r="L71" s="398"/>
      <c r="M71" s="397"/>
      <c r="N71" s="397"/>
      <c r="O71" s="398"/>
    </row>
    <row r="72" spans="1:17" s="52" customFormat="1" ht="13.5">
      <c r="A72" s="58"/>
      <c r="B72" s="52" t="s">
        <v>430</v>
      </c>
      <c r="G72" s="52">
        <f t="shared" si="2"/>
        <v>0</v>
      </c>
      <c r="H72" s="52">
        <v>20</v>
      </c>
      <c r="I72" s="61">
        <f t="shared" si="3"/>
        <v>20</v>
      </c>
      <c r="J72" s="90">
        <f>Jan!I72+Feb!I72+Mar!I72+Apr!I72+May!I72+Jun!I72+July!I72+Aug!I72+Sep!I72+Oct!I72+Nov!I72</f>
        <v>39.090000000000003</v>
      </c>
      <c r="K72" s="82"/>
      <c r="L72" s="398"/>
      <c r="M72" s="397"/>
      <c r="N72" s="397"/>
      <c r="O72" s="398"/>
    </row>
    <row r="73" spans="1:17" s="52" customFormat="1" ht="13.5">
      <c r="A73" s="58"/>
      <c r="I73" s="61"/>
      <c r="J73" s="90">
        <f>Jan!I73+Feb!I73+Mar!I73+Apr!I73+May!I73+Jun!I73+July!I73+Aug!I73+Sep!I73+Oct!I73+Nov!I73</f>
        <v>0</v>
      </c>
      <c r="K73" s="82"/>
      <c r="L73" s="398"/>
      <c r="M73" s="397"/>
      <c r="N73" s="397"/>
      <c r="O73" s="398"/>
    </row>
    <row r="74" spans="1:17" s="52" customFormat="1" ht="13.5">
      <c r="A74" s="58" t="s">
        <v>426</v>
      </c>
      <c r="B74" s="52" t="s">
        <v>58</v>
      </c>
      <c r="G74" s="52">
        <f t="shared" si="2"/>
        <v>49.57</v>
      </c>
      <c r="H74" s="52">
        <v>35</v>
      </c>
      <c r="I74" s="61">
        <f t="shared" si="3"/>
        <v>-14.57</v>
      </c>
      <c r="J74" s="90">
        <f>Jan!I74+Feb!I74+Mar!I74+Apr!I74+May!I74+Jun!I74+July!I74+Aug!I74+Sep!I74+Oct!I74+Nov!I74</f>
        <v>-471.03000000000003</v>
      </c>
      <c r="K74" s="82"/>
      <c r="L74" s="398"/>
      <c r="M74" s="397">
        <f>2.15+3.99+2.15+1.75+4.99+1.75+2.76+3.2+11.88+3.2+2.15+2.82+6.78</f>
        <v>49.57</v>
      </c>
      <c r="N74" s="397"/>
      <c r="O74" s="398"/>
    </row>
    <row r="75" spans="1:17" s="52" customFormat="1" ht="14.25" thickBot="1">
      <c r="A75" s="58"/>
      <c r="I75" s="61"/>
      <c r="J75" s="90"/>
      <c r="K75" s="82"/>
      <c r="L75" s="398"/>
      <c r="M75" s="397"/>
      <c r="N75" s="397"/>
      <c r="O75" s="398"/>
    </row>
    <row r="76" spans="1:17" s="52" customFormat="1" ht="14.25" thickBot="1">
      <c r="A76" s="99" t="s">
        <v>433</v>
      </c>
      <c r="B76" s="140">
        <f>B78+B90+B96+B101+B110+B115+B120+B125+B138+B141+B146+B149</f>
        <v>1873.0800000000002</v>
      </c>
      <c r="C76" s="140">
        <f>C78+C90+C96+C101+C110+C115+C120+C125+C138+C141+C146+C149</f>
        <v>5711</v>
      </c>
      <c r="D76" s="140">
        <f>D78+D90+D96+D101+D110+D115+D120+D125+D138+D141+D146+D149</f>
        <v>4385.9399999999996</v>
      </c>
      <c r="I76" s="61"/>
      <c r="J76" s="90"/>
      <c r="K76" s="82"/>
      <c r="L76" s="398"/>
      <c r="M76" s="397"/>
      <c r="N76" s="397"/>
      <c r="O76" s="398"/>
    </row>
    <row r="77" spans="1:17" s="52" customFormat="1" ht="13.5">
      <c r="A77" s="99"/>
      <c r="B77" s="380"/>
      <c r="C77" s="380"/>
      <c r="D77" s="380"/>
      <c r="I77" s="61"/>
      <c r="J77" s="90"/>
      <c r="K77" s="82"/>
      <c r="L77" s="398"/>
      <c r="M77" s="397"/>
      <c r="N77" s="397"/>
      <c r="O77" s="398"/>
    </row>
    <row r="78" spans="1:17" s="52" customFormat="1" ht="13.5">
      <c r="A78" s="58" t="s">
        <v>715</v>
      </c>
      <c r="B78" s="380">
        <f>SUM(G79:G88)</f>
        <v>548.02</v>
      </c>
      <c r="C78" s="58">
        <f>SUM(H79:H80)</f>
        <v>2500</v>
      </c>
      <c r="D78" s="58">
        <f>SUM(I79:I80)</f>
        <v>2500</v>
      </c>
      <c r="I78" s="61"/>
      <c r="J78" s="90"/>
      <c r="K78" s="82"/>
      <c r="L78" s="398"/>
      <c r="M78" s="397"/>
      <c r="N78" s="397"/>
      <c r="O78" s="398"/>
    </row>
    <row r="79" spans="1:17" s="52" customFormat="1" ht="13.5">
      <c r="B79" s="52" t="s">
        <v>798</v>
      </c>
      <c r="G79" s="52">
        <f t="shared" si="2"/>
        <v>0</v>
      </c>
      <c r="H79" s="52">
        <v>2500</v>
      </c>
      <c r="I79" s="61">
        <f t="shared" si="3"/>
        <v>2500</v>
      </c>
      <c r="J79" s="90">
        <f>Jan!I79+Feb!I79+Mar!I79+Apr!I79+May!I79+Jun!I79+July!I79+Aug!I79+Sep!I79+Oct!I79+Nov!I79</f>
        <v>2772.8999999999996</v>
      </c>
      <c r="K79" s="82"/>
      <c r="L79" s="398"/>
      <c r="M79" s="397"/>
      <c r="N79" s="397"/>
      <c r="O79" s="398"/>
    </row>
    <row r="80" spans="1:17" s="52" customFormat="1" ht="13.5">
      <c r="A80" s="58"/>
      <c r="B80" s="52" t="s">
        <v>801</v>
      </c>
      <c r="G80" s="52">
        <f t="shared" si="2"/>
        <v>0</v>
      </c>
      <c r="H80" s="52">
        <v>0</v>
      </c>
      <c r="I80" s="61">
        <f t="shared" si="3"/>
        <v>0</v>
      </c>
      <c r="J80" s="90">
        <f>Jan!I80+Feb!I80+Mar!I80+Apr!I80+May!I80+Jun!I80+July!I80+Aug!I80+Sep!I80+Oct!I80+Nov!I80</f>
        <v>-322980.62</v>
      </c>
      <c r="K80" s="82"/>
      <c r="L80" s="398"/>
      <c r="M80" s="397"/>
      <c r="N80" s="397"/>
      <c r="O80" s="398"/>
    </row>
    <row r="81" spans="1:17" s="52" customFormat="1" ht="13.5">
      <c r="B81" s="52" t="s">
        <v>421</v>
      </c>
      <c r="G81" s="52">
        <f t="shared" si="2"/>
        <v>154.35</v>
      </c>
      <c r="H81" s="52">
        <v>5000</v>
      </c>
      <c r="I81" s="61">
        <f t="shared" si="3"/>
        <v>4845.6499999999996</v>
      </c>
      <c r="J81" s="90">
        <f>Jan!I81+Feb!I81+Mar!I81+Apr!I81+May!I81+Jun!I81+July!I81+Aug!I81+Sep!I81+Oct!I81+Nov!I81</f>
        <v>-48702.450000000012</v>
      </c>
      <c r="K81" s="82"/>
      <c r="L81" s="398"/>
      <c r="M81" s="397">
        <f>56.85+97.5</f>
        <v>154.35</v>
      </c>
      <c r="N81" s="397"/>
      <c r="O81" s="398"/>
      <c r="Q81" s="52" t="s">
        <v>1270</v>
      </c>
    </row>
    <row r="82" spans="1:17" s="52" customFormat="1" ht="13.5">
      <c r="B82" s="52" t="s">
        <v>888</v>
      </c>
      <c r="G82" s="52">
        <f t="shared" si="2"/>
        <v>0</v>
      </c>
      <c r="H82" s="52">
        <v>1000</v>
      </c>
      <c r="I82" s="61">
        <f t="shared" si="3"/>
        <v>1000</v>
      </c>
      <c r="J82" s="90">
        <f>Jan!I82+Feb!I82+Mar!I82+Apr!I82+May!I82+Jun!I82+July!I82+Aug!I82+Sep!I82+Oct!I82+Nov!I82</f>
        <v>377.25</v>
      </c>
      <c r="K82" s="82"/>
      <c r="L82" s="398"/>
      <c r="M82" s="397"/>
      <c r="N82" s="397"/>
      <c r="O82" s="398"/>
    </row>
    <row r="83" spans="1:17" s="52" customFormat="1" ht="13.5">
      <c r="B83" s="52" t="s">
        <v>889</v>
      </c>
      <c r="G83" s="52">
        <f t="shared" si="2"/>
        <v>57.29</v>
      </c>
      <c r="H83" s="52">
        <v>50</v>
      </c>
      <c r="I83" s="61">
        <f t="shared" si="3"/>
        <v>-7.2899999999999991</v>
      </c>
      <c r="J83" s="90">
        <f>Jan!I83+Feb!I83+Mar!I83+Apr!I83+May!I83+Jun!I83+July!I83+Aug!I83+Sep!I83+Oct!I83+Nov!I83</f>
        <v>7.7600000000000122</v>
      </c>
      <c r="K83" s="82"/>
      <c r="L83" s="398"/>
      <c r="M83" s="397">
        <f>57.29</f>
        <v>57.29</v>
      </c>
      <c r="N83" s="397"/>
      <c r="O83" s="398"/>
      <c r="Q83" s="52" t="s">
        <v>1249</v>
      </c>
    </row>
    <row r="84" spans="1:17" s="52" customFormat="1" ht="13.5">
      <c r="B84" s="52" t="s">
        <v>26</v>
      </c>
      <c r="G84" s="52">
        <f t="shared" si="2"/>
        <v>91.23</v>
      </c>
      <c r="H84" s="52">
        <v>100</v>
      </c>
      <c r="I84" s="61">
        <f t="shared" si="3"/>
        <v>8.769999999999996</v>
      </c>
      <c r="J84" s="90">
        <f>Jan!I84+Feb!I84+Mar!I84+Apr!I84+May!I84+Jun!I84+July!I84+Aug!I84+Sep!I84+Oct!I84+Nov!I84</f>
        <v>229.86</v>
      </c>
      <c r="K84" s="82"/>
      <c r="L84" s="398">
        <v>91.23</v>
      </c>
      <c r="M84" s="397"/>
      <c r="N84" s="397"/>
      <c r="O84" s="398"/>
    </row>
    <row r="85" spans="1:17" s="52" customFormat="1" ht="13.5">
      <c r="B85" s="52" t="s">
        <v>799</v>
      </c>
      <c r="C85" s="52" t="s">
        <v>824</v>
      </c>
      <c r="D85" s="52" t="s">
        <v>1043</v>
      </c>
      <c r="G85" s="52">
        <f t="shared" si="2"/>
        <v>31.2</v>
      </c>
      <c r="H85" s="52">
        <v>70</v>
      </c>
      <c r="I85" s="61">
        <f t="shared" si="3"/>
        <v>38.799999999999997</v>
      </c>
      <c r="J85" s="90">
        <f>Jan!I85+Feb!I85+Mar!I85+Apr!I85+May!I85+Jun!I85+July!I85+Aug!I85+Sep!I85+Oct!I85+Nov!I85</f>
        <v>-84.870000000000061</v>
      </c>
      <c r="K85" s="82"/>
      <c r="L85" s="398">
        <v>31.2</v>
      </c>
      <c r="M85" s="397"/>
      <c r="N85" s="397"/>
      <c r="O85" s="398"/>
    </row>
    <row r="86" spans="1:17" s="52" customFormat="1" ht="13.5">
      <c r="B86" s="52" t="s">
        <v>799</v>
      </c>
      <c r="C86" s="52" t="s">
        <v>824</v>
      </c>
      <c r="D86" s="52" t="s">
        <v>1044</v>
      </c>
      <c r="G86" s="52">
        <f t="shared" si="2"/>
        <v>27.7</v>
      </c>
      <c r="H86" s="52">
        <v>25</v>
      </c>
      <c r="I86" s="61">
        <f t="shared" si="3"/>
        <v>-2.6999999999999993</v>
      </c>
      <c r="J86" s="90">
        <f>Jan!I86+Feb!I86+Mar!I86+Apr!I86+May!I86+Jun!I86+July!I86+Aug!I86+Sep!I86+Oct!I86+Nov!I86</f>
        <v>35.149999999999991</v>
      </c>
      <c r="K86" s="82"/>
      <c r="L86" s="398">
        <v>27.7</v>
      </c>
      <c r="M86" s="397"/>
      <c r="N86" s="397"/>
      <c r="O86" s="398"/>
    </row>
    <row r="87" spans="1:17" s="52" customFormat="1" ht="13.5">
      <c r="B87" s="52" t="s">
        <v>800</v>
      </c>
      <c r="G87" s="52">
        <f t="shared" si="2"/>
        <v>52.51</v>
      </c>
      <c r="H87" s="52">
        <v>40</v>
      </c>
      <c r="I87" s="61">
        <f t="shared" si="3"/>
        <v>-12.509999999999998</v>
      </c>
      <c r="J87" s="90">
        <f>Jan!I87+Feb!I87+Mar!I87+Apr!I87+May!I87+Jun!I87+July!I87+Aug!I87+Sep!I87+Oct!I87+Nov!I87</f>
        <v>-244.46999999999997</v>
      </c>
      <c r="K87" s="82"/>
      <c r="L87" s="398">
        <v>52.51</v>
      </c>
      <c r="M87" s="397"/>
      <c r="N87" s="397"/>
      <c r="O87" s="398"/>
    </row>
    <row r="88" spans="1:17" s="52" customFormat="1" ht="13.5">
      <c r="B88" s="52" t="s">
        <v>802</v>
      </c>
      <c r="C88" s="52" t="s">
        <v>1090</v>
      </c>
      <c r="G88" s="52">
        <f t="shared" si="2"/>
        <v>133.74</v>
      </c>
      <c r="H88" s="52">
        <v>100</v>
      </c>
      <c r="I88" s="61">
        <f t="shared" si="3"/>
        <v>-33.740000000000009</v>
      </c>
      <c r="J88" s="90">
        <f>Jan!I88+Feb!I88+Mar!I88+Apr!I88+May!I88+Jun!I88+July!I88+Aug!I88+Sep!I88+Oct!I88+Nov!I88</f>
        <v>486.14</v>
      </c>
      <c r="K88" s="82"/>
      <c r="L88" s="398"/>
      <c r="M88" s="397">
        <v>133.74</v>
      </c>
      <c r="N88" s="397"/>
      <c r="O88" s="398"/>
    </row>
    <row r="89" spans="1:17" s="52" customFormat="1" ht="13.5">
      <c r="I89" s="61"/>
      <c r="J89" s="90"/>
      <c r="K89" s="82"/>
      <c r="L89" s="398"/>
      <c r="M89" s="397"/>
      <c r="N89" s="397"/>
      <c r="O89" s="398"/>
    </row>
    <row r="90" spans="1:17" s="52" customFormat="1" ht="13.5">
      <c r="A90" s="58" t="s">
        <v>39</v>
      </c>
      <c r="B90" s="58">
        <f>SUM(G91:G94)</f>
        <v>0</v>
      </c>
      <c r="C90" s="58">
        <f>SUM(H91:H94)</f>
        <v>360</v>
      </c>
      <c r="D90" s="58">
        <f>C90-B90</f>
        <v>360</v>
      </c>
      <c r="I90" s="61"/>
      <c r="J90" s="90"/>
      <c r="K90" s="82"/>
      <c r="L90" s="398"/>
      <c r="M90" s="397"/>
      <c r="N90" s="397"/>
      <c r="O90" s="398"/>
    </row>
    <row r="91" spans="1:17" s="52" customFormat="1" ht="13.5">
      <c r="B91" s="52" t="s">
        <v>26</v>
      </c>
      <c r="C91" s="52" t="s">
        <v>27</v>
      </c>
      <c r="G91" s="52">
        <f t="shared" si="2"/>
        <v>0</v>
      </c>
      <c r="H91" s="52">
        <v>100</v>
      </c>
      <c r="I91" s="61">
        <f t="shared" si="3"/>
        <v>100</v>
      </c>
      <c r="J91" s="90">
        <f>Jan!I91+Feb!I91+Mar!I91+Apr!I91+May!I91+Jun!I91+July!I91+Aug!I91+Sep!I91+Oct!I91+Nov!I91</f>
        <v>456.54000000000008</v>
      </c>
      <c r="K91" s="82"/>
      <c r="L91" s="398"/>
      <c r="M91" s="397"/>
      <c r="N91" s="397"/>
      <c r="O91" s="398"/>
    </row>
    <row r="92" spans="1:17" s="52" customFormat="1" ht="13.5">
      <c r="B92" s="52" t="s">
        <v>28</v>
      </c>
      <c r="C92" s="52" t="s">
        <v>29</v>
      </c>
      <c r="G92" s="52">
        <f t="shared" si="2"/>
        <v>0</v>
      </c>
      <c r="H92" s="52">
        <v>40</v>
      </c>
      <c r="I92" s="61">
        <f t="shared" si="3"/>
        <v>40</v>
      </c>
      <c r="J92" s="90">
        <f>Jan!I92+Feb!I92+Mar!I92+Apr!I92+May!I92+Jun!I92+July!I92+Aug!I92+Sep!I92+Oct!I92+Nov!I92</f>
        <v>285.67</v>
      </c>
      <c r="K92" s="82"/>
      <c r="L92" s="398"/>
      <c r="M92" s="397"/>
      <c r="N92" s="397"/>
      <c r="O92" s="398"/>
    </row>
    <row r="93" spans="1:17" s="52" customFormat="1" ht="13.5">
      <c r="B93" s="52" t="s">
        <v>40</v>
      </c>
      <c r="C93" s="52" t="s">
        <v>41</v>
      </c>
      <c r="D93" s="52" t="s">
        <v>321</v>
      </c>
      <c r="G93" s="52">
        <f t="shared" si="2"/>
        <v>0</v>
      </c>
      <c r="H93" s="52">
        <v>100</v>
      </c>
      <c r="I93" s="61">
        <f t="shared" si="3"/>
        <v>100</v>
      </c>
      <c r="J93" s="90">
        <f>Jan!I93+Feb!I93+Mar!I93+Apr!I93+May!I93+Jun!I93+July!I93+Aug!I93+Sep!I93+Oct!I93+Nov!I93</f>
        <v>1100</v>
      </c>
      <c r="K93" s="82"/>
      <c r="L93" s="398"/>
      <c r="M93" s="397"/>
      <c r="N93" s="397"/>
      <c r="O93" s="398"/>
    </row>
    <row r="94" spans="1:17" s="52" customFormat="1" ht="13.5">
      <c r="B94" s="52" t="s">
        <v>42</v>
      </c>
      <c r="C94" s="52" t="s">
        <v>43</v>
      </c>
      <c r="D94" s="52" t="s">
        <v>435</v>
      </c>
      <c r="G94" s="52">
        <f t="shared" si="2"/>
        <v>0</v>
      </c>
      <c r="H94" s="52">
        <v>120</v>
      </c>
      <c r="I94" s="61">
        <f t="shared" si="3"/>
        <v>120</v>
      </c>
      <c r="J94" s="90">
        <f>Jan!I94+Feb!I94+Mar!I94+Apr!I94+May!I94+Jun!I94+July!I94+Aug!I94+Sep!I94+Oct!I94+Nov!I94</f>
        <v>1826.4199999999998</v>
      </c>
      <c r="K94" s="82"/>
      <c r="L94" s="398"/>
      <c r="M94" s="397"/>
      <c r="N94" s="397"/>
      <c r="O94" s="398"/>
    </row>
    <row r="95" spans="1:17" s="52" customFormat="1" ht="13.5">
      <c r="I95" s="61"/>
      <c r="J95" s="90">
        <f>Jan!I95+Feb!I95+Mar!I95+Apr!I95+May!I95+Jun!I95+July!I95+Aug!I95+Sep!I95+Oct!I95+Nov!I95</f>
        <v>0</v>
      </c>
      <c r="K95" s="82"/>
      <c r="L95" s="398"/>
      <c r="M95" s="397"/>
      <c r="N95" s="397"/>
      <c r="O95" s="398"/>
    </row>
    <row r="96" spans="1:17" s="52" customFormat="1" ht="13.5">
      <c r="A96" s="58" t="s">
        <v>45</v>
      </c>
      <c r="B96" s="58">
        <f>SUM(G97:G99)</f>
        <v>0</v>
      </c>
      <c r="C96" s="58">
        <f>SUM(H97:H99)</f>
        <v>173</v>
      </c>
      <c r="D96" s="58">
        <f>C96-B96</f>
        <v>173</v>
      </c>
      <c r="I96" s="61"/>
      <c r="J96" s="90">
        <f>Jan!I96+Feb!I96+Mar!I96+Apr!I96+May!I96+Jun!I96+July!I96+Aug!I96+Sep!I96+Oct!I96+Nov!I96</f>
        <v>0</v>
      </c>
      <c r="K96" s="82"/>
      <c r="L96" s="398"/>
      <c r="M96" s="397"/>
      <c r="N96" s="397"/>
      <c r="O96" s="398"/>
    </row>
    <row r="97" spans="1:17" s="52" customFormat="1" ht="13.5">
      <c r="B97" s="52" t="s">
        <v>46</v>
      </c>
      <c r="D97" s="52" t="s">
        <v>437</v>
      </c>
      <c r="G97" s="52">
        <f t="shared" si="2"/>
        <v>0</v>
      </c>
      <c r="H97" s="52">
        <v>65</v>
      </c>
      <c r="I97" s="61">
        <f t="shared" si="3"/>
        <v>65</v>
      </c>
      <c r="J97" s="90">
        <f>Jan!I97+Feb!I97+Mar!I97+Apr!I97+May!I97+Jun!I97+July!I97+Aug!I97+Sep!I97+Oct!I97+Nov!I97</f>
        <v>-15</v>
      </c>
      <c r="K97" s="82"/>
      <c r="L97" s="398"/>
      <c r="M97" s="397"/>
      <c r="N97" s="397"/>
      <c r="O97" s="398"/>
    </row>
    <row r="98" spans="1:17" s="52" customFormat="1" ht="13.5">
      <c r="B98" s="52" t="s">
        <v>47</v>
      </c>
      <c r="D98" s="52" t="s">
        <v>436</v>
      </c>
      <c r="G98" s="52">
        <f t="shared" si="2"/>
        <v>0</v>
      </c>
      <c r="H98" s="52">
        <v>72</v>
      </c>
      <c r="I98" s="61">
        <f t="shared" si="3"/>
        <v>72</v>
      </c>
      <c r="J98" s="90">
        <f>Jan!I98+Feb!I98+Mar!I98+Apr!I98+May!I98+Jun!I98+July!I98+Aug!I98+Sep!I98+Oct!I98+Nov!I98</f>
        <v>-66</v>
      </c>
      <c r="K98" s="82"/>
      <c r="L98" s="398"/>
      <c r="M98" s="397"/>
      <c r="N98" s="397"/>
      <c r="O98" s="398"/>
    </row>
    <row r="99" spans="1:17" s="52" customFormat="1" ht="13.5">
      <c r="B99" s="52" t="s">
        <v>48</v>
      </c>
      <c r="D99" s="52" t="s">
        <v>445</v>
      </c>
      <c r="G99" s="52">
        <f t="shared" si="2"/>
        <v>0</v>
      </c>
      <c r="H99" s="52">
        <v>36</v>
      </c>
      <c r="I99" s="61">
        <f t="shared" si="3"/>
        <v>36</v>
      </c>
      <c r="J99" s="90">
        <f>Jan!I99+Feb!I99+Mar!I99+Apr!I99+May!I99+Jun!I99+July!I99+Aug!I99+Sep!I99+Oct!I99+Nov!I99</f>
        <v>-36.819999999999993</v>
      </c>
      <c r="K99" s="82"/>
      <c r="L99" s="398"/>
      <c r="M99" s="397"/>
      <c r="N99" s="397"/>
      <c r="O99" s="398"/>
    </row>
    <row r="100" spans="1:17" s="52" customFormat="1" ht="13.5">
      <c r="I100" s="61"/>
      <c r="J100" s="90">
        <f>Jan!I100+Feb!I100+Mar!I100+Apr!I100+May!I100+Jun!I100+July!I100+Aug!I100+Sep!I100+Oct!I100+Nov!I100</f>
        <v>0</v>
      </c>
      <c r="K100" s="82"/>
      <c r="L100" s="398"/>
      <c r="M100" s="397"/>
      <c r="N100" s="397"/>
      <c r="O100" s="398"/>
    </row>
    <row r="101" spans="1:17" s="52" customFormat="1" ht="13.5">
      <c r="A101" s="58" t="s">
        <v>49</v>
      </c>
      <c r="B101" s="58">
        <f>SUM(G102:G108)</f>
        <v>0</v>
      </c>
      <c r="C101" s="58">
        <f>SUM(H102:H108)</f>
        <v>178</v>
      </c>
      <c r="D101" s="58">
        <f>C101-B101</f>
        <v>178</v>
      </c>
      <c r="I101" s="61"/>
      <c r="J101" s="90">
        <f>Jan!I101+Feb!I101+Mar!I101+Apr!I101+May!I101+Jun!I101+July!I101+Aug!I101+Sep!I101+Oct!I101+Nov!I101</f>
        <v>0</v>
      </c>
      <c r="K101" s="82"/>
      <c r="L101" s="398"/>
      <c r="M101" s="397"/>
      <c r="N101" s="397"/>
      <c r="O101" s="398"/>
    </row>
    <row r="102" spans="1:17" s="52" customFormat="1" ht="13.5">
      <c r="B102" s="52" t="s">
        <v>438</v>
      </c>
      <c r="G102" s="52">
        <f t="shared" si="2"/>
        <v>0</v>
      </c>
      <c r="H102" s="52">
        <v>20</v>
      </c>
      <c r="I102" s="61">
        <f t="shared" si="3"/>
        <v>20</v>
      </c>
      <c r="J102" s="90">
        <f>Jan!I102+Feb!I102+Mar!I102+Apr!I102+May!I102+Jun!I102+July!I102+Aug!I102+Sep!I102+Oct!I102+Nov!I102</f>
        <v>-3290.5199999999995</v>
      </c>
      <c r="K102" s="82"/>
      <c r="L102" s="398"/>
      <c r="M102" s="397"/>
      <c r="N102" s="397"/>
      <c r="O102" s="398"/>
    </row>
    <row r="103" spans="1:17" s="52" customFormat="1" ht="13.5">
      <c r="B103" s="52" t="s">
        <v>439</v>
      </c>
      <c r="G103" s="52">
        <f t="shared" si="2"/>
        <v>0</v>
      </c>
      <c r="H103" s="52">
        <v>5</v>
      </c>
      <c r="I103" s="61">
        <f t="shared" si="3"/>
        <v>5</v>
      </c>
      <c r="J103" s="90">
        <f>Jan!I103+Feb!I103+Mar!I103+Apr!I103+May!I103+Jun!I103+July!I103+Aug!I103+Sep!I103+Oct!I103+Nov!I103</f>
        <v>-66.95</v>
      </c>
      <c r="K103" s="82"/>
      <c r="L103" s="398"/>
      <c r="M103" s="397"/>
      <c r="N103" s="397"/>
      <c r="O103" s="398"/>
    </row>
    <row r="104" spans="1:17" s="52" customFormat="1" ht="13.5">
      <c r="B104" s="52" t="s">
        <v>303</v>
      </c>
      <c r="G104" s="52">
        <f t="shared" si="2"/>
        <v>0</v>
      </c>
      <c r="H104" s="52">
        <v>65</v>
      </c>
      <c r="I104" s="61">
        <f t="shared" si="3"/>
        <v>65</v>
      </c>
      <c r="J104" s="90">
        <f>Jan!I104+Feb!I104+Mar!I104+Apr!I104+May!I104+Jun!I104+July!I104+Aug!I104+Sep!I104+Oct!I104+Nov!I104</f>
        <v>-144.83000000000004</v>
      </c>
      <c r="K104" s="82"/>
      <c r="L104" s="398"/>
      <c r="M104" s="397"/>
      <c r="N104" s="397"/>
      <c r="O104" s="398"/>
    </row>
    <row r="105" spans="1:17" s="52" customFormat="1" ht="13.5">
      <c r="B105" s="52" t="s">
        <v>259</v>
      </c>
      <c r="G105" s="52">
        <f t="shared" si="2"/>
        <v>0</v>
      </c>
      <c r="H105" s="52">
        <v>15</v>
      </c>
      <c r="I105" s="61">
        <f t="shared" si="3"/>
        <v>15</v>
      </c>
      <c r="J105" s="90">
        <f>Jan!I105+Feb!I105+Mar!I105+Apr!I105+May!I105+Jun!I105+July!I105+Aug!I105+Sep!I105+Oct!I105+Nov!I105</f>
        <v>165</v>
      </c>
      <c r="K105" s="82"/>
      <c r="L105" s="398"/>
      <c r="M105" s="397"/>
      <c r="N105" s="397"/>
      <c r="O105" s="398"/>
    </row>
    <row r="106" spans="1:17" s="52" customFormat="1" ht="13.5">
      <c r="B106" s="52" t="s">
        <v>299</v>
      </c>
      <c r="G106" s="52">
        <f t="shared" si="2"/>
        <v>0</v>
      </c>
      <c r="H106" s="52">
        <v>35</v>
      </c>
      <c r="I106" s="61">
        <f t="shared" si="3"/>
        <v>35</v>
      </c>
      <c r="J106" s="90">
        <f>Jan!I106+Feb!I106+Mar!I106+Apr!I106+May!I106+Jun!I106+July!I106+Aug!I106+Sep!I106+Oct!I106+Nov!I106</f>
        <v>-1167.71</v>
      </c>
      <c r="K106" s="82"/>
      <c r="L106" s="398"/>
      <c r="M106" s="397"/>
      <c r="N106" s="397"/>
      <c r="O106" s="398"/>
    </row>
    <row r="107" spans="1:17" s="52" customFormat="1" ht="13.5">
      <c r="B107" s="52" t="s">
        <v>440</v>
      </c>
      <c r="G107" s="52">
        <f t="shared" si="2"/>
        <v>0</v>
      </c>
      <c r="H107" s="52">
        <v>26</v>
      </c>
      <c r="I107" s="61">
        <f t="shared" si="3"/>
        <v>26</v>
      </c>
      <c r="J107" s="90">
        <f>Jan!I107+Feb!I107+Mar!I107+Apr!I107+May!I107+Jun!I107+July!I107+Aug!I107+Sep!I107+Oct!I107+Nov!I107</f>
        <v>15</v>
      </c>
      <c r="K107" s="82"/>
      <c r="L107" s="398"/>
      <c r="M107" s="397"/>
      <c r="N107" s="397"/>
      <c r="O107" s="398"/>
    </row>
    <row r="108" spans="1:17" s="52" customFormat="1" ht="13.5">
      <c r="B108" s="52" t="s">
        <v>441</v>
      </c>
      <c r="G108" s="52">
        <f t="shared" si="2"/>
        <v>0</v>
      </c>
      <c r="H108" s="52">
        <v>12</v>
      </c>
      <c r="I108" s="61">
        <f t="shared" si="3"/>
        <v>12</v>
      </c>
      <c r="J108" s="90">
        <f>Jan!I108+Feb!I108+Mar!I108+Apr!I108+May!I108+Jun!I108+July!I108+Aug!I108+Sep!I108+Oct!I108+Nov!I108</f>
        <v>-13.990000000000009</v>
      </c>
      <c r="K108" s="82"/>
      <c r="L108" s="398"/>
      <c r="M108" s="397"/>
      <c r="N108" s="397"/>
      <c r="O108" s="398"/>
    </row>
    <row r="109" spans="1:17" s="52" customFormat="1" ht="13.5">
      <c r="I109" s="61"/>
      <c r="J109" s="90">
        <f>Jan!I109+Feb!I109+Mar!I109+Apr!I109+May!I109+Jun!I109+July!I109+Aug!I109+Sep!I109+Oct!I109+Nov!I109</f>
        <v>0</v>
      </c>
      <c r="K109" s="82"/>
      <c r="L109" s="398"/>
      <c r="M109" s="397"/>
      <c r="N109" s="397"/>
      <c r="O109" s="398"/>
    </row>
    <row r="110" spans="1:17" s="52" customFormat="1" ht="13.5">
      <c r="A110" s="58" t="s">
        <v>236</v>
      </c>
      <c r="B110" s="58">
        <f>SUM(G111:G113)</f>
        <v>57.88</v>
      </c>
      <c r="C110" s="58">
        <f>SUM(H111:H113)</f>
        <v>470</v>
      </c>
      <c r="D110" s="58">
        <f>C110-B110</f>
        <v>412.12</v>
      </c>
      <c r="I110" s="61"/>
      <c r="J110" s="90">
        <f>Jan!I110+Feb!I110+Mar!I110+Apr!I110+May!I110+Jun!I110+July!I110+Aug!I110+Sep!I110+Oct!I110+Nov!I110</f>
        <v>0</v>
      </c>
      <c r="K110" s="82"/>
      <c r="L110" s="398"/>
      <c r="M110" s="397"/>
      <c r="N110" s="397"/>
      <c r="O110" s="398"/>
    </row>
    <row r="111" spans="1:17" s="52" customFormat="1" ht="13.5">
      <c r="B111" s="52" t="s">
        <v>482</v>
      </c>
      <c r="G111" s="52">
        <f t="shared" si="2"/>
        <v>0</v>
      </c>
      <c r="H111" s="52">
        <v>60</v>
      </c>
      <c r="I111" s="61">
        <f t="shared" si="3"/>
        <v>60</v>
      </c>
      <c r="J111" s="90">
        <f>Jan!I111+Feb!I111+Mar!I111+Apr!I111+May!I111+Jun!I111+July!I111+Aug!I111+Sep!I111+Oct!I111+Nov!I111</f>
        <v>650.05999999999995</v>
      </c>
      <c r="K111" s="82"/>
      <c r="L111" s="398"/>
      <c r="M111" s="397"/>
      <c r="N111" s="397"/>
      <c r="O111" s="398"/>
    </row>
    <row r="112" spans="1:17" s="52" customFormat="1" ht="13.5">
      <c r="B112" s="52" t="s">
        <v>442</v>
      </c>
      <c r="G112" s="52">
        <f t="shared" si="2"/>
        <v>57.88</v>
      </c>
      <c r="H112" s="52">
        <v>400</v>
      </c>
      <c r="I112" s="61">
        <f t="shared" si="3"/>
        <v>342.12</v>
      </c>
      <c r="J112" s="90">
        <f>Jan!I112+Feb!I112+Mar!I112+Apr!I112+May!I112+Jun!I112+July!I112+Aug!I112+Sep!I112+Oct!I112+Nov!I112</f>
        <v>3779.8299999999995</v>
      </c>
      <c r="K112" s="82"/>
      <c r="L112" s="398"/>
      <c r="M112" s="397">
        <f>57.88</f>
        <v>57.88</v>
      </c>
      <c r="N112" s="397"/>
      <c r="O112" s="398"/>
      <c r="Q112" s="52" t="s">
        <v>1256</v>
      </c>
    </row>
    <row r="113" spans="1:17" s="52" customFormat="1" ht="13.5">
      <c r="B113" s="52" t="s">
        <v>258</v>
      </c>
      <c r="G113" s="52">
        <f t="shared" si="2"/>
        <v>0</v>
      </c>
      <c r="H113" s="52">
        <v>10</v>
      </c>
      <c r="I113" s="61">
        <f t="shared" si="3"/>
        <v>10</v>
      </c>
      <c r="J113" s="90">
        <f>Jan!I113+Feb!I113+Mar!I113+Apr!I113+May!I113+Jun!I113+July!I113+Aug!I113+Sep!I113+Oct!I113+Nov!I113</f>
        <v>87.48</v>
      </c>
      <c r="K113" s="82"/>
      <c r="L113" s="398"/>
      <c r="M113" s="397"/>
      <c r="N113" s="397"/>
      <c r="O113" s="398"/>
    </row>
    <row r="114" spans="1:17" s="52" customFormat="1" ht="13.5">
      <c r="I114" s="61"/>
      <c r="J114" s="90">
        <f>Jan!I114+Feb!I114+Mar!I114+Apr!I114+May!I114+Jun!I114+July!I114+Aug!I114+Sep!I114+Oct!I114+Nov!I114</f>
        <v>0</v>
      </c>
      <c r="K114" s="82"/>
      <c r="L114" s="398"/>
      <c r="M114" s="397"/>
      <c r="N114" s="397"/>
      <c r="O114" s="398"/>
    </row>
    <row r="115" spans="1:17" s="52" customFormat="1" ht="13.5">
      <c r="A115" s="58" t="s">
        <v>53</v>
      </c>
      <c r="B115" s="58">
        <f>SUM(G116:G118)</f>
        <v>0</v>
      </c>
      <c r="C115" s="58">
        <f>SUM(H116:H118)</f>
        <v>245</v>
      </c>
      <c r="D115" s="58">
        <f>C115-B115</f>
        <v>245</v>
      </c>
      <c r="I115" s="61"/>
      <c r="J115" s="90">
        <f>Jan!I115+Feb!I115+Mar!I115+Apr!I115+May!I115+Jun!I115+July!I115+Aug!I115+Sep!I115+Oct!I115+Nov!I115</f>
        <v>0</v>
      </c>
      <c r="K115" s="82"/>
      <c r="L115" s="398"/>
      <c r="M115" s="397"/>
      <c r="N115" s="397"/>
      <c r="O115" s="398"/>
    </row>
    <row r="116" spans="1:17" s="52" customFormat="1" ht="13.5">
      <c r="B116" s="52" t="s">
        <v>443</v>
      </c>
      <c r="G116" s="52">
        <f t="shared" ref="G116:G170" si="4">SUM(L116:O116)</f>
        <v>0</v>
      </c>
      <c r="H116" s="52">
        <v>90</v>
      </c>
      <c r="I116" s="61">
        <f t="shared" si="3"/>
        <v>90</v>
      </c>
      <c r="J116" s="90">
        <f>Jan!I116+Feb!I116+Mar!I116+Apr!I116+May!I116+Jun!I116+July!I116+Aug!I116+Sep!I116+Oct!I116+Nov!I116</f>
        <v>-1848.3500000000004</v>
      </c>
      <c r="K116" s="82"/>
      <c r="L116" s="398"/>
      <c r="M116" s="397"/>
      <c r="N116" s="397"/>
      <c r="O116" s="398"/>
    </row>
    <row r="117" spans="1:17" s="52" customFormat="1" ht="13.5">
      <c r="B117" s="52" t="s">
        <v>54</v>
      </c>
      <c r="G117" s="52">
        <f t="shared" si="4"/>
        <v>0</v>
      </c>
      <c r="H117" s="52">
        <v>25</v>
      </c>
      <c r="I117" s="61">
        <f t="shared" si="3"/>
        <v>25</v>
      </c>
      <c r="J117" s="90">
        <f>Jan!I117+Feb!I117+Mar!I117+Apr!I117+May!I117+Jun!I117+July!I117+Aug!I117+Sep!I117+Oct!I117+Nov!I117</f>
        <v>41.599999999999994</v>
      </c>
      <c r="K117" s="82"/>
      <c r="L117" s="398"/>
      <c r="M117" s="397"/>
      <c r="N117" s="397"/>
      <c r="O117" s="398"/>
    </row>
    <row r="118" spans="1:17" s="52" customFormat="1" ht="13.5">
      <c r="B118" s="54" t="s">
        <v>444</v>
      </c>
      <c r="G118" s="52">
        <f t="shared" si="4"/>
        <v>0</v>
      </c>
      <c r="H118" s="52">
        <v>130</v>
      </c>
      <c r="I118" s="61">
        <f t="shared" si="3"/>
        <v>130</v>
      </c>
      <c r="J118" s="90">
        <f>Jan!I118+Feb!I118+Mar!I118+Apr!I118+May!I118+Jun!I118+July!I118+Aug!I118+Sep!I118+Oct!I118+Nov!I118</f>
        <v>393.42000000000007</v>
      </c>
      <c r="K118" s="82"/>
      <c r="L118" s="398"/>
      <c r="M118" s="397"/>
      <c r="N118" s="397"/>
      <c r="O118" s="398"/>
    </row>
    <row r="119" spans="1:17" s="52" customFormat="1" ht="13.5">
      <c r="I119" s="61"/>
      <c r="J119" s="90">
        <f>Jan!I119+Feb!I119+Mar!I119+Apr!I119+May!I119+Jun!I119+July!I119+Aug!I119+Sep!I119+Oct!I119+Nov!I119</f>
        <v>0</v>
      </c>
      <c r="K119" s="82"/>
      <c r="L119" s="398"/>
      <c r="M119" s="397"/>
      <c r="N119" s="397"/>
      <c r="O119" s="398"/>
    </row>
    <row r="120" spans="1:17" s="52" customFormat="1" ht="13.5">
      <c r="A120" s="58" t="s">
        <v>59</v>
      </c>
      <c r="B120" s="58">
        <f>SUM(G121:G123)</f>
        <v>0</v>
      </c>
      <c r="C120" s="58">
        <f>SUM(H121:H123)</f>
        <v>415</v>
      </c>
      <c r="D120" s="58">
        <f>C120-B120</f>
        <v>415</v>
      </c>
      <c r="I120" s="61"/>
      <c r="J120" s="90">
        <f>Jan!I120+Feb!I120+Mar!I120+Apr!I120+May!I120+Jun!I120+July!I120+Aug!I120+Sep!I120+Oct!I120+Nov!I120</f>
        <v>0</v>
      </c>
      <c r="K120" s="82"/>
      <c r="L120" s="398"/>
      <c r="M120" s="397"/>
      <c r="N120" s="397"/>
      <c r="O120" s="398"/>
    </row>
    <row r="121" spans="1:17" s="52" customFormat="1" ht="13.5">
      <c r="B121" s="52" t="s">
        <v>484</v>
      </c>
      <c r="D121" s="52" t="s">
        <v>60</v>
      </c>
      <c r="G121" s="52">
        <f t="shared" si="4"/>
        <v>0</v>
      </c>
      <c r="H121" s="52">
        <v>150</v>
      </c>
      <c r="I121" s="61">
        <f t="shared" si="3"/>
        <v>150</v>
      </c>
      <c r="J121" s="90">
        <f>Jan!I121+Feb!I121+Mar!I121+Apr!I121+May!I121+Jun!I121+July!I121+Aug!I121+Sep!I121+Oct!I121+Nov!I121</f>
        <v>665.2</v>
      </c>
      <c r="K121" s="82"/>
      <c r="L121" s="398"/>
      <c r="M121" s="397"/>
      <c r="N121" s="397"/>
      <c r="O121" s="398"/>
    </row>
    <row r="122" spans="1:17" s="52" customFormat="1" ht="13.5">
      <c r="A122" s="58"/>
      <c r="B122" s="52" t="s">
        <v>483</v>
      </c>
      <c r="G122" s="52">
        <f t="shared" si="4"/>
        <v>0</v>
      </c>
      <c r="H122" s="52">
        <v>215</v>
      </c>
      <c r="I122" s="61">
        <f t="shared" si="3"/>
        <v>215</v>
      </c>
      <c r="J122" s="90">
        <f>Jan!I122+Feb!I122+Mar!I122+Apr!I122+May!I122+Jun!I122+July!I122+Aug!I122+Sep!I122+Oct!I122+Nov!I122</f>
        <v>1855</v>
      </c>
      <c r="K122" s="82"/>
      <c r="L122" s="398"/>
      <c r="M122" s="397"/>
      <c r="N122" s="397"/>
      <c r="O122" s="398"/>
    </row>
    <row r="123" spans="1:17" s="52" customFormat="1" ht="13.5">
      <c r="A123" s="58"/>
      <c r="B123" s="52" t="s">
        <v>468</v>
      </c>
      <c r="G123" s="52">
        <f t="shared" si="4"/>
        <v>0</v>
      </c>
      <c r="H123" s="52">
        <v>50</v>
      </c>
      <c r="I123" s="61">
        <f t="shared" si="3"/>
        <v>50</v>
      </c>
      <c r="J123" s="90">
        <f>Jan!I123+Feb!I123+Mar!I123+Apr!I123+May!I123+Jun!I123+July!I123+Aug!I123+Sep!I123+Oct!I123+Nov!I123</f>
        <v>-3015</v>
      </c>
      <c r="K123" s="82"/>
      <c r="L123" s="398"/>
      <c r="M123" s="397"/>
      <c r="N123" s="397"/>
      <c r="O123" s="398"/>
    </row>
    <row r="124" spans="1:17" s="52" customFormat="1" ht="13.5">
      <c r="A124" s="58"/>
      <c r="I124" s="61"/>
      <c r="J124" s="90">
        <f>Jan!I124+Feb!I124+Mar!I124+Apr!I124+May!I124+Jun!I124+July!I124+Aug!I124+Sep!I124+Oct!I124+Nov!I124</f>
        <v>0</v>
      </c>
      <c r="K124" s="82"/>
      <c r="L124" s="398"/>
      <c r="M124" s="397"/>
      <c r="N124" s="397"/>
      <c r="O124" s="398"/>
    </row>
    <row r="125" spans="1:17" s="52" customFormat="1" ht="13.5">
      <c r="A125" s="58" t="s">
        <v>50</v>
      </c>
      <c r="B125" s="58">
        <f>SUM(G126:G136)</f>
        <v>883.81</v>
      </c>
      <c r="C125" s="58">
        <f>SUM(H126:H136)</f>
        <v>740</v>
      </c>
      <c r="D125" s="58">
        <f>C125-B125</f>
        <v>-143.80999999999995</v>
      </c>
      <c r="I125" s="61"/>
      <c r="J125" s="90">
        <f>Jan!I125+Feb!I125+Mar!I125+Apr!I125+May!I125+Jun!I125+July!I125+Aug!I125+Sep!I125+Oct!I125+Nov!I125</f>
        <v>0</v>
      </c>
      <c r="K125" s="82"/>
      <c r="L125" s="398"/>
      <c r="M125" s="397"/>
      <c r="N125" s="397"/>
      <c r="O125" s="398"/>
    </row>
    <row r="126" spans="1:17" s="52" customFormat="1" ht="13.5">
      <c r="B126" s="52" t="s">
        <v>51</v>
      </c>
      <c r="G126" s="52">
        <f t="shared" si="4"/>
        <v>250</v>
      </c>
      <c r="H126" s="52">
        <v>100</v>
      </c>
      <c r="I126" s="61">
        <f t="shared" si="3"/>
        <v>-150</v>
      </c>
      <c r="J126" s="90">
        <f>Jan!I126+Feb!I126+Mar!I126+Apr!I126+May!I126+Jun!I126+July!I126+Aug!I126+Sep!I126+Oct!I126+Nov!I126</f>
        <v>-1350.1</v>
      </c>
      <c r="K126" s="82"/>
      <c r="L126" s="398">
        <f>100+(300-150)</f>
        <v>250</v>
      </c>
      <c r="M126" s="397"/>
      <c r="N126" s="397"/>
      <c r="O126" s="398"/>
      <c r="Q126" s="52" t="s">
        <v>1266</v>
      </c>
    </row>
    <row r="127" spans="1:17" s="52" customFormat="1" ht="14.25" thickBot="1">
      <c r="B127" s="52" t="s">
        <v>453</v>
      </c>
      <c r="G127" s="52">
        <f t="shared" si="4"/>
        <v>503.08</v>
      </c>
      <c r="H127" s="52">
        <v>500</v>
      </c>
      <c r="I127" s="61">
        <f t="shared" si="3"/>
        <v>-3.0799999999999841</v>
      </c>
      <c r="J127" s="90">
        <f>Jan!I127+Feb!I127+Mar!I127+Apr!I127+May!I127+Jun!I127+July!I127+Aug!I127+Sep!I127+Oct!I127+Nov!I127</f>
        <v>414.01000000000016</v>
      </c>
      <c r="K127" s="82"/>
      <c r="L127" s="398"/>
      <c r="M127" s="397"/>
      <c r="N127" s="397">
        <f>82.24+107+89.44+36.35+106.1+18.44+63.51</f>
        <v>503.08</v>
      </c>
      <c r="O127" s="398"/>
    </row>
    <row r="128" spans="1:17" s="52" customFormat="1" ht="14.25" thickBot="1">
      <c r="C128" s="52" t="s">
        <v>446</v>
      </c>
      <c r="E128" s="88"/>
      <c r="I128" s="61"/>
      <c r="J128" s="90">
        <f>Jan!I128+Feb!I128+Mar!I128+Apr!I128+May!I128+Jun!I128+July!I128+Aug!I128+Sep!I128+Oct!I128+Nov!I128</f>
        <v>0</v>
      </c>
      <c r="K128" s="82"/>
      <c r="L128" s="398"/>
      <c r="M128" s="397"/>
      <c r="N128" s="397"/>
      <c r="O128" s="398"/>
    </row>
    <row r="129" spans="1:17" s="52" customFormat="1" ht="14.25" thickBot="1">
      <c r="C129" s="52" t="s">
        <v>447</v>
      </c>
      <c r="E129" s="88"/>
      <c r="I129" s="61"/>
      <c r="J129" s="90">
        <f>Jan!I129+Feb!I129+Mar!I129+Apr!I129+May!I129+Jun!I129+July!I129+Aug!I129+Sep!I129+Oct!I129+Nov!I129</f>
        <v>0</v>
      </c>
      <c r="K129" s="82"/>
      <c r="L129" s="398"/>
      <c r="M129" s="397"/>
      <c r="N129" s="397"/>
      <c r="O129" s="398"/>
    </row>
    <row r="130" spans="1:17" s="52" customFormat="1" ht="13.5">
      <c r="B130" s="52" t="s">
        <v>300</v>
      </c>
      <c r="G130" s="52">
        <f t="shared" si="4"/>
        <v>40.880000000000003</v>
      </c>
      <c r="H130" s="52">
        <v>50</v>
      </c>
      <c r="I130" s="61">
        <f t="shared" si="3"/>
        <v>9.1199999999999974</v>
      </c>
      <c r="J130" s="90">
        <f>Jan!I130+Feb!I130+Mar!I130+Apr!I130+May!I130+Jun!I130+July!I130+Aug!I130+Sep!I130+Oct!I130+Nov!I130</f>
        <v>-805.30000000000007</v>
      </c>
      <c r="K130" s="82"/>
      <c r="L130" s="398"/>
      <c r="M130" s="397"/>
      <c r="N130" s="397">
        <f>40.88</f>
        <v>40.880000000000003</v>
      </c>
      <c r="O130" s="398"/>
    </row>
    <row r="131" spans="1:17" s="52" customFormat="1" ht="14.25" thickBot="1">
      <c r="B131" s="52" t="s">
        <v>52</v>
      </c>
      <c r="G131" s="52">
        <f t="shared" si="4"/>
        <v>89.85</v>
      </c>
      <c r="H131" s="52">
        <v>70</v>
      </c>
      <c r="I131" s="61">
        <f t="shared" si="3"/>
        <v>-19.849999999999994</v>
      </c>
      <c r="J131" s="90">
        <f>Jan!I131+Feb!I131+Mar!I131+Apr!I131+May!I131+Jun!I131+July!I131+Aug!I131+Sep!I131+Oct!I131+Nov!I131</f>
        <v>360.29000000000008</v>
      </c>
      <c r="K131" s="82"/>
      <c r="L131" s="398"/>
      <c r="M131" s="397">
        <v>89.85</v>
      </c>
      <c r="N131" s="397"/>
      <c r="O131" s="398"/>
      <c r="Q131" s="52" t="s">
        <v>1264</v>
      </c>
    </row>
    <row r="132" spans="1:17" s="52" customFormat="1" ht="14.25" thickBot="1">
      <c r="C132" s="259" t="s">
        <v>448</v>
      </c>
      <c r="D132" s="260"/>
      <c r="E132" s="88">
        <v>89.85</v>
      </c>
      <c r="I132" s="61"/>
      <c r="J132" s="90">
        <f>Jan!I132+Feb!I132+Mar!I132+Apr!I132+May!I132+Jun!I132+July!I132+Aug!I132+Sep!I132+Oct!I132+Nov!I132</f>
        <v>0</v>
      </c>
      <c r="K132" s="82"/>
      <c r="L132" s="398"/>
      <c r="M132" s="397"/>
      <c r="N132" s="397"/>
      <c r="O132" s="398"/>
    </row>
    <row r="133" spans="1:17" s="52" customFormat="1" ht="14.25" thickBot="1">
      <c r="C133" s="259" t="s">
        <v>449</v>
      </c>
      <c r="D133" s="260"/>
      <c r="E133" s="88"/>
      <c r="I133" s="61"/>
      <c r="J133" s="90">
        <f>Jan!I133+Feb!I133+Mar!I133+Apr!I133+May!I133+Jun!I133+July!I133+Aug!I133+Sep!I133+Oct!I133+Nov!I133</f>
        <v>0</v>
      </c>
      <c r="K133" s="82"/>
      <c r="L133" s="398"/>
      <c r="M133" s="397"/>
      <c r="N133" s="397"/>
      <c r="O133" s="398"/>
    </row>
    <row r="134" spans="1:17" s="52" customFormat="1" ht="14.25" thickBot="1">
      <c r="C134" s="259" t="s">
        <v>450</v>
      </c>
      <c r="D134" s="260"/>
      <c r="E134" s="88"/>
      <c r="I134" s="61"/>
      <c r="J134" s="90">
        <f>Jan!I134+Feb!I134+Mar!I134+Apr!I134+May!I134+Jun!I134+July!I134+Aug!I134+Sep!I134+Oct!I134+Nov!I134</f>
        <v>0</v>
      </c>
      <c r="K134" s="82"/>
      <c r="L134" s="398"/>
      <c r="M134" s="397"/>
      <c r="N134" s="397"/>
      <c r="O134" s="398"/>
    </row>
    <row r="135" spans="1:17" s="52" customFormat="1" ht="14.25" thickBot="1">
      <c r="C135" s="259" t="s">
        <v>451</v>
      </c>
      <c r="D135" s="260"/>
      <c r="E135" s="88"/>
      <c r="I135" s="61"/>
      <c r="J135" s="90">
        <f>Jan!I135+Feb!I135+Mar!I135+Apr!I135+May!I135+Jun!I135+July!I135+Aug!I135+Sep!I135+Oct!I135+Nov!I135</f>
        <v>0</v>
      </c>
      <c r="K135" s="82"/>
      <c r="L135" s="398"/>
      <c r="M135" s="397"/>
      <c r="N135" s="397"/>
      <c r="O135" s="398"/>
    </row>
    <row r="136" spans="1:17" s="52" customFormat="1" ht="13.5">
      <c r="B136" s="52" t="s">
        <v>452</v>
      </c>
      <c r="G136" s="52">
        <f t="shared" si="4"/>
        <v>0</v>
      </c>
      <c r="H136" s="52">
        <v>20</v>
      </c>
      <c r="I136" s="61">
        <f t="shared" ref="I136:I151" si="5">H136-G136</f>
        <v>20</v>
      </c>
      <c r="J136" s="90">
        <f>Jan!I136+Feb!I136+Mar!I136+Apr!I136+May!I136+Jun!I136+July!I136+Aug!I136+Sep!I136+Oct!I136+Nov!I136</f>
        <v>134.16</v>
      </c>
      <c r="K136" s="82"/>
      <c r="L136" s="398"/>
      <c r="M136" s="397"/>
      <c r="N136" s="397"/>
      <c r="O136" s="398"/>
    </row>
    <row r="137" spans="1:17" s="52" customFormat="1" ht="13.5">
      <c r="I137" s="61"/>
      <c r="J137" s="90">
        <f>Jan!I137+Feb!I137+Mar!I137+Apr!I137+May!I137+Jun!I137+July!I137+Aug!I137+Sep!I137+Oct!I137+Nov!I137</f>
        <v>0</v>
      </c>
      <c r="K137" s="82"/>
      <c r="L137" s="398"/>
      <c r="M137" s="397"/>
      <c r="N137" s="397"/>
      <c r="O137" s="398"/>
    </row>
    <row r="138" spans="1:17" s="52" customFormat="1" ht="13.5">
      <c r="A138" s="58" t="s">
        <v>65</v>
      </c>
      <c r="B138" s="58">
        <f>G139</f>
        <v>0</v>
      </c>
      <c r="C138" s="58">
        <f>H139</f>
        <v>140</v>
      </c>
      <c r="D138" s="58">
        <f>I139</f>
        <v>140</v>
      </c>
      <c r="I138" s="61"/>
      <c r="J138" s="90">
        <f>Jan!I138+Feb!I138+Mar!I138+Apr!I138+May!I138+Jun!I138+July!I138+Aug!I138+Sep!I138+Oct!I138+Nov!I138</f>
        <v>0</v>
      </c>
      <c r="K138" s="82"/>
      <c r="L138" s="398"/>
      <c r="M138" s="397"/>
      <c r="N138" s="397"/>
      <c r="O138" s="398"/>
    </row>
    <row r="139" spans="1:17" s="52" customFormat="1" ht="13.5">
      <c r="B139" s="52" t="s">
        <v>66</v>
      </c>
      <c r="G139" s="52">
        <f t="shared" si="4"/>
        <v>0</v>
      </c>
      <c r="H139" s="52">
        <v>140</v>
      </c>
      <c r="I139" s="61">
        <f t="shared" si="5"/>
        <v>140</v>
      </c>
      <c r="J139" s="90">
        <f>Jan!I139+Feb!I139+Mar!I139+Apr!I139+May!I139+Jun!I139+July!I139+Aug!I139+Sep!I139+Oct!I139+Nov!I139</f>
        <v>1178.08</v>
      </c>
      <c r="K139" s="82"/>
      <c r="L139" s="398"/>
      <c r="M139" s="397"/>
      <c r="N139" s="397"/>
      <c r="O139" s="398"/>
    </row>
    <row r="140" spans="1:17" s="52" customFormat="1" ht="13.5">
      <c r="I140" s="61"/>
      <c r="J140" s="90">
        <f>Jan!I140+Feb!I140+Mar!I140+Apr!I140+May!I140+Jun!I140+July!I140+Aug!I140+Sep!I140+Oct!I140+Nov!I140</f>
        <v>0</v>
      </c>
      <c r="K140" s="82"/>
      <c r="L140" s="398"/>
      <c r="M140" s="397"/>
      <c r="N140" s="397"/>
      <c r="O140" s="398"/>
    </row>
    <row r="141" spans="1:17" s="52" customFormat="1" ht="13.5">
      <c r="A141" s="58" t="s">
        <v>271</v>
      </c>
      <c r="B141" s="58">
        <f>SUM(G142:G144)</f>
        <v>313.38</v>
      </c>
      <c r="C141" s="58">
        <f>SUM(H142:H144)</f>
        <v>230</v>
      </c>
      <c r="D141" s="58">
        <f>C141-B141</f>
        <v>-83.38</v>
      </c>
      <c r="I141" s="61"/>
      <c r="J141" s="90">
        <f>Jan!I141+Feb!I141+Mar!I141+Apr!I141+May!I141+Jun!I141+July!I141+Aug!I141+Sep!I141+Oct!I141+Nov!I141</f>
        <v>0</v>
      </c>
      <c r="K141" s="82"/>
      <c r="L141" s="398"/>
      <c r="M141" s="397"/>
      <c r="N141" s="397"/>
      <c r="O141" s="398"/>
    </row>
    <row r="142" spans="1:17" s="52" customFormat="1" ht="13.5">
      <c r="B142" s="52" t="s">
        <v>266</v>
      </c>
      <c r="G142" s="52">
        <f t="shared" si="4"/>
        <v>27.1</v>
      </c>
      <c r="H142" s="52">
        <v>100</v>
      </c>
      <c r="I142" s="61">
        <f t="shared" si="5"/>
        <v>72.900000000000006</v>
      </c>
      <c r="J142" s="90">
        <f>Jan!I142+Feb!I142+Mar!I142+Apr!I142+May!I142+Jun!I142+July!I142+Aug!I142+Sep!I142+Oct!I142+Nov!I142</f>
        <v>-279.04999999999995</v>
      </c>
      <c r="K142" s="82"/>
      <c r="L142" s="398"/>
      <c r="M142" s="397">
        <f>16</f>
        <v>16</v>
      </c>
      <c r="N142" s="397">
        <f>11.1</f>
        <v>11.1</v>
      </c>
      <c r="O142" s="398"/>
    </row>
    <row r="143" spans="1:17" s="52" customFormat="1" ht="13.5">
      <c r="B143" s="52" t="s">
        <v>454</v>
      </c>
      <c r="G143" s="52">
        <f t="shared" si="4"/>
        <v>286.27999999999997</v>
      </c>
      <c r="H143" s="52">
        <v>100</v>
      </c>
      <c r="I143" s="61">
        <f t="shared" si="5"/>
        <v>-186.27999999999997</v>
      </c>
      <c r="J143" s="90">
        <f>Jan!I143+Feb!I143+Mar!I143+Apr!I143+May!I143+Jun!I143+July!I143+Aug!I143+Sep!I143+Oct!I143+Nov!I143</f>
        <v>712.40000000000009</v>
      </c>
      <c r="K143" s="82"/>
      <c r="L143" s="398">
        <v>150</v>
      </c>
      <c r="M143" s="397">
        <f>16.28+80+40</f>
        <v>136.28</v>
      </c>
      <c r="N143" s="397"/>
      <c r="O143" s="398"/>
      <c r="Q143" s="52" t="s">
        <v>1267</v>
      </c>
    </row>
    <row r="144" spans="1:17" s="52" customFormat="1" ht="13.5">
      <c r="B144" s="52" t="s">
        <v>455</v>
      </c>
      <c r="G144" s="52">
        <f t="shared" si="4"/>
        <v>0</v>
      </c>
      <c r="H144" s="52">
        <v>30</v>
      </c>
      <c r="I144" s="61">
        <f t="shared" si="5"/>
        <v>30</v>
      </c>
      <c r="J144" s="90">
        <f>Jan!I144+Feb!I144+Mar!I144+Apr!I144+May!I144+Jun!I144+July!I144+Aug!I144+Sep!I144+Oct!I144+Nov!I144</f>
        <v>330</v>
      </c>
      <c r="K144" s="82"/>
      <c r="L144" s="398"/>
      <c r="M144" s="397"/>
      <c r="N144" s="397"/>
      <c r="O144" s="398"/>
    </row>
    <row r="145" spans="1:17" s="52" customFormat="1" ht="13.5">
      <c r="I145" s="61"/>
      <c r="J145" s="90"/>
      <c r="K145" s="82"/>
      <c r="L145" s="398"/>
      <c r="M145" s="397"/>
      <c r="N145" s="397"/>
      <c r="O145" s="398"/>
    </row>
    <row r="146" spans="1:17" s="52" customFormat="1" ht="13.5">
      <c r="A146" s="58" t="s">
        <v>67</v>
      </c>
      <c r="B146" s="58">
        <f>G147</f>
        <v>0</v>
      </c>
      <c r="C146" s="58">
        <f>H147</f>
        <v>10</v>
      </c>
      <c r="D146" s="58">
        <f>C146-B146</f>
        <v>10</v>
      </c>
      <c r="I146" s="61"/>
      <c r="J146" s="90"/>
      <c r="K146" s="82"/>
      <c r="L146" s="398"/>
      <c r="M146" s="397"/>
      <c r="N146" s="397"/>
      <c r="O146" s="398"/>
    </row>
    <row r="147" spans="1:17" s="52" customFormat="1" ht="13.5">
      <c r="B147" s="52" t="s">
        <v>68</v>
      </c>
      <c r="G147" s="52">
        <f t="shared" si="4"/>
        <v>0</v>
      </c>
      <c r="H147" s="52">
        <v>10</v>
      </c>
      <c r="I147" s="61">
        <f t="shared" si="5"/>
        <v>10</v>
      </c>
      <c r="J147" s="90">
        <f>Jan!I147+Feb!I147+Mar!I147+Apr!I147+May!I147+Jun!I147+July!I147+Aug!I147+Sep!I147+Oct!I147+Nov!I147</f>
        <v>32.83</v>
      </c>
      <c r="K147" s="82"/>
      <c r="L147" s="398"/>
      <c r="M147" s="397"/>
      <c r="N147" s="397"/>
      <c r="O147" s="398"/>
    </row>
    <row r="148" spans="1:17" s="52" customFormat="1" ht="13.5">
      <c r="I148" s="61"/>
      <c r="J148" s="90"/>
      <c r="K148" s="82"/>
      <c r="L148" s="398"/>
      <c r="M148" s="397"/>
      <c r="N148" s="397"/>
      <c r="O148" s="398"/>
    </row>
    <row r="149" spans="1:17" s="52" customFormat="1" ht="13.5">
      <c r="A149" s="58" t="s">
        <v>269</v>
      </c>
      <c r="B149" s="58">
        <f>SUM(G150:G151)</f>
        <v>69.989999999999995</v>
      </c>
      <c r="C149" s="58">
        <f>SUM(H150:H151)</f>
        <v>250</v>
      </c>
      <c r="D149" s="58">
        <f>C149-B149</f>
        <v>180.01</v>
      </c>
      <c r="I149" s="61"/>
      <c r="J149" s="90"/>
      <c r="K149" s="82"/>
      <c r="L149" s="398"/>
      <c r="M149" s="397"/>
      <c r="N149" s="397"/>
      <c r="O149" s="398"/>
    </row>
    <row r="150" spans="1:17" s="52" customFormat="1" ht="13.5">
      <c r="B150" s="52" t="s">
        <v>63</v>
      </c>
      <c r="G150" s="52">
        <f t="shared" si="4"/>
        <v>0</v>
      </c>
      <c r="H150" s="52">
        <v>150</v>
      </c>
      <c r="I150" s="61">
        <f t="shared" si="5"/>
        <v>150</v>
      </c>
      <c r="J150" s="90">
        <f>Jan!I150+Feb!I150+Mar!I150+Apr!I150+May!I150+Jun!I150+July!I150+Aug!I150+Sep!I150+Oct!I150+Nov!I150</f>
        <v>1600</v>
      </c>
      <c r="K150" s="82"/>
      <c r="L150" s="398"/>
      <c r="M150" s="397"/>
      <c r="N150" s="397"/>
      <c r="O150" s="398"/>
    </row>
    <row r="151" spans="1:17" s="52" customFormat="1" ht="13.5">
      <c r="B151" s="52" t="s">
        <v>64</v>
      </c>
      <c r="D151" s="52" t="s">
        <v>270</v>
      </c>
      <c r="G151" s="52">
        <f t="shared" si="4"/>
        <v>69.989999999999995</v>
      </c>
      <c r="H151" s="52">
        <v>100</v>
      </c>
      <c r="I151" s="61">
        <f t="shared" si="5"/>
        <v>30.010000000000005</v>
      </c>
      <c r="J151" s="90">
        <f>Jan!I151+Feb!I151+Mar!I151+Apr!I151+May!I151+Jun!I151+July!I151+Aug!I151+Sep!I151+Oct!I151+Nov!I151</f>
        <v>678.09</v>
      </c>
      <c r="K151" s="87"/>
      <c r="L151" s="398"/>
      <c r="M151" s="397">
        <v>69.989999999999995</v>
      </c>
      <c r="N151" s="397"/>
      <c r="O151" s="398"/>
      <c r="Q151" s="52" t="s">
        <v>1255</v>
      </c>
    </row>
    <row r="152" spans="1:17" s="52" customFormat="1" ht="13.5">
      <c r="I152" s="61"/>
      <c r="J152" s="90"/>
      <c r="K152" s="87"/>
      <c r="L152" s="398"/>
      <c r="M152" s="397"/>
      <c r="N152" s="397"/>
      <c r="O152" s="398"/>
    </row>
    <row r="153" spans="1:17" ht="13.5">
      <c r="A153" s="52"/>
      <c r="B153" s="52"/>
      <c r="C153" s="52"/>
      <c r="D153" s="52"/>
      <c r="E153" s="52"/>
      <c r="F153" s="52"/>
      <c r="G153" s="52"/>
      <c r="H153" s="52"/>
      <c r="I153" s="61"/>
      <c r="J153" s="90"/>
      <c r="L153" s="398"/>
      <c r="M153" s="397"/>
      <c r="N153" s="397"/>
      <c r="O153" s="398"/>
    </row>
    <row r="154" spans="1:17" ht="13.5">
      <c r="A154" s="58" t="s">
        <v>459</v>
      </c>
      <c r="B154" s="52"/>
      <c r="C154" s="52"/>
      <c r="D154" s="52"/>
      <c r="E154" s="52"/>
      <c r="F154" s="52"/>
      <c r="G154" s="52"/>
      <c r="H154" s="52"/>
      <c r="I154" s="61"/>
      <c r="J154" s="90"/>
      <c r="L154" s="398"/>
      <c r="M154" s="397"/>
      <c r="N154" s="397"/>
      <c r="O154" s="398"/>
    </row>
    <row r="155" spans="1:17" ht="13.5">
      <c r="A155" s="52"/>
      <c r="B155" s="52">
        <f>SUM(G156:G170)</f>
        <v>2924.22</v>
      </c>
      <c r="C155" s="52">
        <f>SUM(H156:H170)</f>
        <v>610</v>
      </c>
      <c r="D155" s="58">
        <f>C155-B155</f>
        <v>-2314.2199999999998</v>
      </c>
      <c r="E155" s="52"/>
      <c r="F155" s="52"/>
      <c r="G155" s="52"/>
      <c r="H155" s="52"/>
      <c r="I155" s="61"/>
      <c r="J155" s="90"/>
      <c r="L155" s="398"/>
      <c r="M155" s="397"/>
      <c r="N155" s="397"/>
      <c r="O155" s="398"/>
    </row>
    <row r="156" spans="1:17" ht="13.5">
      <c r="A156" s="58" t="s">
        <v>461</v>
      </c>
      <c r="B156" s="52"/>
      <c r="C156" s="52"/>
      <c r="D156" s="52"/>
      <c r="E156" s="52"/>
      <c r="F156" s="52"/>
      <c r="G156" s="52"/>
      <c r="H156" s="52"/>
      <c r="I156" s="61"/>
      <c r="J156" s="90"/>
      <c r="L156" s="398"/>
      <c r="M156" s="397"/>
      <c r="N156" s="397"/>
      <c r="O156" s="398"/>
    </row>
    <row r="157" spans="1:17" ht="14.25" thickBot="1">
      <c r="A157" s="52"/>
      <c r="B157" s="52" t="s">
        <v>267</v>
      </c>
      <c r="C157" s="52"/>
      <c r="D157" s="52"/>
      <c r="E157" s="52"/>
      <c r="F157" s="52"/>
      <c r="G157" s="52">
        <f t="shared" si="4"/>
        <v>0</v>
      </c>
      <c r="H157" s="52">
        <v>100</v>
      </c>
      <c r="I157" s="61">
        <f t="shared" ref="I157:I170" si="6">H157-G157</f>
        <v>100</v>
      </c>
      <c r="J157" s="90">
        <f>Jan!I157+Feb!I157+Mar!I157+Apr!I157+May!I157+Jun!I157+July!I157+Aug!I157+Sep!I157+Oct!I157+Nov!I157</f>
        <v>1100</v>
      </c>
      <c r="L157" s="398"/>
      <c r="M157" s="397"/>
      <c r="N157" s="397"/>
      <c r="O157" s="398"/>
    </row>
    <row r="158" spans="1:17" ht="14.25" thickBot="1">
      <c r="A158" s="88">
        <f>SUM(G157:G161)</f>
        <v>0</v>
      </c>
      <c r="B158" s="52" t="s">
        <v>268</v>
      </c>
      <c r="C158" s="52"/>
      <c r="D158" s="52"/>
      <c r="E158" s="52"/>
      <c r="F158" s="52"/>
      <c r="G158" s="52">
        <f t="shared" si="4"/>
        <v>0</v>
      </c>
      <c r="H158" s="52">
        <v>100</v>
      </c>
      <c r="I158" s="61">
        <f t="shared" si="6"/>
        <v>100</v>
      </c>
      <c r="J158" s="90">
        <f>Jan!I158+Feb!I158+Mar!I158+Apr!I158+May!I158+Jun!I158+July!I158+Aug!I158+Sep!I158+Oct!I158+Nov!I158</f>
        <v>1100</v>
      </c>
      <c r="L158" s="398"/>
      <c r="M158" s="397"/>
      <c r="N158" s="397"/>
      <c r="O158" s="398"/>
    </row>
    <row r="159" spans="1:17" ht="13.5">
      <c r="A159" s="52"/>
      <c r="B159" s="52" t="s">
        <v>61</v>
      </c>
      <c r="C159" s="52"/>
      <c r="D159" s="52"/>
      <c r="E159" s="52"/>
      <c r="F159" s="52"/>
      <c r="G159" s="52">
        <f t="shared" si="4"/>
        <v>0</v>
      </c>
      <c r="H159" s="52">
        <v>30</v>
      </c>
      <c r="I159" s="61">
        <f t="shared" si="6"/>
        <v>30</v>
      </c>
      <c r="J159" s="90">
        <f>Jan!I159+Feb!I159+Mar!I159+Apr!I159+May!I159+Jun!I159+July!I159+Aug!I159+Sep!I159+Oct!I159+Nov!I159</f>
        <v>330</v>
      </c>
      <c r="L159" s="398"/>
      <c r="M159" s="397"/>
      <c r="N159" s="397"/>
      <c r="O159" s="398"/>
    </row>
    <row r="160" spans="1:17" ht="13.5">
      <c r="A160" s="52"/>
      <c r="B160" s="52" t="s">
        <v>62</v>
      </c>
      <c r="C160" s="52"/>
      <c r="D160" s="52"/>
      <c r="E160" s="52"/>
      <c r="F160" s="52"/>
      <c r="G160" s="52">
        <f t="shared" si="4"/>
        <v>0</v>
      </c>
      <c r="H160" s="52">
        <v>50</v>
      </c>
      <c r="I160" s="61">
        <f t="shared" si="6"/>
        <v>50</v>
      </c>
      <c r="J160" s="90">
        <f>Jan!I160+Feb!I160+Mar!I160+Apr!I160+May!I160+Jun!I160+July!I160+Aug!I160+Sep!I160+Oct!I160+Nov!I160</f>
        <v>475</v>
      </c>
      <c r="L160" s="398"/>
      <c r="M160" s="397"/>
      <c r="N160" s="397"/>
      <c r="O160" s="398"/>
    </row>
    <row r="161" spans="1:17" ht="13.5">
      <c r="A161" s="52"/>
      <c r="B161" s="52" t="s">
        <v>486</v>
      </c>
      <c r="C161" s="52"/>
      <c r="D161" s="52"/>
      <c r="E161" s="52"/>
      <c r="F161" s="52"/>
      <c r="G161" s="52">
        <f t="shared" si="4"/>
        <v>0</v>
      </c>
      <c r="H161" s="52">
        <v>10</v>
      </c>
      <c r="I161" s="61">
        <f t="shared" si="6"/>
        <v>10</v>
      </c>
      <c r="J161" s="90">
        <f>Jan!I161+Feb!I161+Mar!I161+Apr!I161+May!I161+Jun!I161+July!I161+Aug!I161+Sep!I161+Oct!I161+Nov!I161</f>
        <v>110</v>
      </c>
      <c r="L161" s="398"/>
      <c r="M161" s="397"/>
      <c r="N161" s="397"/>
      <c r="O161" s="398"/>
    </row>
    <row r="162" spans="1:17" ht="13.5">
      <c r="A162" s="52"/>
      <c r="B162" s="52"/>
      <c r="C162" s="52"/>
      <c r="D162" s="52"/>
      <c r="E162" s="52"/>
      <c r="F162" s="52"/>
      <c r="G162" s="52"/>
      <c r="H162" s="52"/>
      <c r="I162" s="61"/>
      <c r="J162" s="90"/>
      <c r="L162" s="398"/>
      <c r="M162" s="397"/>
      <c r="N162" s="397"/>
      <c r="O162" s="398"/>
    </row>
    <row r="163" spans="1:17" ht="13.5">
      <c r="A163" s="58" t="s">
        <v>460</v>
      </c>
      <c r="B163" s="52"/>
      <c r="C163" s="52"/>
      <c r="D163" s="52"/>
      <c r="E163" s="52"/>
      <c r="F163" s="52"/>
      <c r="G163" s="52"/>
      <c r="H163" s="52"/>
      <c r="I163" s="61"/>
      <c r="J163" s="90"/>
      <c r="L163" s="398"/>
      <c r="M163" s="397"/>
      <c r="N163" s="397"/>
      <c r="O163" s="398"/>
    </row>
    <row r="164" spans="1:17" ht="14.25" thickBot="1">
      <c r="A164" s="52"/>
      <c r="B164" s="52" t="s">
        <v>456</v>
      </c>
      <c r="C164" s="52"/>
      <c r="D164" s="52"/>
      <c r="E164" s="52"/>
      <c r="F164" s="52"/>
      <c r="G164" s="52">
        <f t="shared" si="4"/>
        <v>0</v>
      </c>
      <c r="H164" s="52">
        <v>30</v>
      </c>
      <c r="I164" s="61">
        <f t="shared" si="6"/>
        <v>30</v>
      </c>
      <c r="J164" s="90">
        <f>Jan!I164+Feb!I164+Mar!I164+Apr!I164+May!I164+Jun!I164+July!I164+Aug!I164+Sep!I164+Oct!I164+Nov!I164</f>
        <v>296.83</v>
      </c>
      <c r="L164" s="398"/>
      <c r="M164" s="397"/>
      <c r="N164" s="397"/>
      <c r="O164" s="398"/>
    </row>
    <row r="165" spans="1:17" ht="14.25" thickBot="1">
      <c r="A165" s="88">
        <f>SUM(G164:G168)</f>
        <v>2924.22</v>
      </c>
      <c r="B165" s="52" t="s">
        <v>457</v>
      </c>
      <c r="C165" s="52"/>
      <c r="D165" s="52"/>
      <c r="E165" s="52"/>
      <c r="F165" s="52"/>
      <c r="G165" s="52">
        <f t="shared" si="4"/>
        <v>2924.22</v>
      </c>
      <c r="H165" s="52">
        <v>30</v>
      </c>
      <c r="I165" s="61">
        <f t="shared" si="6"/>
        <v>-2894.22</v>
      </c>
      <c r="J165" s="90">
        <f>Jan!I165+Feb!I165+Mar!I165+Apr!I165+May!I165+Jun!I165+July!I165+Aug!I165+Sep!I165+Oct!I165+Nov!I165</f>
        <v>-2604.2199999999998</v>
      </c>
      <c r="L165" s="398"/>
      <c r="M165" s="397">
        <f>809.43+809.43+652.68+652.68</f>
        <v>2924.22</v>
      </c>
      <c r="N165" s="397"/>
      <c r="O165" s="398"/>
      <c r="Q165" s="65" t="s">
        <v>1250</v>
      </c>
    </row>
    <row r="166" spans="1:17" ht="13.5">
      <c r="A166" s="52"/>
      <c r="B166" s="52" t="s">
        <v>462</v>
      </c>
      <c r="C166" s="52"/>
      <c r="D166" s="52"/>
      <c r="E166" s="52"/>
      <c r="F166" s="52"/>
      <c r="G166" s="52">
        <f t="shared" si="4"/>
        <v>0</v>
      </c>
      <c r="H166" s="52">
        <v>30</v>
      </c>
      <c r="I166" s="61">
        <f t="shared" si="6"/>
        <v>30</v>
      </c>
      <c r="J166" s="90">
        <f>Jan!I166+Feb!I166+Mar!I166+Apr!I166+May!I166+Jun!I166+July!I166+Aug!I166+Sep!I166+Oct!I166+Nov!I166</f>
        <v>330</v>
      </c>
      <c r="L166" s="398"/>
      <c r="M166" s="397"/>
      <c r="N166" s="397"/>
      <c r="O166" s="398"/>
    </row>
    <row r="167" spans="1:17" ht="13.5">
      <c r="A167" s="52"/>
      <c r="B167" s="52" t="s">
        <v>458</v>
      </c>
      <c r="C167" s="52"/>
      <c r="D167" s="52"/>
      <c r="E167" s="52"/>
      <c r="F167" s="52"/>
      <c r="G167" s="52">
        <f t="shared" si="4"/>
        <v>0</v>
      </c>
      <c r="H167" s="52">
        <v>30</v>
      </c>
      <c r="I167" s="61">
        <f t="shared" si="6"/>
        <v>30</v>
      </c>
      <c r="J167" s="90">
        <f>Jan!I167+Feb!I167+Mar!I167+Apr!I167+May!I167+Jun!I167+July!I167+Aug!I167+Sep!I167+Oct!I167+Nov!I167</f>
        <v>330</v>
      </c>
      <c r="L167" s="398"/>
      <c r="M167" s="397"/>
      <c r="N167" s="397"/>
      <c r="O167" s="398"/>
    </row>
    <row r="168" spans="1:17" ht="13.5">
      <c r="A168" s="52"/>
      <c r="B168" s="52" t="s">
        <v>485</v>
      </c>
      <c r="C168" s="52"/>
      <c r="D168" s="52"/>
      <c r="E168" s="52"/>
      <c r="F168" s="52"/>
      <c r="G168" s="52">
        <f t="shared" si="4"/>
        <v>0</v>
      </c>
      <c r="H168" s="52">
        <v>100</v>
      </c>
      <c r="I168" s="61">
        <f t="shared" si="6"/>
        <v>100</v>
      </c>
      <c r="J168" s="90">
        <f>Jan!I168+Feb!I168+Mar!I168+Apr!I168+May!I168+Jun!I168+July!I168+Aug!I168+Sep!I168+Oct!I168+Nov!I168</f>
        <v>1100</v>
      </c>
      <c r="L168" s="398"/>
      <c r="M168" s="397"/>
      <c r="N168" s="397"/>
      <c r="O168" s="398"/>
    </row>
    <row r="169" spans="1:17" ht="13.5">
      <c r="A169" s="52"/>
      <c r="B169" s="52"/>
      <c r="C169" s="52"/>
      <c r="D169" s="52"/>
      <c r="E169" s="52"/>
      <c r="F169" s="52"/>
      <c r="G169" s="52"/>
      <c r="H169" s="52"/>
      <c r="I169" s="61"/>
      <c r="J169" s="90"/>
      <c r="L169" s="398"/>
      <c r="M169" s="397"/>
      <c r="N169" s="397"/>
      <c r="O169" s="398"/>
    </row>
    <row r="170" spans="1:17" ht="13.5">
      <c r="A170" s="58" t="s">
        <v>272</v>
      </c>
      <c r="B170" s="52"/>
      <c r="C170" s="52"/>
      <c r="D170" s="52"/>
      <c r="E170" s="52"/>
      <c r="F170" s="52"/>
      <c r="G170" s="52">
        <f t="shared" si="4"/>
        <v>0</v>
      </c>
      <c r="H170" s="52">
        <v>100</v>
      </c>
      <c r="I170" s="61">
        <f t="shared" si="6"/>
        <v>100</v>
      </c>
      <c r="J170" s="90">
        <f>Jan!I170+Feb!I170+Mar!I170+Apr!I170+May!I170+Jun!I170+July!I170+Aug!I170+Sep!I170+Oct!I170+Nov!I170</f>
        <v>1100</v>
      </c>
      <c r="L170" s="398"/>
      <c r="M170" s="397"/>
      <c r="N170" s="397"/>
      <c r="O170" s="398"/>
    </row>
  </sheetData>
  <sheetProtection selectLockedCells="1" selectUnlockedCells="1"/>
  <pageMargins left="0.75" right="0.75" top="1" bottom="1" header="0.51180555555555551" footer="0.51180555555555551"/>
  <pageSetup firstPageNumber="0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65564"/>
  <sheetViews>
    <sheetView topLeftCell="A58" zoomScale="96" zoomScaleNormal="96" workbookViewId="0">
      <selection activeCell="E81" sqref="E81"/>
    </sheetView>
  </sheetViews>
  <sheetFormatPr defaultColWidth="8.5703125" defaultRowHeight="12.75"/>
  <cols>
    <col min="1" max="1" width="21.28515625" style="1" customWidth="1"/>
    <col min="2" max="2" width="3.140625" style="1" customWidth="1"/>
    <col min="3" max="6" width="18.5703125" style="1" customWidth="1"/>
    <col min="7" max="7" width="16.85546875" style="1" customWidth="1"/>
    <col min="8" max="8" width="17.5703125" style="1" customWidth="1"/>
    <col min="9" max="9" width="16.5703125" customWidth="1"/>
    <col min="10" max="10" width="18.140625" style="1" customWidth="1"/>
    <col min="11" max="11" width="15" style="1" customWidth="1"/>
    <col min="12" max="12" width="14" style="1" customWidth="1"/>
    <col min="13" max="256" width="9.42578125" style="1" customWidth="1"/>
  </cols>
  <sheetData>
    <row r="1" spans="1:7" ht="13.5" customHeight="1">
      <c r="A1" s="2" t="s">
        <v>0</v>
      </c>
      <c r="B1" s="2"/>
      <c r="C1" s="3">
        <v>2015</v>
      </c>
      <c r="D1" s="2" t="s">
        <v>722</v>
      </c>
    </row>
    <row r="2" spans="1:7" ht="13.5" customHeight="1">
      <c r="A2" s="243" t="s">
        <v>1224</v>
      </c>
      <c r="B2" s="2"/>
      <c r="C2" s="3"/>
      <c r="D2" s="2"/>
    </row>
    <row r="3" spans="1:7" ht="13.5" customHeight="1">
      <c r="A3" s="243" t="s">
        <v>1225</v>
      </c>
      <c r="B3" s="2"/>
      <c r="C3" s="3"/>
      <c r="D3" s="2"/>
    </row>
    <row r="4" spans="1:7" ht="13.5" customHeight="1">
      <c r="A4" s="243"/>
      <c r="B4" s="243" t="s">
        <v>925</v>
      </c>
      <c r="C4" s="3"/>
      <c r="D4" s="2"/>
    </row>
    <row r="5" spans="1:7" ht="13.5" customHeight="1">
      <c r="A5" s="243"/>
      <c r="B5" s="243" t="s">
        <v>1227</v>
      </c>
      <c r="C5" s="3"/>
      <c r="D5" s="2"/>
    </row>
    <row r="6" spans="1:7" ht="13.5" customHeight="1">
      <c r="A6" s="243"/>
      <c r="B6" s="243" t="s">
        <v>1226</v>
      </c>
      <c r="C6" s="3"/>
      <c r="D6" s="2"/>
    </row>
    <row r="7" spans="1:7" ht="13.5" customHeight="1">
      <c r="A7" s="243"/>
      <c r="B7" s="243"/>
      <c r="C7" s="3"/>
      <c r="D7" s="2"/>
    </row>
    <row r="8" spans="1:7" ht="13.5" customHeight="1">
      <c r="A8" s="243"/>
      <c r="B8" s="243"/>
      <c r="C8" s="3"/>
      <c r="D8" s="2"/>
    </row>
    <row r="9" spans="1:7" ht="13.5" customHeight="1">
      <c r="A9" s="243"/>
      <c r="B9" s="243"/>
      <c r="C9" s="3"/>
      <c r="D9" s="2"/>
    </row>
    <row r="10" spans="1:7" ht="13.5" customHeight="1">
      <c r="A10" s="243"/>
      <c r="B10" s="243"/>
      <c r="C10" s="3"/>
      <c r="D10" s="2"/>
    </row>
    <row r="11" spans="1:7" ht="13.5" customHeight="1">
      <c r="A11" s="2" t="s">
        <v>1228</v>
      </c>
      <c r="B11" s="2"/>
      <c r="C11" s="3"/>
      <c r="D11" s="340">
        <v>144311.16</v>
      </c>
    </row>
    <row r="12" spans="1:7" ht="13.5" customHeight="1">
      <c r="A12" s="2" t="s">
        <v>1229</v>
      </c>
      <c r="B12" s="2"/>
      <c r="D12" s="12"/>
      <c r="E12" s="2"/>
      <c r="F12" s="2"/>
      <c r="G12" s="12"/>
    </row>
    <row r="13" spans="1:7">
      <c r="A13" s="2" t="s">
        <v>1</v>
      </c>
      <c r="B13" s="4"/>
      <c r="D13" s="2"/>
    </row>
    <row r="14" spans="1:7">
      <c r="A14" s="2"/>
      <c r="B14" s="4"/>
      <c r="C14" s="2" t="s">
        <v>721</v>
      </c>
      <c r="D14" s="2"/>
    </row>
    <row r="15" spans="1:7">
      <c r="A15" s="2"/>
      <c r="B15" s="4"/>
      <c r="C15" s="382" t="s">
        <v>1231</v>
      </c>
      <c r="D15" s="2"/>
    </row>
    <row r="16" spans="1:7">
      <c r="A16" s="2"/>
      <c r="B16" s="4" t="s">
        <v>1087</v>
      </c>
      <c r="C16" s="2" t="s">
        <v>409</v>
      </c>
      <c r="D16" s="2"/>
    </row>
    <row r="17" spans="1:256">
      <c r="A17" s="2"/>
      <c r="B17" s="4" t="s">
        <v>1087</v>
      </c>
      <c r="C17" s="2" t="s">
        <v>579</v>
      </c>
      <c r="D17" s="2"/>
    </row>
    <row r="18" spans="1:256">
      <c r="A18" s="2"/>
      <c r="B18" s="4"/>
      <c r="C18" s="2" t="s">
        <v>408</v>
      </c>
      <c r="D18" s="2"/>
    </row>
    <row r="19" spans="1:256">
      <c r="A19" s="2"/>
      <c r="B19" s="4"/>
      <c r="C19" s="2"/>
      <c r="D19" s="2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</row>
    <row r="20" spans="1:256">
      <c r="A20" s="2"/>
      <c r="B20" s="4"/>
      <c r="C20" s="2"/>
      <c r="D20" s="2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</row>
    <row r="21" spans="1:256">
      <c r="A21" s="2" t="s">
        <v>331</v>
      </c>
      <c r="B21" s="4"/>
      <c r="C21" s="2" t="s">
        <v>1230</v>
      </c>
      <c r="D21" s="2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</row>
    <row r="22" spans="1:256">
      <c r="A22" s="2"/>
      <c r="B22" s="4"/>
      <c r="C22" s="2" t="s">
        <v>1233</v>
      </c>
      <c r="D22" s="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</row>
    <row r="23" spans="1:256">
      <c r="A23" s="2"/>
      <c r="B23" s="4"/>
      <c r="C23" s="2" t="s">
        <v>1232</v>
      </c>
      <c r="D23" s="2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</row>
    <row r="24" spans="1:256">
      <c r="A24" s="2"/>
      <c r="B24" s="4"/>
      <c r="C24" s="2">
        <v>4</v>
      </c>
      <c r="D24" s="2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</row>
    <row r="25" spans="1:256">
      <c r="A25" s="2"/>
      <c r="B25" s="4"/>
      <c r="C25" s="2"/>
      <c r="D25" s="2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</row>
    <row r="26" spans="1:256">
      <c r="A26" s="2"/>
      <c r="B26" s="2"/>
      <c r="C26" s="2"/>
      <c r="D26" s="2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</row>
    <row r="27" spans="1:256">
      <c r="A27" s="2" t="s">
        <v>564</v>
      </c>
      <c r="B27" s="2"/>
      <c r="J27" t="s">
        <v>578</v>
      </c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</row>
    <row r="28" spans="1:256" s="5" customFormat="1">
      <c r="C28" s="5" t="s">
        <v>2</v>
      </c>
      <c r="D28" s="5" t="s">
        <v>3</v>
      </c>
      <c r="E28" s="5" t="s">
        <v>4</v>
      </c>
      <c r="F28" s="130" t="s">
        <v>326</v>
      </c>
      <c r="G28" s="5" t="s">
        <v>5</v>
      </c>
      <c r="H28" s="130" t="s">
        <v>576</v>
      </c>
      <c r="J28" s="339" t="s">
        <v>577</v>
      </c>
    </row>
    <row r="29" spans="1:256">
      <c r="A29" s="6" t="s">
        <v>6</v>
      </c>
      <c r="B29" s="6"/>
      <c r="C29" s="7">
        <f>Jan!G33</f>
        <v>-14069.079999999991</v>
      </c>
      <c r="D29" s="7">
        <f>Jan!$G$30</f>
        <v>0</v>
      </c>
      <c r="E29" s="7">
        <f>Jan!B4</f>
        <v>6679.56</v>
      </c>
      <c r="F29" s="7">
        <f>Jan!G28</f>
        <v>0</v>
      </c>
      <c r="G29" s="7">
        <f>Jan!G11</f>
        <v>750</v>
      </c>
      <c r="H29" s="7">
        <f>Jan!G32</f>
        <v>19998.639999999992</v>
      </c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</row>
    <row r="30" spans="1:256">
      <c r="A30" s="6" t="s">
        <v>7</v>
      </c>
      <c r="B30" s="6"/>
      <c r="C30" s="7">
        <f>Feb!G33</f>
        <v>-32097.780000000006</v>
      </c>
      <c r="D30" s="7">
        <f>Feb!$G$30</f>
        <v>5966</v>
      </c>
      <c r="E30" s="7">
        <f>Feb!B4</f>
        <v>6679.55</v>
      </c>
      <c r="F30" s="7">
        <f>Feb!G28</f>
        <v>0</v>
      </c>
      <c r="G30" s="7">
        <f>Feb!G11</f>
        <v>750</v>
      </c>
      <c r="H30" s="7">
        <f>Feb!G32</f>
        <v>44148.670000000006</v>
      </c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</row>
    <row r="31" spans="1:256">
      <c r="A31" s="6" t="s">
        <v>8</v>
      </c>
      <c r="B31" s="6"/>
      <c r="C31" s="7">
        <f>Mar!G33</f>
        <v>-9392.2399999999907</v>
      </c>
      <c r="D31" s="7">
        <f>Mar!$G$30</f>
        <v>0</v>
      </c>
      <c r="E31" s="7">
        <f>Mar!B4</f>
        <v>24320.010000000002</v>
      </c>
      <c r="F31" s="7">
        <f>Mar!G28</f>
        <v>0</v>
      </c>
      <c r="G31" s="7">
        <f>Mar!G11</f>
        <v>1050</v>
      </c>
      <c r="H31" s="7">
        <f>Mar!G32</f>
        <v>32662.249999999993</v>
      </c>
      <c r="J31" t="s">
        <v>1223</v>
      </c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</row>
    <row r="32" spans="1:256">
      <c r="A32" s="6" t="s">
        <v>9</v>
      </c>
      <c r="B32" s="6"/>
      <c r="C32" s="7">
        <f>Apr!G33</f>
        <v>-19132.420000000006</v>
      </c>
      <c r="D32" s="7">
        <f>Apr!$G$30</f>
        <v>0</v>
      </c>
      <c r="E32" s="7">
        <f>Apr!B4</f>
        <v>19290.239999999998</v>
      </c>
      <c r="F32" s="7">
        <f>Apr!G28</f>
        <v>0</v>
      </c>
      <c r="G32" s="7">
        <f>Apr!G11</f>
        <v>550</v>
      </c>
      <c r="H32" s="7">
        <f>Apr!G32</f>
        <v>37872.660000000003</v>
      </c>
      <c r="J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</row>
    <row r="33" spans="1:256">
      <c r="A33" s="6" t="s">
        <v>10</v>
      </c>
      <c r="B33" s="6"/>
      <c r="C33" s="7">
        <f>May!G33</f>
        <v>1268.3800000000022</v>
      </c>
      <c r="D33" s="7">
        <f>May!$G$30</f>
        <v>1331</v>
      </c>
      <c r="E33" s="7">
        <f>May!B4</f>
        <v>9440.36</v>
      </c>
      <c r="F33" s="7">
        <f>May!G28</f>
        <v>0</v>
      </c>
      <c r="G33" s="7">
        <f>May!G11</f>
        <v>350</v>
      </c>
      <c r="H33" s="7">
        <f>May!G32</f>
        <v>9338.5099999999984</v>
      </c>
      <c r="J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</row>
    <row r="34" spans="1:256">
      <c r="A34" s="6" t="s">
        <v>11</v>
      </c>
      <c r="B34" s="6"/>
      <c r="C34" s="7">
        <f>Jun!G33</f>
        <v>3272.09</v>
      </c>
      <c r="D34" s="7">
        <f>Jun!$G$30</f>
        <v>0</v>
      </c>
      <c r="E34" s="7">
        <f>Jun!B4</f>
        <v>12177.05</v>
      </c>
      <c r="F34" s="7">
        <f>Jun!G28</f>
        <v>0</v>
      </c>
      <c r="G34" s="7">
        <f>Jun!G11</f>
        <v>1050</v>
      </c>
      <c r="H34" s="7">
        <f>Jun!G32</f>
        <v>7854.9599999999991</v>
      </c>
      <c r="J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</row>
    <row r="35" spans="1:256">
      <c r="A35" s="6" t="s">
        <v>12</v>
      </c>
      <c r="B35" s="6"/>
      <c r="C35" s="7">
        <f>July!G33</f>
        <v>-1356.9900000000016</v>
      </c>
      <c r="D35" s="7">
        <f>July!$G$30</f>
        <v>0</v>
      </c>
      <c r="E35" s="7">
        <f>July!B4</f>
        <v>15968.92</v>
      </c>
      <c r="F35" s="7">
        <f>July!G28</f>
        <v>4595</v>
      </c>
      <c r="G35" s="7">
        <f>July!G11</f>
        <v>750</v>
      </c>
      <c r="H35" s="7">
        <f>July!G32</f>
        <v>11980.910000000002</v>
      </c>
      <c r="J35" t="s">
        <v>1234</v>
      </c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</row>
    <row r="36" spans="1:256">
      <c r="A36" s="6" t="s">
        <v>13</v>
      </c>
      <c r="B36" s="6"/>
      <c r="C36" s="7">
        <f>Aug!G33</f>
        <v>-3985</v>
      </c>
      <c r="D36" s="7">
        <f>Aug!$G$30</f>
        <v>0</v>
      </c>
      <c r="E36" s="7">
        <f>Aug!B4</f>
        <v>7904.18</v>
      </c>
      <c r="F36" s="7">
        <f>Aug!G28</f>
        <v>4000</v>
      </c>
      <c r="G36" s="7">
        <f>Aug!G11</f>
        <v>1397.51</v>
      </c>
      <c r="H36" s="7">
        <f>Aug!G32</f>
        <v>6466.67</v>
      </c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  <c r="IV36"/>
    </row>
    <row r="37" spans="1:256">
      <c r="A37" s="6" t="s">
        <v>14</v>
      </c>
      <c r="B37" s="6"/>
      <c r="C37" s="7">
        <f>Sep!G33</f>
        <v>2529.0500000000011</v>
      </c>
      <c r="D37" s="7">
        <f>Sep!$G$30</f>
        <v>0</v>
      </c>
      <c r="E37" s="7">
        <f>Sep!B4</f>
        <v>11605.72</v>
      </c>
      <c r="F37" s="7">
        <f>Sep!G28</f>
        <v>2000</v>
      </c>
      <c r="G37" s="7">
        <f>Sep!G11</f>
        <v>1450</v>
      </c>
      <c r="H37" s="7">
        <f>Sep!G32</f>
        <v>5626.6699999999983</v>
      </c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</row>
    <row r="38" spans="1:256">
      <c r="A38" s="6" t="s">
        <v>15</v>
      </c>
      <c r="B38" s="6"/>
      <c r="C38" s="7">
        <f>Oct!G33</f>
        <v>28133.910000000091</v>
      </c>
      <c r="D38" s="7">
        <f>Oct!$G$30</f>
        <v>0</v>
      </c>
      <c r="E38" s="7">
        <f>Oct!B4</f>
        <v>439906.42</v>
      </c>
      <c r="F38" s="7">
        <f>Oct!G28</f>
        <v>81378.42</v>
      </c>
      <c r="G38" s="7">
        <f>Oct!G11</f>
        <v>1250</v>
      </c>
      <c r="H38" s="7">
        <f>Oct!G32</f>
        <v>329144.08999999991</v>
      </c>
      <c r="J38" s="1" t="s">
        <v>1305</v>
      </c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</row>
    <row r="39" spans="1:256">
      <c r="A39" s="6" t="s">
        <v>16</v>
      </c>
      <c r="B39" s="6"/>
      <c r="C39" s="7">
        <f>Nov!G33</f>
        <v>30415.03</v>
      </c>
      <c r="D39" s="7">
        <f>Nov!$G$30</f>
        <v>0</v>
      </c>
      <c r="E39" s="7">
        <f>Nov!B4</f>
        <v>41749.31</v>
      </c>
      <c r="F39" s="7">
        <f>Nov!G28</f>
        <v>0</v>
      </c>
      <c r="G39" s="7">
        <f>Nov!G11</f>
        <v>1850</v>
      </c>
      <c r="H39" s="7">
        <f>Nov!G32</f>
        <v>9484.2800000000007</v>
      </c>
      <c r="J39" s="1" t="s">
        <v>1298</v>
      </c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</row>
    <row r="40" spans="1:256">
      <c r="A40" s="6" t="s">
        <v>17</v>
      </c>
      <c r="B40" s="6"/>
      <c r="C40" s="7">
        <f>Dec!G33</f>
        <v>-4569.1400000000012</v>
      </c>
      <c r="D40" s="7">
        <f>Dec!$G$30</f>
        <v>0</v>
      </c>
      <c r="E40" s="7">
        <f>Dec!B4</f>
        <v>13267.8</v>
      </c>
      <c r="F40" s="7">
        <f>Dec!G28</f>
        <v>0</v>
      </c>
      <c r="G40" s="7">
        <f>Dec!G11</f>
        <v>6450</v>
      </c>
      <c r="H40" s="7">
        <f>Dec!G32</f>
        <v>11386.94</v>
      </c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</row>
    <row r="42" spans="1:256" ht="13.5" thickBot="1">
      <c r="A42" s="368" t="s">
        <v>79</v>
      </c>
      <c r="C42" s="8">
        <f t="shared" ref="C42:H42" si="0">SUM(C29:C40)</f>
        <v>-18984.1899999999</v>
      </c>
      <c r="D42" s="8">
        <f t="shared" si="0"/>
        <v>7297</v>
      </c>
      <c r="E42" s="8">
        <f t="shared" si="0"/>
        <v>608989.12000000011</v>
      </c>
      <c r="F42" s="8">
        <f t="shared" si="0"/>
        <v>91973.42</v>
      </c>
      <c r="G42" s="8">
        <f t="shared" si="0"/>
        <v>17647.510000000002</v>
      </c>
      <c r="H42" s="468">
        <f t="shared" si="0"/>
        <v>525965.24999999988</v>
      </c>
      <c r="J42" s="9">
        <f>G42/E46</f>
        <v>0.12026452114473624</v>
      </c>
      <c r="K42" s="1" t="s">
        <v>18</v>
      </c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  <c r="HU42"/>
      <c r="HV42"/>
      <c r="HW42"/>
      <c r="HX42"/>
      <c r="HY42"/>
      <c r="HZ42"/>
      <c r="IA42"/>
      <c r="IB42"/>
      <c r="IC42"/>
      <c r="ID42"/>
      <c r="IE42"/>
      <c r="IF42"/>
      <c r="IG42"/>
      <c r="IH42"/>
      <c r="II42"/>
      <c r="IJ42"/>
      <c r="IK42"/>
      <c r="IL42"/>
      <c r="IM42"/>
      <c r="IN42"/>
      <c r="IO42"/>
      <c r="IP42"/>
      <c r="IQ42"/>
      <c r="IR42"/>
      <c r="IS42"/>
      <c r="IT42"/>
      <c r="IU42"/>
      <c r="IV42"/>
    </row>
    <row r="43" spans="1:256" ht="13.5" thickTop="1">
      <c r="C43" s="7"/>
      <c r="G43" s="1" t="s">
        <v>1308</v>
      </c>
      <c r="H43" s="121">
        <f>322955.62</f>
        <v>322955.62</v>
      </c>
      <c r="I43" t="s">
        <v>723</v>
      </c>
      <c r="J43" s="11">
        <f>H45/E42</f>
        <v>1.3417382563419194E-2</v>
      </c>
      <c r="K43" s="1" t="s">
        <v>19</v>
      </c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  <c r="IG43"/>
      <c r="IH43"/>
      <c r="II43"/>
      <c r="IJ43"/>
      <c r="IK43"/>
      <c r="IL43"/>
      <c r="IM43"/>
      <c r="IN43"/>
      <c r="IO43"/>
      <c r="IP43"/>
      <c r="IQ43"/>
      <c r="IR43"/>
      <c r="IS43"/>
      <c r="IT43"/>
      <c r="IU43"/>
      <c r="IV43"/>
    </row>
    <row r="44" spans="1:256">
      <c r="A44" s="1" t="s">
        <v>793</v>
      </c>
      <c r="C44" s="7">
        <v>4469.26</v>
      </c>
      <c r="D44" s="1" t="s">
        <v>1306</v>
      </c>
      <c r="E44" s="1">
        <v>-432000</v>
      </c>
      <c r="H44" s="467">
        <f>H42-H43</f>
        <v>203009.62999999989</v>
      </c>
      <c r="J44" s="11">
        <f>H46/E46</f>
        <v>0.16851061939038464</v>
      </c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J44"/>
      <c r="GK44"/>
      <c r="GL44"/>
      <c r="GM44"/>
      <c r="GN44"/>
      <c r="GO44"/>
      <c r="GP44"/>
      <c r="GQ44"/>
      <c r="GR44"/>
      <c r="GS44"/>
      <c r="GT44"/>
      <c r="GU44"/>
      <c r="GV44"/>
      <c r="GW44"/>
      <c r="GX44"/>
      <c r="GY44"/>
      <c r="GZ44"/>
      <c r="HA44"/>
      <c r="HB44"/>
      <c r="HC44"/>
      <c r="HD44"/>
      <c r="HE44"/>
      <c r="HF44"/>
      <c r="HG44"/>
      <c r="HH44"/>
      <c r="HI44"/>
      <c r="HJ44"/>
      <c r="HK44"/>
      <c r="HL44"/>
      <c r="HM44"/>
      <c r="HN44"/>
      <c r="HO44"/>
      <c r="HP44"/>
      <c r="HQ44"/>
      <c r="HR44"/>
      <c r="HS44"/>
      <c r="HT44"/>
      <c r="HU44"/>
      <c r="HV44"/>
      <c r="HW44"/>
      <c r="HX44"/>
      <c r="HY44"/>
      <c r="HZ44"/>
      <c r="IA44"/>
      <c r="IB44"/>
      <c r="IC44"/>
      <c r="ID44"/>
      <c r="IE44"/>
      <c r="IF44"/>
      <c r="IG44"/>
      <c r="IH44"/>
      <c r="II44"/>
      <c r="IJ44"/>
      <c r="IK44"/>
      <c r="IL44"/>
      <c r="IM44"/>
      <c r="IN44"/>
      <c r="IO44"/>
      <c r="IP44"/>
      <c r="IQ44"/>
      <c r="IR44"/>
      <c r="IS44"/>
      <c r="IT44"/>
      <c r="IU44"/>
      <c r="IV44"/>
    </row>
    <row r="45" spans="1:256">
      <c r="A45" t="s">
        <v>684</v>
      </c>
      <c r="D45" s="1" t="s">
        <v>1307</v>
      </c>
      <c r="E45" s="1">
        <v>-30250</v>
      </c>
      <c r="G45" t="s">
        <v>724</v>
      </c>
      <c r="H45" s="10">
        <f>564*12+467.68*3</f>
        <v>8171.04</v>
      </c>
      <c r="J45" s="389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J45"/>
      <c r="GK45"/>
      <c r="GL45"/>
      <c r="GM45"/>
      <c r="GN45"/>
      <c r="GO45"/>
      <c r="GP45"/>
      <c r="GQ45"/>
      <c r="GR45"/>
      <c r="GS45"/>
      <c r="GT45"/>
      <c r="GU45"/>
      <c r="GV45"/>
      <c r="GW45"/>
      <c r="GX45"/>
      <c r="GY45"/>
      <c r="GZ45"/>
      <c r="HA45"/>
      <c r="HB45"/>
      <c r="HC45"/>
      <c r="HD45"/>
      <c r="HE45"/>
      <c r="HF45"/>
      <c r="HG45"/>
      <c r="HH45"/>
      <c r="HI45"/>
      <c r="HJ45"/>
      <c r="HK45"/>
      <c r="HL45"/>
      <c r="HM45"/>
      <c r="HN45"/>
      <c r="HO45"/>
      <c r="HP45"/>
      <c r="HQ45"/>
      <c r="HR45"/>
      <c r="HS45"/>
      <c r="HT45"/>
      <c r="HU45"/>
      <c r="HV45"/>
      <c r="HW45"/>
      <c r="HX45"/>
      <c r="HY45"/>
      <c r="HZ45"/>
      <c r="IA45"/>
      <c r="IB45"/>
      <c r="IC45"/>
      <c r="ID45"/>
      <c r="IE45"/>
      <c r="IF45"/>
      <c r="IG45"/>
      <c r="IH45"/>
      <c r="II45"/>
      <c r="IJ45"/>
      <c r="IK45"/>
      <c r="IL45"/>
      <c r="IM45"/>
      <c r="IN45"/>
      <c r="IO45"/>
      <c r="IP45"/>
      <c r="IQ45"/>
      <c r="IR45"/>
      <c r="IS45"/>
      <c r="IT45"/>
      <c r="IU45"/>
      <c r="IV45"/>
    </row>
    <row r="46" spans="1:256" ht="13.5" thickBot="1">
      <c r="A46" t="s">
        <v>789</v>
      </c>
      <c r="E46" s="369">
        <f>E42+E44+E45</f>
        <v>146739.12000000011</v>
      </c>
      <c r="G46" t="s">
        <v>725</v>
      </c>
      <c r="H46" s="10">
        <f>2472.71*10</f>
        <v>24727.1</v>
      </c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/>
      <c r="FM46"/>
      <c r="FN46"/>
      <c r="FO46"/>
      <c r="FP46"/>
      <c r="FQ46"/>
      <c r="FR46"/>
      <c r="FS46"/>
      <c r="FT46"/>
      <c r="FU46"/>
      <c r="FV46"/>
      <c r="FW46"/>
      <c r="FX46"/>
      <c r="FY46"/>
      <c r="FZ46"/>
      <c r="GA46"/>
      <c r="GB46"/>
      <c r="GC46"/>
      <c r="GD46"/>
      <c r="GE46"/>
      <c r="GF46"/>
      <c r="GG46"/>
      <c r="GH46"/>
      <c r="GI46"/>
      <c r="GJ46"/>
      <c r="GK46"/>
      <c r="GL46"/>
      <c r="GM46"/>
      <c r="GN46"/>
      <c r="GO46"/>
      <c r="GP46"/>
      <c r="GQ46"/>
      <c r="GR46"/>
      <c r="GS46"/>
      <c r="GT46"/>
      <c r="GU46"/>
      <c r="GV46"/>
      <c r="GW46"/>
      <c r="GX46"/>
      <c r="GY46"/>
      <c r="GZ46"/>
      <c r="HA46"/>
      <c r="HB46"/>
      <c r="HC46"/>
      <c r="HD46"/>
      <c r="HE46"/>
      <c r="HF46"/>
      <c r="HG46"/>
      <c r="HH46"/>
      <c r="HI46"/>
      <c r="HJ46"/>
      <c r="HK46"/>
      <c r="HL46"/>
      <c r="HM46"/>
      <c r="HN46"/>
      <c r="HO46"/>
      <c r="HP46"/>
      <c r="HQ46"/>
      <c r="HR46"/>
      <c r="HS46"/>
      <c r="HT46"/>
      <c r="HU46"/>
      <c r="HV46"/>
      <c r="HW46"/>
      <c r="HX46"/>
      <c r="HY46"/>
      <c r="HZ46"/>
      <c r="IA46"/>
      <c r="IB46"/>
      <c r="IC46"/>
      <c r="ID46"/>
      <c r="IE46"/>
      <c r="IF46"/>
      <c r="IG46"/>
      <c r="IH46"/>
      <c r="II46"/>
      <c r="IJ46"/>
      <c r="IK46"/>
      <c r="IL46"/>
      <c r="IM46"/>
      <c r="IN46"/>
      <c r="IO46"/>
      <c r="IP46"/>
      <c r="IQ46"/>
      <c r="IR46"/>
      <c r="IS46"/>
      <c r="IT46"/>
      <c r="IU46"/>
      <c r="IV46"/>
    </row>
    <row r="47" spans="1:256" ht="13.5" thickTop="1">
      <c r="A47" s="1" t="s">
        <v>794</v>
      </c>
      <c r="C47" s="1">
        <f>7566.25-10000</f>
        <v>-2433.75</v>
      </c>
      <c r="G47" s="1" t="s">
        <v>1304</v>
      </c>
      <c r="H47" s="121">
        <f>134173.28-16300.76</f>
        <v>117872.52</v>
      </c>
      <c r="J47" s="11">
        <f>H48/E46</f>
        <v>0.35599893198214522</v>
      </c>
      <c r="K47" s="1" t="s">
        <v>20</v>
      </c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  <c r="FQ47"/>
      <c r="FR47"/>
      <c r="FS47"/>
      <c r="FT47"/>
      <c r="FU47"/>
      <c r="FV47"/>
      <c r="FW47"/>
      <c r="FX47"/>
      <c r="FY47"/>
      <c r="FZ47"/>
      <c r="GA47"/>
      <c r="GB47"/>
      <c r="GC47"/>
      <c r="GD47"/>
      <c r="GE47"/>
      <c r="GF47"/>
      <c r="GG47"/>
      <c r="GH47"/>
      <c r="GI47"/>
      <c r="GJ47"/>
      <c r="GK47"/>
      <c r="GL47"/>
      <c r="GM47"/>
      <c r="GN47"/>
      <c r="GO47"/>
      <c r="GP47"/>
      <c r="GQ47"/>
      <c r="GR47"/>
      <c r="GS47"/>
      <c r="GT47"/>
      <c r="GU47"/>
      <c r="GV47"/>
      <c r="GW47"/>
      <c r="GX47"/>
      <c r="GY47"/>
      <c r="GZ47"/>
      <c r="HA47"/>
      <c r="HB47"/>
      <c r="HC47"/>
      <c r="HD47"/>
      <c r="HE47"/>
      <c r="HF47"/>
      <c r="HG47"/>
      <c r="HH47"/>
      <c r="HI47"/>
      <c r="HJ47"/>
      <c r="HK47"/>
      <c r="HL47"/>
      <c r="HM47"/>
      <c r="HN47"/>
      <c r="HO47"/>
      <c r="HP47"/>
      <c r="HQ47"/>
      <c r="HR47"/>
      <c r="HS47"/>
      <c r="HT47"/>
      <c r="HU47"/>
      <c r="HV47"/>
      <c r="HW47"/>
      <c r="HX47"/>
      <c r="HY47"/>
      <c r="HZ47"/>
      <c r="IA47"/>
      <c r="IB47"/>
      <c r="IC47"/>
      <c r="ID47"/>
      <c r="IE47"/>
      <c r="IF47"/>
      <c r="IG47"/>
      <c r="IH47"/>
      <c r="II47"/>
      <c r="IJ47"/>
      <c r="IK47"/>
      <c r="IL47"/>
      <c r="IM47"/>
      <c r="IN47"/>
      <c r="IO47"/>
      <c r="IP47"/>
      <c r="IQ47"/>
      <c r="IR47"/>
      <c r="IS47"/>
      <c r="IT47"/>
      <c r="IU47"/>
      <c r="IV47"/>
    </row>
    <row r="48" spans="1:256" ht="13.5" thickBot="1">
      <c r="A48" t="s">
        <v>685</v>
      </c>
      <c r="G48" s="1" t="s">
        <v>791</v>
      </c>
      <c r="H48" s="8">
        <f>H44-SUM(H45:H47)</f>
        <v>52238.969999999885</v>
      </c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</row>
    <row r="49" spans="1:256" ht="13.5" thickTop="1"/>
    <row r="50" spans="1:256">
      <c r="A50" s="1" t="s">
        <v>759</v>
      </c>
      <c r="C50" s="1">
        <f>121.26-99.22</f>
        <v>22.040000000000006</v>
      </c>
      <c r="G50" s="1" t="s">
        <v>792</v>
      </c>
      <c r="H50" s="12">
        <f>H48/12</f>
        <v>4353.2474999999904</v>
      </c>
      <c r="J50"/>
      <c r="K50"/>
    </row>
    <row r="51" spans="1:256" ht="13.5" thickBot="1">
      <c r="A51" s="127" t="s">
        <v>688</v>
      </c>
      <c r="C51" s="369">
        <f>SUM(C42:C50)</f>
        <v>-16926.639999999898</v>
      </c>
      <c r="G51" s="1" t="s">
        <v>21</v>
      </c>
      <c r="H51" s="7">
        <f>H42/12</f>
        <v>43830.437499999993</v>
      </c>
    </row>
    <row r="52" spans="1:256" ht="13.5" thickTop="1">
      <c r="A52" s="127"/>
      <c r="C52" s="390"/>
      <c r="H52" s="7"/>
    </row>
    <row r="53" spans="1:256">
      <c r="A53" s="127"/>
      <c r="C53" s="390"/>
      <c r="H53" s="7"/>
    </row>
    <row r="54" spans="1:256">
      <c r="A54" s="127"/>
      <c r="C54" s="390"/>
      <c r="H54" s="7"/>
    </row>
    <row r="55" spans="1:256">
      <c r="A55" s="127"/>
      <c r="C55" s="390"/>
      <c r="H55" s="7"/>
    </row>
    <row r="56" spans="1:256">
      <c r="A56" s="127"/>
      <c r="C56" s="390"/>
    </row>
    <row r="57" spans="1:256">
      <c r="A57" s="127"/>
      <c r="C57" s="390"/>
      <c r="L57" t="s">
        <v>1331</v>
      </c>
    </row>
    <row r="58" spans="1:256">
      <c r="A58" s="2" t="s">
        <v>22</v>
      </c>
      <c r="B58" s="2"/>
      <c r="C58" s="471" t="s">
        <v>23</v>
      </c>
      <c r="D58" s="131" t="s">
        <v>1318</v>
      </c>
      <c r="E58" s="131" t="s">
        <v>1319</v>
      </c>
      <c r="F58" s="131" t="s">
        <v>1320</v>
      </c>
      <c r="G58" s="131" t="s">
        <v>1321</v>
      </c>
      <c r="H58" s="131" t="s">
        <v>1322</v>
      </c>
      <c r="I58" s="319" t="s">
        <v>1329</v>
      </c>
      <c r="J58" s="472" t="s">
        <v>1330</v>
      </c>
      <c r="K58" s="319" t="s">
        <v>1323</v>
      </c>
      <c r="L58" s="104" t="s">
        <v>1324</v>
      </c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  <c r="FJ58"/>
      <c r="FK58"/>
      <c r="FL58"/>
      <c r="FM58"/>
      <c r="FN58"/>
      <c r="FO58"/>
      <c r="FP58"/>
      <c r="FQ58"/>
      <c r="FR58"/>
      <c r="FS58"/>
      <c r="FT58"/>
      <c r="FU58"/>
      <c r="FV58"/>
      <c r="FW58"/>
      <c r="FX58"/>
      <c r="FY58"/>
      <c r="FZ58"/>
      <c r="GA58"/>
      <c r="GB58"/>
      <c r="GC58"/>
      <c r="GD58"/>
      <c r="GE58"/>
      <c r="GF58"/>
      <c r="GG58"/>
      <c r="GH58"/>
      <c r="GI58"/>
      <c r="GJ58"/>
      <c r="GK58"/>
      <c r="GL58"/>
      <c r="GM58"/>
      <c r="GN58"/>
      <c r="GO58"/>
      <c r="GP58"/>
      <c r="GQ58"/>
      <c r="GR58"/>
      <c r="GS58"/>
      <c r="GT58"/>
      <c r="GU58"/>
      <c r="GV58"/>
      <c r="GW58"/>
      <c r="GX58"/>
      <c r="GY58"/>
      <c r="GZ58"/>
      <c r="HA58"/>
      <c r="HB58"/>
      <c r="HC58"/>
      <c r="HD58"/>
      <c r="HE58"/>
      <c r="HF58"/>
      <c r="HG58"/>
      <c r="HH58"/>
      <c r="HI58"/>
      <c r="HJ58"/>
      <c r="HK58"/>
      <c r="HL58"/>
      <c r="HM58"/>
      <c r="HN58"/>
      <c r="HO58"/>
      <c r="HP58"/>
      <c r="HQ58"/>
      <c r="HR58"/>
      <c r="HS58"/>
      <c r="HT58"/>
      <c r="HU58"/>
      <c r="HV58"/>
      <c r="HW58"/>
      <c r="HX58"/>
      <c r="HY58"/>
      <c r="HZ58"/>
      <c r="IA58"/>
      <c r="IB58"/>
      <c r="IC58"/>
      <c r="ID58"/>
      <c r="IE58"/>
      <c r="IF58"/>
      <c r="IG58"/>
      <c r="IH58"/>
      <c r="II58"/>
      <c r="IJ58"/>
      <c r="IK58"/>
      <c r="IL58"/>
      <c r="IM58"/>
      <c r="IN58"/>
      <c r="IO58"/>
      <c r="IP58"/>
      <c r="IQ58"/>
      <c r="IR58"/>
      <c r="IS58"/>
      <c r="IT58"/>
      <c r="IU58"/>
      <c r="IV58"/>
    </row>
    <row r="59" spans="1:256">
      <c r="A59" s="1" t="s">
        <v>24</v>
      </c>
      <c r="C59" s="10">
        <f>Jan!G5+Feb!G5+Mar!G5+Apr!G5+May!G5+Jun!G5+July!G5+Aug!G5+Sep!G5+Oct!G5+Nov!G5+Dec!G5</f>
        <v>40043.33</v>
      </c>
      <c r="D59" s="121">
        <v>60110.18</v>
      </c>
      <c r="E59" s="121">
        <v>10518.95</v>
      </c>
      <c r="F59" s="121">
        <v>4842.83</v>
      </c>
      <c r="G59" s="121">
        <v>1132.5999999999999</v>
      </c>
      <c r="H59" s="121">
        <v>3002.05</v>
      </c>
      <c r="I59" s="121">
        <v>67.05</v>
      </c>
      <c r="J59" s="121">
        <v>63.75</v>
      </c>
      <c r="K59" s="121">
        <f>D59-SUM(E59:J59)</f>
        <v>40482.949999999997</v>
      </c>
      <c r="L59" s="121">
        <f>C59-K59</f>
        <v>-439.61999999999534</v>
      </c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/>
      <c r="FK59"/>
      <c r="FL59"/>
      <c r="FM59"/>
      <c r="FN59"/>
      <c r="FO59"/>
      <c r="FP59"/>
      <c r="FQ59"/>
      <c r="FR59"/>
      <c r="FS59"/>
      <c r="FT59"/>
      <c r="FU59"/>
      <c r="FV59"/>
      <c r="FW59"/>
      <c r="FX59"/>
      <c r="FY59"/>
      <c r="FZ59"/>
      <c r="GA59"/>
      <c r="GB59"/>
      <c r="GC59"/>
      <c r="GD59"/>
      <c r="GE59"/>
      <c r="GF59"/>
      <c r="GG59"/>
      <c r="GH59"/>
      <c r="GI59"/>
      <c r="GJ59"/>
      <c r="GK59"/>
      <c r="GL59"/>
      <c r="GM59"/>
      <c r="GN59"/>
      <c r="GO59"/>
      <c r="GP59"/>
      <c r="GQ59"/>
      <c r="GR59"/>
      <c r="GS59"/>
      <c r="GT59"/>
      <c r="GU59"/>
      <c r="GV59"/>
      <c r="GW59"/>
      <c r="GX59"/>
      <c r="GY59"/>
      <c r="GZ59"/>
      <c r="HA59"/>
      <c r="HB59"/>
      <c r="HC59"/>
      <c r="HD59"/>
      <c r="HE59"/>
      <c r="HF59"/>
      <c r="HG59"/>
      <c r="HH59"/>
      <c r="HI59"/>
      <c r="HJ59"/>
      <c r="HK59"/>
      <c r="HL59"/>
      <c r="HM59"/>
      <c r="HN59"/>
      <c r="HO59"/>
      <c r="HP59"/>
      <c r="HQ59"/>
      <c r="HR59"/>
      <c r="HS59"/>
      <c r="HT59"/>
      <c r="HU59"/>
      <c r="HV59"/>
      <c r="HW59"/>
      <c r="HX59"/>
      <c r="HY59"/>
      <c r="HZ59"/>
      <c r="IA59"/>
      <c r="IB59"/>
      <c r="IC59"/>
      <c r="ID59"/>
      <c r="IE59"/>
      <c r="IF59"/>
      <c r="IG59"/>
      <c r="IH59"/>
      <c r="II59"/>
      <c r="IJ59"/>
      <c r="IK59"/>
      <c r="IL59"/>
      <c r="IM59"/>
      <c r="IN59"/>
      <c r="IO59"/>
      <c r="IP59"/>
      <c r="IQ59"/>
      <c r="IR59"/>
      <c r="IS59"/>
      <c r="IT59"/>
      <c r="IU59"/>
      <c r="IV59"/>
    </row>
    <row r="60" spans="1:256">
      <c r="A60" s="426"/>
      <c r="C60" s="10"/>
      <c r="D60" s="121"/>
      <c r="E60" s="121"/>
      <c r="F60" s="121"/>
      <c r="G60" s="121"/>
      <c r="H60" s="121"/>
      <c r="I60" s="121"/>
      <c r="J60" s="121"/>
      <c r="K60" s="121"/>
      <c r="L60" s="121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/>
      <c r="FK60"/>
      <c r="FL60"/>
      <c r="FM60"/>
      <c r="FN60"/>
      <c r="FO60"/>
      <c r="FP60"/>
      <c r="FQ60"/>
      <c r="FR60"/>
      <c r="FS60"/>
      <c r="FT60"/>
      <c r="FU60"/>
      <c r="FV60"/>
      <c r="FW60"/>
      <c r="FX60"/>
      <c r="FY60"/>
      <c r="FZ60"/>
      <c r="GA60"/>
      <c r="GB60"/>
      <c r="GC60"/>
      <c r="GD60"/>
      <c r="GE60"/>
      <c r="GF60"/>
      <c r="GG60"/>
      <c r="GH60"/>
      <c r="GI60"/>
      <c r="GJ60"/>
      <c r="GK60"/>
      <c r="GL60"/>
      <c r="GM60"/>
      <c r="GN60"/>
      <c r="GO60"/>
      <c r="GP60"/>
      <c r="GQ60"/>
      <c r="GR60"/>
      <c r="GS60"/>
      <c r="GT60"/>
      <c r="GU60"/>
      <c r="GV60"/>
      <c r="GW60"/>
      <c r="GX60"/>
      <c r="GY60"/>
      <c r="GZ60"/>
      <c r="HA60"/>
      <c r="HB60"/>
      <c r="HC60"/>
      <c r="HD60"/>
      <c r="HE60"/>
      <c r="HF60"/>
      <c r="HG60"/>
      <c r="HH60"/>
      <c r="HI60"/>
      <c r="HJ60"/>
      <c r="HK60"/>
      <c r="HL60"/>
      <c r="HM60"/>
      <c r="HN60"/>
      <c r="HO60"/>
      <c r="HP60"/>
      <c r="HQ60"/>
      <c r="HR60"/>
      <c r="HS60"/>
      <c r="HT60"/>
      <c r="HU60"/>
      <c r="HV60"/>
      <c r="HW60"/>
      <c r="HX60"/>
      <c r="HY60"/>
      <c r="HZ60"/>
      <c r="IA60"/>
      <c r="IB60"/>
      <c r="IC60"/>
      <c r="ID60"/>
      <c r="IE60"/>
      <c r="IF60"/>
      <c r="IG60"/>
      <c r="IH60"/>
      <c r="II60"/>
      <c r="IJ60"/>
      <c r="IK60"/>
      <c r="IL60"/>
      <c r="IM60"/>
      <c r="IN60"/>
      <c r="IO60"/>
      <c r="IP60"/>
      <c r="IQ60"/>
      <c r="IR60"/>
      <c r="IS60"/>
      <c r="IT60"/>
      <c r="IU60"/>
      <c r="IV60"/>
    </row>
    <row r="61" spans="1:256">
      <c r="C61" s="10"/>
      <c r="D61" s="121"/>
      <c r="E61" s="121"/>
      <c r="F61" s="121"/>
      <c r="G61" s="121"/>
      <c r="H61" s="121"/>
      <c r="I61" s="121"/>
      <c r="J61" s="121"/>
      <c r="K61" s="121"/>
      <c r="L61" s="12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  <c r="FK61"/>
      <c r="FL61"/>
      <c r="FM61"/>
      <c r="FN61"/>
      <c r="FO61"/>
      <c r="FP61"/>
      <c r="FQ61"/>
      <c r="FR61"/>
      <c r="FS61"/>
      <c r="FT61"/>
      <c r="FU61"/>
      <c r="FV61"/>
      <c r="FW61"/>
      <c r="FX61"/>
      <c r="FY61"/>
      <c r="FZ61"/>
      <c r="GA61"/>
      <c r="GB61"/>
      <c r="GC61"/>
      <c r="GD61"/>
      <c r="GE61"/>
      <c r="GF61"/>
      <c r="GG61"/>
      <c r="GH61"/>
      <c r="GI61"/>
      <c r="GJ61"/>
      <c r="GK61"/>
      <c r="GL61"/>
      <c r="GM61"/>
      <c r="GN61"/>
      <c r="GO61"/>
      <c r="GP61"/>
      <c r="GQ61"/>
      <c r="GR61"/>
      <c r="GS61"/>
      <c r="GT61"/>
      <c r="GU61"/>
      <c r="GV61"/>
      <c r="GW61"/>
      <c r="GX61"/>
      <c r="GY61"/>
      <c r="GZ61"/>
      <c r="HA61"/>
      <c r="HB61"/>
      <c r="HC61"/>
      <c r="HD61"/>
      <c r="HE61"/>
      <c r="HF61"/>
      <c r="HG61"/>
      <c r="HH61"/>
      <c r="HI61"/>
      <c r="HJ61"/>
      <c r="HK61"/>
      <c r="HL61"/>
      <c r="HM61"/>
      <c r="HN61"/>
      <c r="HO61"/>
      <c r="HP61"/>
      <c r="HQ61"/>
      <c r="HR61"/>
      <c r="HS61"/>
      <c r="HT61"/>
      <c r="HU61"/>
      <c r="HV61"/>
      <c r="HW61"/>
      <c r="HX61"/>
      <c r="HY61"/>
      <c r="HZ61"/>
      <c r="IA61"/>
      <c r="IB61"/>
      <c r="IC61"/>
      <c r="ID61"/>
      <c r="IE61"/>
      <c r="IF61"/>
      <c r="IG61"/>
      <c r="IH61"/>
      <c r="II61"/>
      <c r="IJ61"/>
      <c r="IK61"/>
      <c r="IL61"/>
      <c r="IM61"/>
      <c r="IN61"/>
      <c r="IO61"/>
      <c r="IP61"/>
      <c r="IQ61"/>
      <c r="IR61"/>
      <c r="IS61"/>
      <c r="IT61"/>
      <c r="IU61"/>
      <c r="IV61"/>
    </row>
    <row r="62" spans="1:256">
      <c r="A62" t="s">
        <v>25</v>
      </c>
      <c r="B62" s="121"/>
      <c r="D62" s="121"/>
      <c r="E62" s="121"/>
      <c r="F62" s="121"/>
      <c r="G62" s="121"/>
      <c r="H62" s="121"/>
      <c r="I62" s="121"/>
      <c r="J62" s="121"/>
      <c r="K62" s="121"/>
      <c r="L62" s="121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/>
      <c r="FK62"/>
      <c r="FL62"/>
      <c r="FM62"/>
      <c r="FN62"/>
      <c r="FO62"/>
      <c r="FP62"/>
      <c r="FQ62"/>
      <c r="FR62"/>
      <c r="FS62"/>
      <c r="FT62"/>
      <c r="FU62"/>
      <c r="FV62"/>
      <c r="FW62"/>
      <c r="FX62"/>
      <c r="FY62"/>
      <c r="FZ62"/>
      <c r="GA62"/>
      <c r="GB62"/>
      <c r="GC62"/>
      <c r="GD62"/>
      <c r="GE62"/>
      <c r="GF62"/>
      <c r="GG62"/>
      <c r="GH62"/>
      <c r="GI62"/>
      <c r="GJ62"/>
      <c r="GK62"/>
      <c r="GL62"/>
      <c r="GM62"/>
      <c r="GN62"/>
      <c r="GO62"/>
      <c r="GP62"/>
      <c r="GQ62"/>
      <c r="GR62"/>
      <c r="GS62"/>
      <c r="GT62"/>
      <c r="GU62"/>
      <c r="GV62"/>
      <c r="GW62"/>
      <c r="GX62"/>
      <c r="GY62"/>
      <c r="GZ62"/>
      <c r="HA62"/>
      <c r="HB62"/>
      <c r="HC62"/>
      <c r="HD62"/>
      <c r="HE62"/>
      <c r="HF62"/>
      <c r="HG62"/>
      <c r="HH62"/>
      <c r="HI62"/>
      <c r="HJ62"/>
      <c r="HK62"/>
      <c r="HL62"/>
      <c r="HM62"/>
      <c r="HN62"/>
      <c r="HO62"/>
      <c r="HP62"/>
      <c r="HQ62"/>
      <c r="HR62"/>
      <c r="HS62"/>
      <c r="HT62"/>
      <c r="HU62"/>
      <c r="HV62"/>
      <c r="HW62"/>
      <c r="HX62"/>
      <c r="HY62"/>
      <c r="HZ62"/>
      <c r="IA62"/>
      <c r="IB62"/>
      <c r="IC62"/>
      <c r="ID62"/>
      <c r="IE62"/>
      <c r="IF62"/>
      <c r="IG62"/>
      <c r="IH62"/>
      <c r="II62"/>
      <c r="IJ62"/>
      <c r="IK62"/>
      <c r="IL62"/>
      <c r="IM62"/>
      <c r="IN62"/>
      <c r="IO62"/>
      <c r="IP62"/>
      <c r="IQ62"/>
      <c r="IR62"/>
      <c r="IS62"/>
      <c r="IT62"/>
      <c r="IU62"/>
      <c r="IV62"/>
    </row>
    <row r="63" spans="1:256">
      <c r="A63" s="130" t="s">
        <v>386</v>
      </c>
      <c r="B63" s="5"/>
      <c r="C63" s="10">
        <f>Jan!G6+Feb!G6+Mar!G6+Apr!G6+May!G6+Jun!G6+July!G6+Aug!G6+Sep!G6+Oct!G6+Nov!G6+Dec!G6</f>
        <v>20399.339999999997</v>
      </c>
      <c r="D63" s="121">
        <v>23100</v>
      </c>
      <c r="E63" s="121">
        <v>632.61</v>
      </c>
      <c r="F63" s="121">
        <v>1432.2</v>
      </c>
      <c r="G63" s="121">
        <v>334.95</v>
      </c>
      <c r="H63" s="121"/>
      <c r="I63" s="121">
        <v>184.66</v>
      </c>
      <c r="J63" s="121">
        <v>116.24</v>
      </c>
      <c r="K63" s="121">
        <f>D63-SUM(E63:J63)</f>
        <v>20399.34</v>
      </c>
      <c r="L63" s="121">
        <f>C63-K63</f>
        <v>0</v>
      </c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  <c r="FP63"/>
      <c r="FQ63"/>
      <c r="FR63"/>
      <c r="FS63"/>
      <c r="FT63"/>
      <c r="FU63"/>
      <c r="FV63"/>
      <c r="FW63"/>
      <c r="FX63"/>
      <c r="FY63"/>
      <c r="FZ63"/>
      <c r="GA63"/>
      <c r="GB63"/>
      <c r="GC63"/>
      <c r="GD63"/>
      <c r="GE63"/>
      <c r="GF63"/>
      <c r="GG63"/>
      <c r="GH63"/>
      <c r="GI63"/>
      <c r="GJ63"/>
      <c r="GK63"/>
      <c r="GL63"/>
      <c r="GM63"/>
      <c r="GN63"/>
      <c r="GO63"/>
      <c r="GP63"/>
      <c r="GQ63"/>
      <c r="GR63"/>
      <c r="GS63"/>
      <c r="GT63"/>
      <c r="GU63"/>
      <c r="GV63"/>
      <c r="GW63"/>
      <c r="GX63"/>
      <c r="GY63"/>
      <c r="GZ63"/>
      <c r="HA63"/>
      <c r="HB63"/>
      <c r="HC63"/>
      <c r="HD63"/>
      <c r="HE63"/>
      <c r="HF63"/>
      <c r="HG63"/>
      <c r="HH63"/>
      <c r="HI63"/>
      <c r="HJ63"/>
      <c r="HK63"/>
      <c r="HL63"/>
      <c r="HM63"/>
      <c r="HN63"/>
      <c r="HO63"/>
      <c r="HP63"/>
      <c r="HQ63"/>
      <c r="HR63"/>
      <c r="HS63"/>
      <c r="HT63"/>
      <c r="HU63"/>
      <c r="HV63"/>
      <c r="HW63"/>
      <c r="HX63"/>
      <c r="HY63"/>
      <c r="HZ63"/>
      <c r="IA63"/>
      <c r="IB63"/>
      <c r="IC63"/>
      <c r="ID63"/>
      <c r="IE63"/>
      <c r="IF63"/>
      <c r="IG63"/>
      <c r="IH63"/>
      <c r="II63"/>
      <c r="IJ63"/>
      <c r="IK63"/>
      <c r="IL63"/>
      <c r="IM63"/>
      <c r="IN63"/>
      <c r="IO63"/>
      <c r="IP63"/>
      <c r="IQ63"/>
      <c r="IR63"/>
      <c r="IS63"/>
      <c r="IT63"/>
      <c r="IU63"/>
      <c r="IV63"/>
    </row>
    <row r="64" spans="1:256">
      <c r="A64" s="130" t="s">
        <v>929</v>
      </c>
      <c r="B64" s="5"/>
      <c r="C64" s="10">
        <f>Jan!G7+Feb!G7+Mar!G7+Apr!G7+May!G7+Jun!G7+July!G7+Aug!G7+Sep!G7+Oct!G7+Nov!G7+Dec!G7</f>
        <v>86296.45</v>
      </c>
      <c r="D64" s="121">
        <v>135028.39000000001</v>
      </c>
      <c r="E64" s="121">
        <v>23034.09</v>
      </c>
      <c r="F64" s="121">
        <v>7374</v>
      </c>
      <c r="G64" s="121">
        <v>2031.11</v>
      </c>
      <c r="H64" s="121"/>
      <c r="I64" s="121">
        <v>9043.52</v>
      </c>
      <c r="J64" s="121">
        <v>4487.7700000000004</v>
      </c>
      <c r="K64" s="121">
        <f>D64-SUM(E64:J64)</f>
        <v>89057.900000000009</v>
      </c>
      <c r="L64" s="121">
        <f>C64-K64</f>
        <v>-2761.4500000000116</v>
      </c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  <c r="EM64"/>
      <c r="EN64"/>
      <c r="EO64"/>
      <c r="EP64"/>
      <c r="EQ64"/>
      <c r="ER64"/>
      <c r="ES64"/>
      <c r="ET64"/>
      <c r="EU64"/>
      <c r="EV64"/>
      <c r="EW64"/>
      <c r="EX64"/>
      <c r="EY64"/>
      <c r="EZ64"/>
      <c r="FA64"/>
      <c r="FB64"/>
      <c r="FC64"/>
      <c r="FD64"/>
      <c r="FE64"/>
      <c r="FF64"/>
      <c r="FG64"/>
      <c r="FH64"/>
      <c r="FI64"/>
      <c r="FJ64"/>
      <c r="FK64"/>
      <c r="FL64"/>
      <c r="FM64"/>
      <c r="FN64"/>
      <c r="FO64"/>
      <c r="FP64"/>
      <c r="FQ64"/>
      <c r="FR64"/>
      <c r="FS64"/>
      <c r="FT64"/>
      <c r="FU64"/>
      <c r="FV64"/>
      <c r="FW64"/>
      <c r="FX64"/>
      <c r="FY64"/>
      <c r="FZ64"/>
      <c r="GA64"/>
      <c r="GB64"/>
      <c r="GC64"/>
      <c r="GD64"/>
      <c r="GE64"/>
      <c r="GF64"/>
      <c r="GG64"/>
      <c r="GH64"/>
      <c r="GI64"/>
      <c r="GJ64"/>
      <c r="GK64"/>
      <c r="GL64"/>
      <c r="GM64"/>
      <c r="GN64"/>
      <c r="GO64"/>
      <c r="GP64"/>
      <c r="GQ64"/>
      <c r="GR64"/>
      <c r="GS64"/>
      <c r="GT64"/>
      <c r="GU64"/>
      <c r="GV64"/>
      <c r="GW64"/>
      <c r="GX64"/>
      <c r="GY64"/>
      <c r="GZ64"/>
      <c r="HA64"/>
      <c r="HB64"/>
      <c r="HC64"/>
      <c r="HD64"/>
      <c r="HE64"/>
      <c r="HF64"/>
      <c r="HG64"/>
      <c r="HH64"/>
      <c r="HI64"/>
      <c r="HJ64"/>
      <c r="HK64"/>
      <c r="HL64"/>
      <c r="HM64"/>
      <c r="HN64"/>
      <c r="HO64"/>
      <c r="HP64"/>
      <c r="HQ64"/>
      <c r="HR64"/>
      <c r="HS64"/>
      <c r="HT64"/>
      <c r="HU64"/>
      <c r="HV64"/>
      <c r="HW64"/>
      <c r="HX64"/>
      <c r="HY64"/>
      <c r="HZ64"/>
      <c r="IA64"/>
      <c r="IB64"/>
      <c r="IC64"/>
      <c r="ID64"/>
      <c r="IE64"/>
      <c r="IF64"/>
      <c r="IG64"/>
      <c r="IH64"/>
      <c r="II64"/>
      <c r="IJ64"/>
      <c r="IK64"/>
      <c r="IL64"/>
      <c r="IM64"/>
      <c r="IN64"/>
      <c r="IO64"/>
      <c r="IP64"/>
      <c r="IQ64"/>
      <c r="IR64"/>
      <c r="IS64"/>
      <c r="IT64"/>
      <c r="IU64"/>
      <c r="IV64"/>
    </row>
    <row r="65" spans="1:256" ht="13.5" thickBot="1">
      <c r="A65" s="130" t="s">
        <v>387</v>
      </c>
      <c r="B65" s="5"/>
      <c r="C65" s="164">
        <f>SUM(C63:C64)</f>
        <v>106695.79</v>
      </c>
      <c r="D65" s="164">
        <f t="shared" ref="D65:L65" si="1">SUM(D63:D64)</f>
        <v>158128.39000000001</v>
      </c>
      <c r="E65" s="164">
        <f t="shared" si="1"/>
        <v>23666.7</v>
      </c>
      <c r="F65" s="164">
        <f t="shared" si="1"/>
        <v>8806.2000000000007</v>
      </c>
      <c r="G65" s="164">
        <f t="shared" si="1"/>
        <v>2366.06</v>
      </c>
      <c r="H65" s="164">
        <f t="shared" si="1"/>
        <v>0</v>
      </c>
      <c r="I65" s="164">
        <f t="shared" si="1"/>
        <v>9228.18</v>
      </c>
      <c r="J65" s="164">
        <f t="shared" si="1"/>
        <v>4604.01</v>
      </c>
      <c r="K65" s="164">
        <f t="shared" si="1"/>
        <v>109457.24</v>
      </c>
      <c r="L65" s="164">
        <f t="shared" si="1"/>
        <v>-2761.4500000000116</v>
      </c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/>
      <c r="EJ65"/>
      <c r="EK65"/>
      <c r="EL65"/>
      <c r="EM65"/>
      <c r="EN65"/>
      <c r="EO65"/>
      <c r="EP65"/>
      <c r="EQ65"/>
      <c r="ER65"/>
      <c r="ES65"/>
      <c r="ET65"/>
      <c r="EU65"/>
      <c r="EV65"/>
      <c r="EW65"/>
      <c r="EX65"/>
      <c r="EY65"/>
      <c r="EZ65"/>
      <c r="FA65"/>
      <c r="FB65"/>
      <c r="FC65"/>
      <c r="FD65"/>
      <c r="FE65"/>
      <c r="FF65"/>
      <c r="FG65"/>
      <c r="FH65"/>
      <c r="FI65"/>
      <c r="FJ65"/>
      <c r="FK65"/>
      <c r="FL65"/>
      <c r="FM65"/>
      <c r="FN65"/>
      <c r="FO65"/>
      <c r="FP65"/>
      <c r="FQ65"/>
      <c r="FR65"/>
      <c r="FS65"/>
      <c r="FT65"/>
      <c r="FU65"/>
      <c r="FV65"/>
      <c r="FW65"/>
      <c r="FX65"/>
      <c r="FY65"/>
      <c r="FZ65"/>
      <c r="GA65"/>
      <c r="GB65"/>
      <c r="GC65"/>
      <c r="GD65"/>
      <c r="GE65"/>
      <c r="GF65"/>
      <c r="GG65"/>
      <c r="GH65"/>
      <c r="GI65"/>
      <c r="GJ65"/>
      <c r="GK65"/>
      <c r="GL65"/>
      <c r="GM65"/>
      <c r="GN65"/>
      <c r="GO65"/>
      <c r="GP65"/>
      <c r="GQ65"/>
      <c r="GR65"/>
      <c r="GS65"/>
      <c r="GT65"/>
      <c r="GU65"/>
      <c r="GV65"/>
      <c r="GW65"/>
      <c r="GX65"/>
      <c r="GY65"/>
      <c r="GZ65"/>
      <c r="HA65"/>
      <c r="HB65"/>
      <c r="HC65"/>
      <c r="HD65"/>
      <c r="HE65"/>
      <c r="HF65"/>
      <c r="HG65"/>
      <c r="HH65"/>
      <c r="HI65"/>
      <c r="HJ65"/>
      <c r="HK65"/>
      <c r="HL65"/>
      <c r="HM65"/>
      <c r="HN65"/>
      <c r="HO65"/>
      <c r="HP65"/>
      <c r="HQ65"/>
      <c r="HR65"/>
      <c r="HS65"/>
      <c r="HT65"/>
      <c r="HU65"/>
      <c r="HV65"/>
      <c r="HW65"/>
      <c r="HX65"/>
      <c r="HY65"/>
      <c r="HZ65"/>
      <c r="IA65"/>
      <c r="IB65"/>
      <c r="IC65"/>
      <c r="ID65"/>
      <c r="IE65"/>
      <c r="IF65"/>
      <c r="IG65"/>
      <c r="IH65"/>
      <c r="II65"/>
      <c r="IJ65"/>
      <c r="IK65"/>
      <c r="IL65"/>
      <c r="IM65"/>
      <c r="IN65"/>
      <c r="IO65"/>
      <c r="IP65"/>
      <c r="IQ65"/>
      <c r="IR65"/>
      <c r="IS65"/>
      <c r="IT65"/>
      <c r="IU65"/>
      <c r="IV65"/>
    </row>
    <row r="66" spans="1:256">
      <c r="A66" s="5"/>
      <c r="B66" s="5"/>
      <c r="C66" s="163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/>
      <c r="EL66"/>
      <c r="EM66"/>
      <c r="EN66"/>
      <c r="EO66"/>
      <c r="EP66"/>
      <c r="EQ66"/>
      <c r="ER66"/>
      <c r="ES66"/>
      <c r="ET66"/>
      <c r="EU66"/>
      <c r="EV66"/>
      <c r="EW66"/>
      <c r="EX66"/>
      <c r="EY66"/>
      <c r="EZ66"/>
      <c r="FA66"/>
      <c r="FB66"/>
      <c r="FC66"/>
      <c r="FD66"/>
      <c r="FE66"/>
      <c r="FF66"/>
      <c r="FG66"/>
      <c r="FH66"/>
      <c r="FI66"/>
      <c r="FJ66"/>
      <c r="FK66"/>
      <c r="FL66"/>
      <c r="FM66"/>
      <c r="FN66"/>
      <c r="FO66"/>
      <c r="FP66"/>
      <c r="FQ66"/>
      <c r="FR66"/>
      <c r="FS66"/>
      <c r="FT66"/>
      <c r="FU66"/>
      <c r="FV66"/>
      <c r="FW66"/>
      <c r="FX66"/>
      <c r="FY66"/>
      <c r="FZ66"/>
      <c r="GA66"/>
      <c r="GB66"/>
      <c r="GC66"/>
      <c r="GD66"/>
      <c r="GE66"/>
      <c r="GF66"/>
      <c r="GG66"/>
      <c r="GH66"/>
      <c r="GI66"/>
      <c r="GJ66"/>
      <c r="GK66"/>
      <c r="GL66"/>
      <c r="GM66"/>
      <c r="GN66"/>
      <c r="GO66"/>
      <c r="GP66"/>
      <c r="GQ66"/>
      <c r="GR66"/>
      <c r="GS66"/>
      <c r="GT66"/>
      <c r="GU66"/>
      <c r="GV66"/>
      <c r="GW66"/>
      <c r="GX66"/>
      <c r="GY66"/>
      <c r="GZ66"/>
      <c r="HA66"/>
      <c r="HB66"/>
      <c r="HC66"/>
      <c r="HD66"/>
      <c r="HE66"/>
      <c r="HF66"/>
      <c r="HG66"/>
      <c r="HH66"/>
      <c r="HI66"/>
      <c r="HJ66"/>
      <c r="HK66"/>
      <c r="HL66"/>
      <c r="HM66"/>
      <c r="HN66"/>
      <c r="HO66"/>
      <c r="HP66"/>
      <c r="HQ66"/>
      <c r="HR66"/>
      <c r="HS66"/>
      <c r="HT66"/>
      <c r="HU66"/>
      <c r="HV66"/>
      <c r="HW66"/>
      <c r="HX66"/>
      <c r="HY66"/>
      <c r="HZ66"/>
      <c r="IA66"/>
      <c r="IB66"/>
      <c r="IC66"/>
      <c r="ID66"/>
      <c r="IE66"/>
      <c r="IF66"/>
      <c r="IG66"/>
      <c r="IH66"/>
      <c r="II66"/>
      <c r="IJ66"/>
      <c r="IK66"/>
      <c r="IL66"/>
      <c r="IM66"/>
      <c r="IN66"/>
      <c r="IO66"/>
      <c r="IP66"/>
      <c r="IQ66"/>
      <c r="IR66"/>
      <c r="IS66"/>
      <c r="IT66"/>
      <c r="IU66"/>
      <c r="IV66"/>
    </row>
    <row r="67" spans="1:256" ht="13.5" thickBot="1">
      <c r="A67" s="141" t="s">
        <v>388</v>
      </c>
      <c r="C67" s="162">
        <f>C59+C65</f>
        <v>146739.12</v>
      </c>
      <c r="D67" s="162">
        <f t="shared" ref="D67:L67" si="2">D59+D65</f>
        <v>218238.57</v>
      </c>
      <c r="E67" s="162">
        <f t="shared" si="2"/>
        <v>34185.65</v>
      </c>
      <c r="F67" s="162">
        <f t="shared" si="2"/>
        <v>13649.03</v>
      </c>
      <c r="G67" s="162">
        <f t="shared" si="2"/>
        <v>3498.66</v>
      </c>
      <c r="H67" s="162">
        <f t="shared" si="2"/>
        <v>3002.05</v>
      </c>
      <c r="I67" s="162">
        <f t="shared" si="2"/>
        <v>9295.23</v>
      </c>
      <c r="J67" s="162">
        <f t="shared" si="2"/>
        <v>4667.76</v>
      </c>
      <c r="K67" s="162">
        <f t="shared" si="2"/>
        <v>149940.19</v>
      </c>
      <c r="L67" s="162">
        <f t="shared" si="2"/>
        <v>-3201.070000000007</v>
      </c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/>
      <c r="EJ67"/>
      <c r="EK67"/>
      <c r="EL67"/>
      <c r="EM67"/>
      <c r="EN67"/>
      <c r="EO67"/>
      <c r="EP67"/>
      <c r="EQ67"/>
      <c r="ER67"/>
      <c r="ES67"/>
      <c r="ET67"/>
      <c r="EU67"/>
      <c r="EV67"/>
      <c r="EW67"/>
      <c r="EX67"/>
      <c r="EY67"/>
      <c r="EZ67"/>
      <c r="FA67"/>
      <c r="FB67"/>
      <c r="FC67"/>
      <c r="FD67"/>
      <c r="FE67"/>
      <c r="FF67"/>
      <c r="FG67"/>
      <c r="FH67"/>
      <c r="FI67"/>
      <c r="FJ67"/>
      <c r="FK67"/>
      <c r="FL67"/>
      <c r="FM67"/>
      <c r="FN67"/>
      <c r="FO67"/>
      <c r="FP67"/>
      <c r="FQ67"/>
      <c r="FR67"/>
      <c r="FS67"/>
      <c r="FT67"/>
      <c r="FU67"/>
      <c r="FV67"/>
      <c r="FW67"/>
      <c r="FX67"/>
      <c r="FY67"/>
      <c r="FZ67"/>
      <c r="GA67"/>
      <c r="GB67"/>
      <c r="GC67"/>
      <c r="GD67"/>
      <c r="GE67"/>
      <c r="GF67"/>
      <c r="GG67"/>
      <c r="GH67"/>
      <c r="GI67"/>
      <c r="GJ67"/>
      <c r="GK67"/>
      <c r="GL67"/>
      <c r="GM67"/>
      <c r="GN67"/>
      <c r="GO67"/>
      <c r="GP67"/>
      <c r="GQ67"/>
      <c r="GR67"/>
      <c r="GS67"/>
      <c r="GT67"/>
      <c r="GU67"/>
      <c r="GV67"/>
      <c r="GW67"/>
      <c r="GX67"/>
      <c r="GY67"/>
      <c r="GZ67"/>
      <c r="HA67"/>
      <c r="HB67"/>
      <c r="HC67"/>
      <c r="HD67"/>
      <c r="HE67"/>
      <c r="HF67"/>
      <c r="HG67"/>
      <c r="HH67"/>
      <c r="HI67"/>
      <c r="HJ67"/>
      <c r="HK67"/>
      <c r="HL67"/>
      <c r="HM67"/>
      <c r="HN67"/>
      <c r="HO67"/>
      <c r="HP67"/>
      <c r="HQ67"/>
      <c r="HR67"/>
      <c r="HS67"/>
      <c r="HT67"/>
      <c r="HU67"/>
      <c r="HV67"/>
      <c r="HW67"/>
      <c r="HX67"/>
      <c r="HY67"/>
      <c r="HZ67"/>
      <c r="IA67"/>
      <c r="IB67"/>
      <c r="IC67"/>
      <c r="ID67"/>
      <c r="IE67"/>
      <c r="IF67"/>
      <c r="IG67"/>
      <c r="IH67"/>
      <c r="II67"/>
      <c r="IJ67"/>
      <c r="IK67"/>
      <c r="IL67"/>
      <c r="IM67"/>
      <c r="IN67"/>
      <c r="IO67"/>
      <c r="IP67"/>
      <c r="IQ67"/>
      <c r="IR67"/>
      <c r="IS67"/>
      <c r="IT67"/>
      <c r="IU67"/>
      <c r="IV67"/>
    </row>
    <row r="68" spans="1:256" ht="13.5" thickTop="1">
      <c r="F68" s="1">
        <v>-7374</v>
      </c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  <c r="FL68"/>
      <c r="FM68"/>
      <c r="FN68"/>
      <c r="FO68"/>
      <c r="FP68"/>
      <c r="FQ68"/>
      <c r="FR68"/>
      <c r="FS68"/>
      <c r="FT68"/>
      <c r="FU68"/>
      <c r="FV68"/>
      <c r="FW68"/>
      <c r="FX68"/>
      <c r="FY68"/>
      <c r="FZ68"/>
      <c r="GA68"/>
      <c r="GB68"/>
      <c r="GC68"/>
      <c r="GD68"/>
      <c r="GE68"/>
      <c r="GF68"/>
      <c r="GG68"/>
      <c r="GH68"/>
      <c r="GI68"/>
      <c r="GJ68"/>
      <c r="GK68"/>
      <c r="GL68"/>
      <c r="GM68"/>
      <c r="GN68"/>
      <c r="GO68"/>
      <c r="GP68"/>
      <c r="GQ68"/>
      <c r="GR68"/>
      <c r="GS68"/>
      <c r="GT68"/>
      <c r="GU68"/>
      <c r="GV68"/>
      <c r="GW68"/>
      <c r="GX68"/>
      <c r="GY68"/>
      <c r="GZ68"/>
      <c r="HA68"/>
      <c r="HB68"/>
      <c r="HC68"/>
      <c r="HD68"/>
      <c r="HE68"/>
      <c r="HF68"/>
      <c r="HG68"/>
      <c r="HH68"/>
      <c r="HI68"/>
      <c r="HJ68"/>
      <c r="HK68"/>
      <c r="HL68"/>
      <c r="HM68"/>
      <c r="HN68"/>
      <c r="HO68"/>
      <c r="HP68"/>
      <c r="HQ68"/>
      <c r="HR68"/>
      <c r="HS68"/>
      <c r="HT68"/>
      <c r="HU68"/>
      <c r="HV68"/>
      <c r="HW68"/>
      <c r="HX68"/>
      <c r="HY68"/>
      <c r="HZ68"/>
      <c r="IA68"/>
      <c r="IB68"/>
      <c r="IC68"/>
      <c r="ID68"/>
      <c r="IE68"/>
      <c r="IF68"/>
      <c r="IG68"/>
      <c r="IH68"/>
      <c r="II68"/>
      <c r="IJ68"/>
      <c r="IK68"/>
      <c r="IL68"/>
      <c r="IM68"/>
      <c r="IN68"/>
      <c r="IO68"/>
      <c r="IP68"/>
      <c r="IQ68"/>
      <c r="IR68"/>
      <c r="IS68"/>
      <c r="IT68"/>
      <c r="IU68"/>
      <c r="IV68"/>
    </row>
    <row r="69" spans="1:256" ht="13.5" thickBot="1">
      <c r="F69" s="473">
        <f>SUM(F67:F68)</f>
        <v>6275.0300000000007</v>
      </c>
      <c r="I69">
        <f>I64/D64</f>
        <v>6.6974952452591635E-2</v>
      </c>
      <c r="J69" s="1">
        <f>J64/D64</f>
        <v>3.3235751385319784E-2</v>
      </c>
    </row>
    <row r="70" spans="1:256" ht="13.5" thickTop="1"/>
    <row r="71" spans="1:256">
      <c r="A71" s="1" t="s">
        <v>1328</v>
      </c>
      <c r="I71" s="474">
        <f>SUM(I59:I64)</f>
        <v>9295.23</v>
      </c>
      <c r="J71" s="474">
        <f>SUM(J59:J64)</f>
        <v>4667.76</v>
      </c>
    </row>
    <row r="72" spans="1:256">
      <c r="A72" s="1" t="s">
        <v>1325</v>
      </c>
      <c r="C72" s="121">
        <f>5073.42</f>
        <v>5073.42</v>
      </c>
    </row>
    <row r="73" spans="1:256">
      <c r="A73" s="1" t="s">
        <v>1326</v>
      </c>
      <c r="C73" s="121">
        <v>5114.8</v>
      </c>
    </row>
    <row r="74" spans="1:256">
      <c r="A74" s="1" t="s">
        <v>1327</v>
      </c>
      <c r="C74" s="121">
        <f>1099.1+1132.08+1132.08+1179</f>
        <v>4542.26</v>
      </c>
    </row>
    <row r="75" spans="1:256" ht="13.5" thickBot="1">
      <c r="C75" s="424">
        <f>SUM(C72:C74)</f>
        <v>14730.480000000001</v>
      </c>
    </row>
    <row r="76" spans="1:256" ht="13.5" thickTop="1"/>
    <row r="79" spans="1:256">
      <c r="F79" s="476">
        <f>C75+D82+C81</f>
        <v>24108.860000000004</v>
      </c>
    </row>
    <row r="80" spans="1:256">
      <c r="A80" s="1" t="s">
        <v>1332</v>
      </c>
      <c r="D80" s="1" t="s">
        <v>1362</v>
      </c>
      <c r="E80" s="1" t="s">
        <v>1363</v>
      </c>
    </row>
    <row r="81" spans="1:5">
      <c r="A81" s="1" t="s">
        <v>1326</v>
      </c>
      <c r="C81" s="121">
        <v>6379.38</v>
      </c>
      <c r="D81" s="1">
        <v>1523</v>
      </c>
    </row>
    <row r="82" spans="1:5">
      <c r="A82" s="1" t="s">
        <v>1327</v>
      </c>
      <c r="C82" s="121">
        <v>10699.87</v>
      </c>
      <c r="D82" s="1">
        <v>2999</v>
      </c>
    </row>
    <row r="83" spans="1:5" ht="13.5" thickBot="1">
      <c r="C83" s="424">
        <f>SUM(C81:C82)</f>
        <v>17079.25</v>
      </c>
      <c r="D83" s="424">
        <f>SUM(D81:D82)</f>
        <v>4522</v>
      </c>
      <c r="E83" s="476">
        <f>C83-D83</f>
        <v>12557.25</v>
      </c>
    </row>
    <row r="84" spans="1:5" ht="13.5" thickTop="1"/>
    <row r="85" spans="1:5">
      <c r="A85" s="1" t="s">
        <v>1333</v>
      </c>
    </row>
    <row r="86" spans="1:5">
      <c r="A86" s="1" t="s">
        <v>589</v>
      </c>
      <c r="C86" s="1">
        <v>440.71</v>
      </c>
    </row>
    <row r="87" spans="1:5">
      <c r="A87" s="1" t="s">
        <v>1334</v>
      </c>
      <c r="C87" s="1">
        <v>21.61</v>
      </c>
    </row>
    <row r="88" spans="1:5" ht="13.5" thickBot="1">
      <c r="C88" s="475">
        <f>SUM(C86:C87)</f>
        <v>462.32</v>
      </c>
    </row>
    <row r="65564" spans="1:256" ht="13.5" customHeight="1">
      <c r="A65564"/>
      <c r="B65564"/>
      <c r="C65564"/>
      <c r="D65564"/>
      <c r="E65564"/>
      <c r="F65564"/>
      <c r="G65564"/>
      <c r="H65564"/>
      <c r="J65564"/>
      <c r="K65564"/>
      <c r="L65564"/>
      <c r="M65564"/>
      <c r="N65564"/>
      <c r="O65564"/>
      <c r="P65564"/>
      <c r="Q65564"/>
      <c r="R65564"/>
      <c r="S65564"/>
      <c r="T65564"/>
      <c r="U65564"/>
      <c r="V65564"/>
      <c r="W65564"/>
      <c r="X65564"/>
      <c r="Y65564"/>
      <c r="Z65564"/>
      <c r="AA65564"/>
      <c r="AB65564"/>
      <c r="AC65564"/>
      <c r="AD65564"/>
      <c r="AE65564"/>
      <c r="AF65564"/>
      <c r="AG65564"/>
      <c r="AH65564"/>
      <c r="AI65564"/>
      <c r="AJ65564"/>
      <c r="AK65564"/>
      <c r="AL65564"/>
      <c r="AM65564"/>
      <c r="AN65564"/>
      <c r="AO65564"/>
      <c r="AP65564"/>
      <c r="AQ65564"/>
      <c r="AR65564"/>
      <c r="AS65564"/>
      <c r="AT65564"/>
      <c r="AU65564"/>
      <c r="AV65564"/>
      <c r="AW65564"/>
      <c r="AX65564"/>
      <c r="AY65564"/>
      <c r="AZ65564"/>
      <c r="BA65564"/>
      <c r="BB65564"/>
      <c r="BC65564"/>
      <c r="BD65564"/>
      <c r="BE65564"/>
      <c r="BF65564"/>
      <c r="BG65564"/>
      <c r="BH65564"/>
      <c r="BI65564"/>
      <c r="BJ65564"/>
      <c r="BK65564"/>
      <c r="BL65564"/>
      <c r="BM65564"/>
      <c r="BN65564"/>
      <c r="BO65564"/>
      <c r="BP65564"/>
      <c r="BQ65564"/>
      <c r="BR65564"/>
      <c r="BS65564"/>
      <c r="BT65564"/>
      <c r="BU65564"/>
      <c r="BV65564"/>
      <c r="BW65564"/>
      <c r="BX65564"/>
      <c r="BY65564"/>
      <c r="BZ65564"/>
      <c r="CA65564"/>
      <c r="CB65564"/>
      <c r="CC65564"/>
      <c r="CD65564"/>
      <c r="CE65564"/>
      <c r="CF65564"/>
      <c r="CG65564"/>
      <c r="CH65564"/>
      <c r="CI65564"/>
      <c r="CJ65564"/>
      <c r="CK65564"/>
      <c r="CL65564"/>
      <c r="CM65564"/>
      <c r="CN65564"/>
      <c r="CO65564"/>
      <c r="CP65564"/>
      <c r="CQ65564"/>
      <c r="CR65564"/>
      <c r="CS65564"/>
      <c r="CT65564"/>
      <c r="CU65564"/>
      <c r="CV65564"/>
      <c r="CW65564"/>
      <c r="CX65564"/>
      <c r="CY65564"/>
      <c r="CZ65564"/>
      <c r="DA65564"/>
      <c r="DB65564"/>
      <c r="DC65564"/>
      <c r="DD65564"/>
      <c r="DE65564"/>
      <c r="DF65564"/>
      <c r="DG65564"/>
      <c r="DH65564"/>
      <c r="DI65564"/>
      <c r="DJ65564"/>
      <c r="DK65564"/>
      <c r="DL65564"/>
      <c r="DM65564"/>
      <c r="DN65564"/>
      <c r="DO65564"/>
      <c r="DP65564"/>
      <c r="DQ65564"/>
      <c r="DR65564"/>
      <c r="DS65564"/>
      <c r="DT65564"/>
      <c r="DU65564"/>
      <c r="DV65564"/>
      <c r="DW65564"/>
      <c r="DX65564"/>
      <c r="DY65564"/>
      <c r="DZ65564"/>
      <c r="EA65564"/>
      <c r="EB65564"/>
      <c r="EC65564"/>
      <c r="ED65564"/>
      <c r="EE65564"/>
      <c r="EF65564"/>
      <c r="EG65564"/>
      <c r="EH65564"/>
      <c r="EI65564"/>
      <c r="EJ65564"/>
      <c r="EK65564"/>
      <c r="EL65564"/>
      <c r="EM65564"/>
      <c r="EN65564"/>
      <c r="EO65564"/>
      <c r="EP65564"/>
      <c r="EQ65564"/>
      <c r="ER65564"/>
      <c r="ES65564"/>
      <c r="ET65564"/>
      <c r="EU65564"/>
      <c r="EV65564"/>
      <c r="EW65564"/>
      <c r="EX65564"/>
      <c r="EY65564"/>
      <c r="EZ65564"/>
      <c r="FA65564"/>
      <c r="FB65564"/>
      <c r="FC65564"/>
      <c r="FD65564"/>
      <c r="FE65564"/>
      <c r="FF65564"/>
      <c r="FG65564"/>
      <c r="FH65564"/>
      <c r="FI65564"/>
      <c r="FJ65564"/>
      <c r="FK65564"/>
      <c r="FL65564"/>
      <c r="FM65564"/>
      <c r="FN65564"/>
      <c r="FO65564"/>
      <c r="FP65564"/>
      <c r="FQ65564"/>
      <c r="FR65564"/>
      <c r="FS65564"/>
      <c r="FT65564"/>
      <c r="FU65564"/>
      <c r="FV65564"/>
      <c r="FW65564"/>
      <c r="FX65564"/>
      <c r="FY65564"/>
      <c r="FZ65564"/>
      <c r="GA65564"/>
      <c r="GB65564"/>
      <c r="GC65564"/>
      <c r="GD65564"/>
      <c r="GE65564"/>
      <c r="GF65564"/>
      <c r="GG65564"/>
      <c r="GH65564"/>
      <c r="GI65564"/>
      <c r="GJ65564"/>
      <c r="GK65564"/>
      <c r="GL65564"/>
      <c r="GM65564"/>
      <c r="GN65564"/>
      <c r="GO65564"/>
      <c r="GP65564"/>
      <c r="GQ65564"/>
      <c r="GR65564"/>
      <c r="GS65564"/>
      <c r="GT65564"/>
      <c r="GU65564"/>
      <c r="GV65564"/>
      <c r="GW65564"/>
      <c r="GX65564"/>
      <c r="GY65564"/>
      <c r="GZ65564"/>
      <c r="HA65564"/>
      <c r="HB65564"/>
      <c r="HC65564"/>
      <c r="HD65564"/>
      <c r="HE65564"/>
      <c r="HF65564"/>
      <c r="HG65564"/>
      <c r="HH65564"/>
      <c r="HI65564"/>
      <c r="HJ65564"/>
      <c r="HK65564"/>
      <c r="HL65564"/>
      <c r="HM65564"/>
      <c r="HN65564"/>
      <c r="HO65564"/>
      <c r="HP65564"/>
      <c r="HQ65564"/>
      <c r="HR65564"/>
      <c r="HS65564"/>
      <c r="HT65564"/>
      <c r="HU65564"/>
      <c r="HV65564"/>
      <c r="HW65564"/>
      <c r="HX65564"/>
      <c r="HY65564"/>
      <c r="HZ65564"/>
      <c r="IA65564"/>
      <c r="IB65564"/>
      <c r="IC65564"/>
      <c r="ID65564"/>
      <c r="IE65564"/>
      <c r="IF65564"/>
      <c r="IG65564"/>
      <c r="IH65564"/>
      <c r="II65564"/>
      <c r="IJ65564"/>
      <c r="IK65564"/>
      <c r="IL65564"/>
      <c r="IM65564"/>
      <c r="IN65564"/>
      <c r="IO65564"/>
      <c r="IP65564"/>
      <c r="IQ65564"/>
      <c r="IR65564"/>
      <c r="IS65564"/>
      <c r="IT65564"/>
      <c r="IU65564"/>
      <c r="IV65564"/>
    </row>
  </sheetData>
  <sheetProtection selectLockedCells="1" selectUnlockedCells="1"/>
  <pageMargins left="0.75" right="0.75" top="1" bottom="1" header="0.51180555555555551" footer="0.51180555555555551"/>
  <pageSetup firstPageNumber="0" orientation="portrait" horizontalDpi="300" verticalDpi="30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0"/>
  <sheetViews>
    <sheetView topLeftCell="A36" zoomScale="84" zoomScaleNormal="84" workbookViewId="0">
      <selection activeCell="N128" sqref="N128"/>
    </sheetView>
  </sheetViews>
  <sheetFormatPr defaultColWidth="9" defaultRowHeight="15.75"/>
  <cols>
    <col min="1" max="1" width="24.42578125" style="74" customWidth="1"/>
    <col min="2" max="2" width="18" style="65" customWidth="1"/>
    <col min="3" max="3" width="17.140625" style="65" customWidth="1"/>
    <col min="4" max="5" width="16.5703125" style="65" customWidth="1"/>
    <col min="6" max="6" width="15.28515625" style="65" customWidth="1"/>
    <col min="7" max="7" width="13.5703125" style="65" customWidth="1"/>
    <col min="8" max="8" width="13.85546875" style="65" customWidth="1"/>
    <col min="9" max="10" width="14" style="65" customWidth="1"/>
    <col min="11" max="11" width="2.28515625" style="80" customWidth="1"/>
    <col min="12" max="12" width="11.5703125" style="65" customWidth="1"/>
    <col min="13" max="13" width="11.85546875" style="65" customWidth="1"/>
    <col min="14" max="15" width="11.5703125" style="65" customWidth="1"/>
    <col min="16" max="16" width="1.7109375" style="65" customWidth="1"/>
    <col min="17" max="17" width="11.7109375" style="65" customWidth="1"/>
    <col min="18" max="18" width="11.5703125" style="65" customWidth="1"/>
    <col min="19" max="16384" width="9" style="65"/>
  </cols>
  <sheetData>
    <row r="1" spans="1:16">
      <c r="A1" s="71" t="s">
        <v>182</v>
      </c>
      <c r="B1" s="72">
        <v>2015</v>
      </c>
      <c r="C1" s="72"/>
      <c r="L1" s="73" t="s">
        <v>492</v>
      </c>
    </row>
    <row r="2" spans="1:16">
      <c r="A2" s="71" t="s">
        <v>171</v>
      </c>
      <c r="B2" s="73" t="s">
        <v>17</v>
      </c>
      <c r="C2" s="73"/>
      <c r="M2" s="73" t="s">
        <v>481</v>
      </c>
    </row>
    <row r="3" spans="1:16">
      <c r="M3" s="73" t="s">
        <v>480</v>
      </c>
      <c r="O3" s="75"/>
    </row>
    <row r="4" spans="1:16">
      <c r="A4" s="71" t="s">
        <v>4</v>
      </c>
      <c r="B4" s="76">
        <f>SUM(G5:G8)</f>
        <v>13267.8</v>
      </c>
      <c r="C4" s="76"/>
      <c r="F4" s="93"/>
      <c r="G4" s="65" t="s">
        <v>31</v>
      </c>
      <c r="L4" s="77"/>
      <c r="M4" s="73" t="s">
        <v>720</v>
      </c>
      <c r="O4" s="75"/>
    </row>
    <row r="5" spans="1:16" ht="12.75">
      <c r="A5" s="65" t="s">
        <v>24</v>
      </c>
      <c r="B5" s="121"/>
      <c r="C5" s="122"/>
      <c r="F5" s="93"/>
      <c r="G5" s="121">
        <f>SUM(B5:E5)</f>
        <v>0</v>
      </c>
      <c r="H5" s="77"/>
      <c r="I5" s="77"/>
      <c r="J5" s="77"/>
      <c r="K5" s="81"/>
      <c r="L5" s="77"/>
      <c r="O5" s="75"/>
    </row>
    <row r="6" spans="1:16" ht="12.75">
      <c r="A6" s="65" t="s">
        <v>230</v>
      </c>
      <c r="C6" s="75"/>
      <c r="F6" s="93"/>
      <c r="G6" s="121">
        <f>SUM(B6:E6)</f>
        <v>0</v>
      </c>
      <c r="H6" s="77"/>
      <c r="I6" s="77"/>
      <c r="J6" s="77"/>
      <c r="K6" s="81"/>
      <c r="L6" s="77"/>
      <c r="O6" s="75"/>
    </row>
    <row r="7" spans="1:16" ht="12.75">
      <c r="A7" s="65" t="s">
        <v>964</v>
      </c>
      <c r="B7" s="65">
        <v>4318.57</v>
      </c>
      <c r="C7" s="65">
        <v>4390.18</v>
      </c>
      <c r="D7" s="65">
        <v>4559.05</v>
      </c>
      <c r="F7" s="93"/>
      <c r="G7" s="121">
        <f>SUM(B7:E7)</f>
        <v>13267.8</v>
      </c>
      <c r="H7" s="77"/>
      <c r="I7" s="77"/>
      <c r="J7" s="77"/>
      <c r="K7" s="81"/>
      <c r="L7" s="77"/>
      <c r="O7" s="75"/>
    </row>
    <row r="8" spans="1:16">
      <c r="F8" s="93"/>
      <c r="G8" s="121"/>
      <c r="H8" s="77"/>
      <c r="I8" s="77"/>
      <c r="J8" s="77"/>
      <c r="K8" s="81"/>
      <c r="P8" s="75"/>
    </row>
    <row r="9" spans="1:16" ht="13.5">
      <c r="A9" s="58"/>
      <c r="B9" s="62"/>
      <c r="C9" s="52"/>
      <c r="D9" s="52"/>
      <c r="E9" s="52"/>
      <c r="F9" s="261"/>
      <c r="G9" s="55"/>
      <c r="H9" s="52"/>
      <c r="I9" s="61" t="s">
        <v>34</v>
      </c>
      <c r="J9" s="90" t="s">
        <v>280</v>
      </c>
      <c r="M9" s="52"/>
    </row>
    <row r="10" spans="1:16" s="52" customFormat="1" ht="13.5">
      <c r="A10" s="58"/>
      <c r="B10" s="62"/>
      <c r="F10" s="261"/>
      <c r="G10" s="55" t="s">
        <v>234</v>
      </c>
      <c r="H10" s="52" t="s">
        <v>38</v>
      </c>
      <c r="I10" s="63" t="s">
        <v>37</v>
      </c>
      <c r="J10" s="91" t="s">
        <v>37</v>
      </c>
      <c r="K10" s="82"/>
    </row>
    <row r="11" spans="1:16" s="52" customFormat="1" ht="13.5">
      <c r="A11" s="58" t="s">
        <v>275</v>
      </c>
      <c r="B11" s="262">
        <f>G11</f>
        <v>6450</v>
      </c>
      <c r="D11" s="52" t="s">
        <v>277</v>
      </c>
      <c r="E11" s="52">
        <f>G11/B4</f>
        <v>0.48613937502826393</v>
      </c>
      <c r="F11" s="261"/>
      <c r="G11" s="53">
        <f>Tithe!D17</f>
        <v>6450</v>
      </c>
      <c r="H11" s="52">
        <v>1200</v>
      </c>
      <c r="I11" s="64">
        <f>H11-G11</f>
        <v>-5250</v>
      </c>
      <c r="J11" s="92">
        <f>Jan!I11+Feb!I11+Mar!I11+Apr!I11+May!I11+Jun!I11+July!I11+Aug!I11+Sep!I11+Oct!I11+Nov!I11+Dec!I11</f>
        <v>-3247.51</v>
      </c>
      <c r="K11" s="83"/>
    </row>
    <row r="12" spans="1:16" s="52" customFormat="1" ht="13.5">
      <c r="I12" s="64"/>
      <c r="J12" s="92"/>
      <c r="K12" s="84"/>
      <c r="L12" s="269" t="s">
        <v>493</v>
      </c>
    </row>
    <row r="13" spans="1:16" s="52" customFormat="1" ht="13.5">
      <c r="A13" s="58" t="s">
        <v>465</v>
      </c>
      <c r="B13" s="262">
        <f>SUM(G14:G20)</f>
        <v>0</v>
      </c>
      <c r="F13" s="261"/>
      <c r="G13" s="55"/>
      <c r="I13" s="64"/>
      <c r="J13" s="92"/>
      <c r="K13" s="84"/>
      <c r="L13" s="52" t="s">
        <v>1299</v>
      </c>
    </row>
    <row r="14" spans="1:16" s="52" customFormat="1" ht="13.5">
      <c r="B14" s="58" t="s">
        <v>385</v>
      </c>
      <c r="E14" s="52" t="s">
        <v>466</v>
      </c>
      <c r="F14" s="261"/>
      <c r="H14" s="52">
        <v>800</v>
      </c>
      <c r="I14" s="64">
        <f t="shared" ref="I14:I20" si="0">H14-G14</f>
        <v>800</v>
      </c>
      <c r="J14" s="92">
        <f>Jan!I14+Feb!I14+Mar!I14+Apr!I14+May!I14+Jun!I14+July!I14+Aug!I14+Sep!I14+Oct!I14+Nov!I14+Dec!I14</f>
        <v>4526.58</v>
      </c>
      <c r="K14" s="84"/>
      <c r="L14" s="56" t="s">
        <v>1300</v>
      </c>
    </row>
    <row r="15" spans="1:16" s="52" customFormat="1" ht="13.5">
      <c r="B15" s="58" t="s">
        <v>261</v>
      </c>
      <c r="E15" s="52" t="s">
        <v>466</v>
      </c>
      <c r="F15" s="261"/>
      <c r="H15" s="52">
        <v>200</v>
      </c>
      <c r="I15" s="64">
        <f t="shared" si="0"/>
        <v>200</v>
      </c>
      <c r="J15" s="92">
        <f>Jan!I15+Feb!I15+Mar!I15+Apr!I15+May!I15+Jun!I15+July!I15+Aug!I15+Sep!I15+Oct!I15+Nov!I15+Dec!I15</f>
        <v>2400</v>
      </c>
      <c r="K15" s="84"/>
    </row>
    <row r="16" spans="1:16" s="52" customFormat="1" ht="13.5">
      <c r="B16" s="58" t="s">
        <v>292</v>
      </c>
      <c r="E16" s="52" t="s">
        <v>466</v>
      </c>
      <c r="F16" s="261"/>
      <c r="H16" s="52">
        <v>300</v>
      </c>
      <c r="I16" s="64">
        <f t="shared" si="0"/>
        <v>300</v>
      </c>
      <c r="J16" s="92">
        <f>Jan!I16+Feb!I16+Mar!I16+Apr!I16+May!I16+Jun!I16+July!I16+Aug!I16+Sep!I16+Oct!I16+Nov!I16+Dec!I16</f>
        <v>3600</v>
      </c>
      <c r="K16" s="84"/>
    </row>
    <row r="17" spans="1:14" s="52" customFormat="1" ht="13.5">
      <c r="B17" s="58" t="s">
        <v>464</v>
      </c>
      <c r="E17" s="52" t="s">
        <v>466</v>
      </c>
      <c r="F17" s="261"/>
      <c r="H17" s="52">
        <v>200</v>
      </c>
      <c r="I17" s="64">
        <f t="shared" si="0"/>
        <v>200</v>
      </c>
      <c r="J17" s="92">
        <f>Jan!I17+Feb!I17+Mar!I17+Apr!I17+May!I17+Jun!I17+July!I17+Aug!I17+Sep!I17+Oct!I17+Nov!I17+Dec!I17</f>
        <v>2400</v>
      </c>
      <c r="K17" s="84"/>
    </row>
    <row r="18" spans="1:14" s="52" customFormat="1" ht="13.5">
      <c r="B18" s="58" t="s">
        <v>263</v>
      </c>
      <c r="E18" s="52" t="s">
        <v>467</v>
      </c>
      <c r="F18" s="261"/>
      <c r="H18" s="52">
        <v>50</v>
      </c>
      <c r="I18" s="64">
        <f t="shared" si="0"/>
        <v>50</v>
      </c>
      <c r="J18" s="92">
        <f>Jan!I18+Feb!I18+Mar!I18+Apr!I18+May!I18+Jun!I18+July!I18+Aug!I18+Sep!I18+Oct!I18+Nov!I18+Dec!I18</f>
        <v>600</v>
      </c>
      <c r="K18" s="84"/>
    </row>
    <row r="19" spans="1:14" s="52" customFormat="1" ht="13.5">
      <c r="B19" s="58" t="s">
        <v>262</v>
      </c>
      <c r="E19" s="52" t="s">
        <v>467</v>
      </c>
      <c r="F19" s="261"/>
      <c r="H19" s="52">
        <v>200</v>
      </c>
      <c r="I19" s="64">
        <f t="shared" si="0"/>
        <v>200</v>
      </c>
      <c r="J19" s="92">
        <f>Jan!I19+Feb!I19+Mar!I19+Apr!I19+May!I19+Jun!I19+July!I19+Aug!I19+Sep!I19+Oct!I19+Nov!I19+Dec!I19</f>
        <v>2400</v>
      </c>
      <c r="K19" s="84"/>
    </row>
    <row r="20" spans="1:14" s="52" customFormat="1" ht="13.5">
      <c r="B20" s="58" t="s">
        <v>293</v>
      </c>
      <c r="E20" s="52" t="s">
        <v>467</v>
      </c>
      <c r="H20" s="52">
        <v>300</v>
      </c>
      <c r="I20" s="64">
        <f t="shared" si="0"/>
        <v>300</v>
      </c>
      <c r="J20" s="92">
        <f>Jan!I20+Feb!I20+Mar!I20+Apr!I20+May!I20+Jun!I20+July!I20+Aug!I20+Sep!I20+Oct!I20+Nov!I20+Dec!I20</f>
        <v>3600</v>
      </c>
      <c r="K20" s="84"/>
    </row>
    <row r="21" spans="1:14" s="52" customFormat="1" ht="13.5">
      <c r="A21" s="58"/>
      <c r="F21" s="261"/>
      <c r="I21" s="64"/>
      <c r="J21" s="92"/>
      <c r="K21" s="84"/>
      <c r="L21" s="58" t="s">
        <v>494</v>
      </c>
    </row>
    <row r="22" spans="1:14" s="52" customFormat="1" ht="13.5">
      <c r="A22" s="58" t="s">
        <v>278</v>
      </c>
      <c r="B22" s="263">
        <f>G22</f>
        <v>0</v>
      </c>
      <c r="F22" s="261"/>
      <c r="H22" s="52">
        <v>700</v>
      </c>
      <c r="I22" s="64">
        <f>H22-G22</f>
        <v>700</v>
      </c>
      <c r="J22" s="92">
        <f>Jan!I22+Feb!I22+Mar!I22+Apr!I22+May!I22+Jun!I22+July!I22+Aug!I22+Sep!I22+Oct!I22+Nov!I22+Dec!I22</f>
        <v>-78500</v>
      </c>
      <c r="K22" s="84"/>
    </row>
    <row r="23" spans="1:14" s="52" customFormat="1" ht="13.5">
      <c r="A23" s="58" t="s">
        <v>416</v>
      </c>
      <c r="B23" s="62" t="s">
        <v>415</v>
      </c>
      <c r="E23" s="52" t="s">
        <v>467</v>
      </c>
      <c r="F23" s="261"/>
      <c r="G23" s="53"/>
      <c r="I23" s="64"/>
      <c r="J23" s="92"/>
      <c r="K23" s="84"/>
    </row>
    <row r="24" spans="1:14" s="52" customFormat="1" ht="13.5">
      <c r="A24" s="58" t="s">
        <v>279</v>
      </c>
      <c r="B24" s="262">
        <f>SUM(G25:G26)</f>
        <v>0</v>
      </c>
      <c r="F24" s="261"/>
      <c r="G24" s="53"/>
      <c r="I24" s="64"/>
      <c r="J24" s="92"/>
      <c r="K24" s="84"/>
    </row>
    <row r="25" spans="1:14" s="52" customFormat="1" ht="13.5">
      <c r="B25" s="58" t="s">
        <v>255</v>
      </c>
      <c r="E25" s="52" t="s">
        <v>467</v>
      </c>
      <c r="F25" s="261"/>
      <c r="G25" s="53">
        <v>0</v>
      </c>
      <c r="H25" s="52">
        <v>500</v>
      </c>
      <c r="I25" s="64">
        <f>H25-G25</f>
        <v>500</v>
      </c>
      <c r="J25" s="92">
        <f>Jan!I25+Feb!I25+Mar!I25+Apr!I25+May!I25+Jun!I25+July!I25+Aug!I25+Sep!I25+Oct!I25+Nov!I25+Dec!I25</f>
        <v>6000</v>
      </c>
      <c r="K25" s="84"/>
    </row>
    <row r="26" spans="1:14" s="52" customFormat="1" ht="13.5">
      <c r="B26" s="58" t="s">
        <v>265</v>
      </c>
      <c r="E26" s="52" t="s">
        <v>466</v>
      </c>
      <c r="F26" s="261"/>
      <c r="G26" s="53">
        <v>0</v>
      </c>
      <c r="H26" s="52">
        <v>300</v>
      </c>
      <c r="I26" s="64">
        <f>H26-G26</f>
        <v>300</v>
      </c>
      <c r="J26" s="95">
        <f>Jan!I26+Feb!I26+Mar!I26+Apr!I26+May!I26+Jun!I26+July!I26+Aug!I26+Sep!I26+Oct!I26+Nov!I26+Dec!I26</f>
        <v>3600</v>
      </c>
      <c r="K26" s="84"/>
    </row>
    <row r="27" spans="1:14" s="52" customFormat="1" ht="13.5">
      <c r="A27" s="58"/>
      <c r="F27" s="261"/>
      <c r="G27" s="66"/>
      <c r="H27" s="66"/>
      <c r="I27" s="68"/>
      <c r="J27" s="79"/>
      <c r="K27" s="79"/>
    </row>
    <row r="28" spans="1:14" s="52" customFormat="1" ht="14.25" thickBot="1">
      <c r="A28" s="58"/>
      <c r="B28" s="58"/>
      <c r="F28" s="261"/>
      <c r="G28" s="67">
        <f>SUM(G14:G26)</f>
        <v>0</v>
      </c>
      <c r="H28" s="67">
        <f>SUM(H11:H26)</f>
        <v>4750</v>
      </c>
      <c r="I28" s="67">
        <f>SUM(I11:I26)</f>
        <v>-1700</v>
      </c>
      <c r="J28" s="67">
        <f>SUM(J11:J26)</f>
        <v>-52620.93</v>
      </c>
      <c r="K28" s="85"/>
    </row>
    <row r="29" spans="1:14" s="52" customFormat="1" ht="15" thickTop="1" thickBot="1">
      <c r="H29" s="56"/>
      <c r="I29" s="56"/>
      <c r="J29" s="56"/>
      <c r="K29" s="85"/>
      <c r="L29" s="58" t="s">
        <v>495</v>
      </c>
    </row>
    <row r="30" spans="1:14" s="52" customFormat="1" ht="14.25" thickBot="1">
      <c r="A30" s="58" t="s">
        <v>283</v>
      </c>
      <c r="B30" s="58"/>
      <c r="F30" s="261"/>
      <c r="G30" s="88"/>
      <c r="H30" s="56"/>
      <c r="I30" s="56"/>
      <c r="J30" s="56"/>
      <c r="K30" s="85"/>
      <c r="M30" s="52" t="s">
        <v>742</v>
      </c>
    </row>
    <row r="31" spans="1:14" s="52" customFormat="1" ht="12.75" customHeight="1">
      <c r="A31" s="99" t="s">
        <v>276</v>
      </c>
      <c r="B31" s="58"/>
      <c r="F31" s="261"/>
      <c r="G31" s="266">
        <f>B4-G11-G28+G30</f>
        <v>6817.7999999999993</v>
      </c>
      <c r="H31" s="56"/>
      <c r="I31" s="56"/>
      <c r="J31" s="56"/>
      <c r="K31" s="85"/>
      <c r="L31" s="56"/>
      <c r="M31" s="52" t="s">
        <v>743</v>
      </c>
    </row>
    <row r="32" spans="1:14" s="52" customFormat="1" ht="13.5">
      <c r="A32" s="52" t="s">
        <v>478</v>
      </c>
      <c r="B32" s="99"/>
      <c r="C32" s="54"/>
      <c r="D32" s="54"/>
      <c r="E32" s="54"/>
      <c r="F32" s="265"/>
      <c r="G32" s="267">
        <f>G46</f>
        <v>11386.94</v>
      </c>
      <c r="H32" s="56"/>
      <c r="I32" s="56"/>
      <c r="J32" s="56"/>
      <c r="K32" s="85"/>
      <c r="L32" s="56"/>
      <c r="M32" s="52" t="s">
        <v>1253</v>
      </c>
      <c r="N32" s="52" t="s">
        <v>744</v>
      </c>
    </row>
    <row r="33" spans="1:15" s="52" customFormat="1" ht="13.5">
      <c r="A33" s="58" t="s">
        <v>558</v>
      </c>
      <c r="B33" s="58"/>
      <c r="F33" s="261"/>
      <c r="G33" s="78">
        <f>G31-G32-M42-N42</f>
        <v>-4569.1400000000012</v>
      </c>
      <c r="H33" s="56"/>
      <c r="I33" s="56"/>
      <c r="J33" s="56"/>
      <c r="K33" s="85"/>
      <c r="L33" s="56"/>
      <c r="M33" s="52" t="s">
        <v>1254</v>
      </c>
      <c r="N33" s="52" t="s">
        <v>745</v>
      </c>
    </row>
    <row r="34" spans="1:15" s="52" customFormat="1" ht="13.5">
      <c r="H34" s="56"/>
      <c r="I34" s="56"/>
      <c r="J34" s="56"/>
      <c r="K34" s="85"/>
    </row>
    <row r="35" spans="1:15" s="52" customFormat="1" ht="13.5">
      <c r="A35" s="58" t="s">
        <v>469</v>
      </c>
      <c r="B35" s="58"/>
      <c r="E35" s="52">
        <f>B47</f>
        <v>5337.8100000000013</v>
      </c>
      <c r="F35" s="261"/>
      <c r="G35" s="128"/>
      <c r="H35" s="56"/>
      <c r="I35" s="56"/>
      <c r="J35" s="56"/>
      <c r="K35" s="85"/>
    </row>
    <row r="36" spans="1:15" s="52" customFormat="1" ht="13.5">
      <c r="A36" s="58" t="s">
        <v>433</v>
      </c>
      <c r="B36" s="58"/>
      <c r="E36" s="52" t="str">
        <f>B81</f>
        <v>Remodeling Cost (incl.labor &amp; materials)</v>
      </c>
      <c r="F36" s="261"/>
      <c r="G36" s="78"/>
      <c r="H36" s="56"/>
      <c r="I36" s="56"/>
      <c r="J36" s="56"/>
      <c r="K36" s="85"/>
      <c r="L36" s="56"/>
    </row>
    <row r="37" spans="1:15" s="52" customFormat="1" ht="13.5">
      <c r="A37" s="58"/>
      <c r="B37" s="58" t="s">
        <v>470</v>
      </c>
      <c r="D37" s="52">
        <f>B101+B110</f>
        <v>54.33</v>
      </c>
      <c r="F37" s="261"/>
      <c r="G37" s="78"/>
      <c r="H37" s="56"/>
      <c r="I37" s="56"/>
      <c r="J37" s="56"/>
      <c r="K37" s="85"/>
      <c r="L37" s="56"/>
    </row>
    <row r="38" spans="1:15" s="52" customFormat="1" ht="14.25" thickBot="1">
      <c r="A38" s="58"/>
      <c r="B38" s="58" t="s">
        <v>471</v>
      </c>
      <c r="D38" s="52">
        <f>B90</f>
        <v>0</v>
      </c>
      <c r="F38" s="261"/>
      <c r="G38" s="78"/>
      <c r="H38" s="56"/>
      <c r="I38" s="56"/>
      <c r="J38" s="56"/>
      <c r="K38" s="85"/>
      <c r="L38" s="56"/>
    </row>
    <row r="39" spans="1:15" s="52" customFormat="1" ht="14.25" thickBot="1">
      <c r="A39" s="58"/>
      <c r="B39" s="58" t="s">
        <v>472</v>
      </c>
      <c r="D39" s="52">
        <f>B96</f>
        <v>0</v>
      </c>
      <c r="F39" s="261"/>
      <c r="G39" s="89"/>
      <c r="H39" s="56"/>
      <c r="I39" s="56"/>
      <c r="J39" s="56"/>
      <c r="K39" s="85"/>
      <c r="L39" s="56"/>
    </row>
    <row r="40" spans="1:15" s="52" customFormat="1" ht="13.5">
      <c r="A40" s="58"/>
      <c r="B40" s="58" t="s">
        <v>473</v>
      </c>
      <c r="D40" s="52">
        <f>B115</f>
        <v>79.099999999999994</v>
      </c>
      <c r="F40" s="261"/>
      <c r="G40" s="98"/>
      <c r="H40" s="56"/>
      <c r="I40" s="56"/>
      <c r="J40" s="56"/>
      <c r="K40" s="85"/>
      <c r="L40" s="56"/>
    </row>
    <row r="41" spans="1:15" s="52" customFormat="1" ht="13.5">
      <c r="A41" s="99"/>
      <c r="B41" s="58" t="s">
        <v>474</v>
      </c>
      <c r="D41" s="52">
        <f>B120</f>
        <v>4.34</v>
      </c>
      <c r="F41" s="261"/>
      <c r="G41" s="98"/>
      <c r="H41" s="56"/>
      <c r="I41" s="56"/>
      <c r="J41" s="56"/>
      <c r="K41" s="85"/>
      <c r="L41" s="56"/>
      <c r="M41" s="52">
        <f>M46+M44+M43+M42</f>
        <v>1063.1199999999999</v>
      </c>
      <c r="N41" s="52">
        <f>N46+N44+N43+N42</f>
        <v>678.85</v>
      </c>
      <c r="O41" s="52">
        <f>O46+O44+O43+O42</f>
        <v>0</v>
      </c>
    </row>
    <row r="42" spans="1:15" s="52" customFormat="1" ht="13.5">
      <c r="B42" s="58" t="s">
        <v>475</v>
      </c>
      <c r="C42" s="59"/>
      <c r="D42" s="59">
        <f>B138</f>
        <v>0</v>
      </c>
      <c r="F42" s="261"/>
      <c r="G42" s="98"/>
      <c r="H42" s="56"/>
      <c r="I42" s="56"/>
      <c r="J42" s="56"/>
      <c r="K42" s="85"/>
      <c r="L42" s="52" t="s">
        <v>324</v>
      </c>
    </row>
    <row r="43" spans="1:15" s="52" customFormat="1" ht="13.5">
      <c r="B43" s="58" t="s">
        <v>476</v>
      </c>
      <c r="D43" s="52">
        <f>B125+B141+B146+B149</f>
        <v>1216.82</v>
      </c>
      <c r="F43" s="261"/>
      <c r="I43" s="61"/>
      <c r="J43" s="90" t="s">
        <v>280</v>
      </c>
      <c r="K43" s="82"/>
    </row>
    <row r="44" spans="1:15" s="52" customFormat="1" ht="13.5">
      <c r="A44" s="58" t="s">
        <v>477</v>
      </c>
      <c r="E44" s="52">
        <f>B155</f>
        <v>0</v>
      </c>
      <c r="F44" s="261"/>
      <c r="G44" s="55"/>
      <c r="I44" s="61" t="s">
        <v>34</v>
      </c>
      <c r="J44" s="90" t="s">
        <v>281</v>
      </c>
      <c r="K44" s="82"/>
      <c r="L44" s="52" t="s">
        <v>1064</v>
      </c>
      <c r="M44" s="52">
        <v>100</v>
      </c>
    </row>
    <row r="45" spans="1:15" s="52" customFormat="1" ht="13.5">
      <c r="A45" s="58"/>
      <c r="F45" s="261"/>
      <c r="G45" s="55" t="s">
        <v>234</v>
      </c>
      <c r="H45" s="52" t="s">
        <v>38</v>
      </c>
      <c r="I45" s="63" t="s">
        <v>37</v>
      </c>
      <c r="J45" s="91" t="s">
        <v>282</v>
      </c>
      <c r="K45" s="83"/>
      <c r="L45" s="391" t="s">
        <v>235</v>
      </c>
      <c r="M45" s="392" t="s">
        <v>497</v>
      </c>
      <c r="N45" s="392" t="s">
        <v>805</v>
      </c>
      <c r="O45" s="392" t="s">
        <v>806</v>
      </c>
    </row>
    <row r="46" spans="1:15" s="52" customFormat="1" ht="14.25" thickBot="1">
      <c r="D46"/>
      <c r="E46" s="264"/>
      <c r="F46" s="261"/>
      <c r="G46" s="94">
        <f>SUM(G48:G170)</f>
        <v>11386.94</v>
      </c>
      <c r="H46" s="94">
        <f>SUM(H48:H170)</f>
        <v>14050</v>
      </c>
      <c r="I46" s="94">
        <f>H46-G46</f>
        <v>2663.0599999999995</v>
      </c>
      <c r="J46" s="94">
        <f>SUM(J48:J170)</f>
        <v>-358212.22</v>
      </c>
      <c r="K46" s="86"/>
      <c r="L46" s="393">
        <f>SUM(L49:L170)</f>
        <v>9744.9700000000012</v>
      </c>
      <c r="M46" s="394">
        <f>SUM(M49:M170)</f>
        <v>963.11999999999989</v>
      </c>
      <c r="N46" s="395">
        <f>SUM(N49:N170)</f>
        <v>678.85</v>
      </c>
      <c r="O46" s="395">
        <f>SUM(O49:O170)</f>
        <v>0</v>
      </c>
    </row>
    <row r="47" spans="1:15" s="52" customFormat="1" ht="14.25" thickBot="1">
      <c r="A47" s="99" t="s">
        <v>434</v>
      </c>
      <c r="B47" s="259">
        <f>B48+B61+B65</f>
        <v>5337.8100000000013</v>
      </c>
      <c r="C47" s="259">
        <f>C48+C61+C65</f>
        <v>1344</v>
      </c>
      <c r="D47" s="88">
        <f>D48+D61+D65</f>
        <v>-3993.8100000000013</v>
      </c>
      <c r="I47" s="61"/>
      <c r="J47" s="90"/>
      <c r="K47" s="82"/>
      <c r="L47" s="396"/>
      <c r="M47" s="397"/>
      <c r="N47" s="397"/>
      <c r="O47" s="398"/>
    </row>
    <row r="48" spans="1:15" s="52" customFormat="1" ht="13.5">
      <c r="A48" s="58" t="s">
        <v>419</v>
      </c>
      <c r="B48" s="58">
        <f>SUM(G49:G57)</f>
        <v>5131.9500000000007</v>
      </c>
      <c r="C48" s="58">
        <f>SUM(H49:H57)</f>
        <v>864</v>
      </c>
      <c r="D48" s="58">
        <f>SUM(I49:I57)</f>
        <v>-4267.9500000000007</v>
      </c>
      <c r="I48" s="61"/>
      <c r="J48" s="90"/>
      <c r="K48" s="82"/>
      <c r="L48" s="396"/>
      <c r="M48" s="397"/>
      <c r="N48" s="397"/>
      <c r="O48" s="398"/>
    </row>
    <row r="49" spans="1:15" s="52" customFormat="1" ht="13.5">
      <c r="B49" s="52" t="s">
        <v>327</v>
      </c>
      <c r="G49" s="52">
        <f>SUM(L49:O49)</f>
        <v>0</v>
      </c>
      <c r="H49" s="52">
        <v>0</v>
      </c>
      <c r="I49" s="61">
        <f t="shared" ref="I49:I57" si="1">H49-G49</f>
        <v>0</v>
      </c>
      <c r="J49" s="90">
        <f>Jan!I49+Feb!I49+Mar!I49+Apr!I49+May!I49+Jun!I49+July!I49+Aug!I49+Sep!I49+Oct!I49+Nov!I49+Dec!I49</f>
        <v>0</v>
      </c>
      <c r="K49" s="82"/>
      <c r="L49" s="396"/>
      <c r="M49" s="397"/>
      <c r="N49" s="397"/>
      <c r="O49" s="398"/>
    </row>
    <row r="50" spans="1:15" s="52" customFormat="1" ht="13.5">
      <c r="A50" s="58"/>
      <c r="B50" s="52" t="s">
        <v>421</v>
      </c>
      <c r="G50" s="52">
        <f t="shared" ref="G50:G113" si="2">SUM(L50:O50)</f>
        <v>0</v>
      </c>
      <c r="H50" s="52">
        <v>100</v>
      </c>
      <c r="I50" s="61">
        <f t="shared" si="1"/>
        <v>100</v>
      </c>
      <c r="J50" s="90">
        <f>Jan!I50+Feb!I50+Mar!I50+Apr!I50+May!I50+Jun!I50+July!I50+Aug!I50+Sep!I50+Oct!I50+Nov!I50+Dec!I50</f>
        <v>-309.63000000000011</v>
      </c>
      <c r="K50" s="82"/>
      <c r="L50" s="396"/>
      <c r="M50" s="397"/>
      <c r="N50" s="397"/>
      <c r="O50" s="398"/>
    </row>
    <row r="51" spans="1:15" s="52" customFormat="1" ht="13.5">
      <c r="A51" s="58"/>
      <c r="B51" s="52" t="s">
        <v>422</v>
      </c>
      <c r="G51" s="52">
        <f t="shared" si="2"/>
        <v>0</v>
      </c>
      <c r="H51" s="52">
        <v>100</v>
      </c>
      <c r="I51" s="61">
        <f t="shared" si="1"/>
        <v>100</v>
      </c>
      <c r="J51" s="90">
        <f>Jan!I51+Feb!I51+Mar!I51+Apr!I51+May!I51+Jun!I51+July!I51+Aug!I51+Sep!I51+Oct!I51+Nov!I51+Dec!I51</f>
        <v>-125</v>
      </c>
      <c r="K51" s="82"/>
      <c r="L51" s="396"/>
      <c r="M51" s="397"/>
      <c r="N51" s="397"/>
      <c r="O51" s="398"/>
    </row>
    <row r="52" spans="1:15" s="52" customFormat="1" ht="13.5">
      <c r="A52" s="58"/>
      <c r="B52" s="52" t="s">
        <v>420</v>
      </c>
      <c r="G52" s="52">
        <f t="shared" si="2"/>
        <v>0</v>
      </c>
      <c r="H52" s="52">
        <v>100</v>
      </c>
      <c r="I52" s="61">
        <f t="shared" si="1"/>
        <v>100</v>
      </c>
      <c r="J52" s="90">
        <f>Jan!I52+Feb!I52+Mar!I52+Apr!I52+May!I52+Jun!I52+July!I52+Aug!I52+Sep!I52+Oct!I52+Nov!I52+Dec!I52</f>
        <v>1200</v>
      </c>
      <c r="K52" s="82"/>
      <c r="L52" s="396"/>
      <c r="M52" s="397"/>
      <c r="N52" s="397"/>
      <c r="O52" s="398"/>
    </row>
    <row r="53" spans="1:15" s="52" customFormat="1" ht="13.5">
      <c r="A53" s="58"/>
      <c r="B53" s="52" t="s">
        <v>463</v>
      </c>
      <c r="G53" s="52">
        <f t="shared" si="2"/>
        <v>564</v>
      </c>
      <c r="H53" s="52">
        <v>564</v>
      </c>
      <c r="I53" s="61">
        <f t="shared" si="1"/>
        <v>0</v>
      </c>
      <c r="J53" s="90">
        <f>Jan!I53+Feb!I53+Mar!I53+Apr!I53+May!I53+Jun!I53+July!I53+Aug!I53+Sep!I53+Oct!I53+Nov!I53+Dec!I53</f>
        <v>-1402.8400000000001</v>
      </c>
      <c r="K53" s="82"/>
      <c r="L53" s="396">
        <v>564</v>
      </c>
      <c r="M53" s="397"/>
      <c r="N53" s="397"/>
      <c r="O53" s="398"/>
    </row>
    <row r="54" spans="1:15" s="52" customFormat="1" ht="13.5">
      <c r="A54" s="58"/>
      <c r="B54" s="52" t="s">
        <v>429</v>
      </c>
      <c r="G54" s="52">
        <f t="shared" si="2"/>
        <v>0</v>
      </c>
      <c r="H54" s="52">
        <v>60</v>
      </c>
      <c r="I54" s="61">
        <f t="shared" si="1"/>
        <v>60</v>
      </c>
      <c r="J54" s="90">
        <f>Jan!I54+Feb!I54+Mar!I54+Apr!I54+May!I54+Jun!I54+July!I54+Aug!I54+Sep!I54+Oct!I54+Nov!I54+Dec!I54</f>
        <v>92</v>
      </c>
      <c r="K54" s="82"/>
      <c r="L54" s="396"/>
      <c r="M54" s="397"/>
      <c r="N54" s="397"/>
      <c r="O54" s="398"/>
    </row>
    <row r="55" spans="1:15" s="52" customFormat="1" ht="13.5">
      <c r="A55" s="58"/>
      <c r="B55" s="52" t="s">
        <v>328</v>
      </c>
      <c r="G55" s="52">
        <f t="shared" si="2"/>
        <v>6636.68</v>
      </c>
      <c r="H55" s="52">
        <f>1636.68+50.81</f>
        <v>1687.49</v>
      </c>
      <c r="I55" s="61">
        <f t="shared" si="1"/>
        <v>-4949.1900000000005</v>
      </c>
      <c r="J55" s="90">
        <f>Jan!I55+Feb!I55+Mar!I55+Apr!I55+May!I55+Jun!I55+July!I55+Aug!I55+Sep!I55+Oct!I55+Nov!I55+Dec!I55</f>
        <v>-9620.1600000000017</v>
      </c>
      <c r="K55" s="82"/>
      <c r="L55" s="398">
        <f>1636.68+5000</f>
        <v>6636.68</v>
      </c>
      <c r="M55" s="397"/>
      <c r="N55" s="397"/>
      <c r="O55" s="398"/>
    </row>
    <row r="56" spans="1:15" s="52" customFormat="1" ht="13.5">
      <c r="A56" s="58"/>
      <c r="B56" s="52" t="s">
        <v>384</v>
      </c>
      <c r="G56" s="52">
        <f t="shared" si="2"/>
        <v>431.27</v>
      </c>
      <c r="H56" s="52">
        <v>312.51</v>
      </c>
      <c r="I56" s="61">
        <f t="shared" si="1"/>
        <v>-118.75999999999999</v>
      </c>
      <c r="J56" s="90">
        <f>Jan!I56+Feb!I56+Mar!I56+Apr!I56+May!I56+Jun!I56+July!I56+Aug!I56+Sep!I56+Oct!I56+Nov!I56+Dec!I56</f>
        <v>-923.44</v>
      </c>
      <c r="K56" s="82"/>
      <c r="L56" s="398">
        <v>431.27</v>
      </c>
      <c r="M56" s="397"/>
      <c r="N56" s="397"/>
      <c r="O56" s="398"/>
    </row>
    <row r="57" spans="1:15" s="52" customFormat="1" ht="13.5">
      <c r="A57" s="58"/>
      <c r="B57" s="52" t="s">
        <v>350</v>
      </c>
      <c r="G57" s="52">
        <f t="shared" si="2"/>
        <v>-2500</v>
      </c>
      <c r="H57" s="52">
        <v>-2060</v>
      </c>
      <c r="I57" s="61">
        <f t="shared" si="1"/>
        <v>440</v>
      </c>
      <c r="J57" s="90">
        <f>Jan!I57+Feb!I57+Mar!I57+Apr!I57+May!I57+Jun!I57+July!I57+Aug!I57+Sep!I57+Oct!I57+Nov!I57+Dec!I57</f>
        <v>2640</v>
      </c>
      <c r="K57" s="82"/>
      <c r="L57" s="398">
        <v>-2500</v>
      </c>
      <c r="M57" s="397"/>
      <c r="N57" s="397"/>
      <c r="O57" s="398"/>
    </row>
    <row r="58" spans="1:15" s="52" customFormat="1" ht="13.5">
      <c r="A58" s="58" t="s">
        <v>715</v>
      </c>
      <c r="B58" s="52" t="s">
        <v>716</v>
      </c>
      <c r="I58" s="61"/>
      <c r="J58" s="90"/>
      <c r="K58" s="82"/>
      <c r="L58" s="398"/>
      <c r="M58" s="397"/>
      <c r="N58" s="397"/>
      <c r="O58" s="398"/>
    </row>
    <row r="59" spans="1:15" s="52" customFormat="1" ht="13.5">
      <c r="A59" s="58"/>
      <c r="B59" s="52" t="s">
        <v>421</v>
      </c>
      <c r="I59" s="61"/>
      <c r="J59" s="90"/>
      <c r="K59" s="82"/>
      <c r="L59" s="398"/>
      <c r="M59" s="397"/>
      <c r="N59" s="397"/>
      <c r="O59" s="398"/>
    </row>
    <row r="60" spans="1:15" s="52" customFormat="1" ht="13.5">
      <c r="A60" s="58" t="s">
        <v>427</v>
      </c>
      <c r="I60" s="61"/>
      <c r="J60" s="90"/>
      <c r="K60" s="82"/>
      <c r="L60" s="398"/>
      <c r="M60" s="397"/>
      <c r="N60" s="397"/>
      <c r="O60" s="398"/>
    </row>
    <row r="61" spans="1:15" s="52" customFormat="1" ht="13.5">
      <c r="A61" s="58"/>
      <c r="B61" s="58">
        <f>SUM(G62:G63)</f>
        <v>106.35</v>
      </c>
      <c r="C61" s="58">
        <f>SUM(H62:H63)</f>
        <v>170</v>
      </c>
      <c r="D61" s="58">
        <f>C61-B61</f>
        <v>63.650000000000006</v>
      </c>
      <c r="I61" s="61"/>
      <c r="J61" s="90"/>
      <c r="K61" s="82"/>
      <c r="L61" s="398"/>
      <c r="M61" s="397"/>
      <c r="N61" s="397"/>
      <c r="O61" s="398"/>
    </row>
    <row r="62" spans="1:15" s="52" customFormat="1" ht="13.5">
      <c r="A62" s="58"/>
      <c r="B62" s="52" t="s">
        <v>431</v>
      </c>
      <c r="G62" s="52">
        <f t="shared" si="2"/>
        <v>106.35</v>
      </c>
      <c r="H62" s="52">
        <v>70</v>
      </c>
      <c r="I62" s="61">
        <f t="shared" ref="I62:I131" si="3">H62-G62</f>
        <v>-36.349999999999994</v>
      </c>
      <c r="J62" s="90">
        <f>Jan!I62+Feb!I62+Mar!I62+Apr!I62+May!I62+Jun!I62+July!I62+Aug!I62+Sep!I62+Oct!I62+Nov!I62+Dec!I62</f>
        <v>340.19999999999993</v>
      </c>
      <c r="K62" s="82"/>
      <c r="L62" s="398"/>
      <c r="M62" s="397">
        <v>106.35</v>
      </c>
      <c r="N62" s="397"/>
      <c r="O62" s="398"/>
    </row>
    <row r="63" spans="1:15" s="52" customFormat="1" ht="13.5">
      <c r="A63" s="58"/>
      <c r="B63" s="52" t="s">
        <v>432</v>
      </c>
      <c r="D63" s="65"/>
      <c r="G63" s="52">
        <f t="shared" si="2"/>
        <v>0</v>
      </c>
      <c r="H63" s="52">
        <v>100</v>
      </c>
      <c r="I63" s="61">
        <f t="shared" si="3"/>
        <v>100</v>
      </c>
      <c r="J63" s="90">
        <f>Jan!I63+Feb!I63+Mar!I63+Apr!I63+May!I63+Jun!I63+July!I63+Aug!I63+Sep!I63+Oct!I63+Nov!I63+Dec!I63</f>
        <v>98.500000000000014</v>
      </c>
      <c r="K63" s="82"/>
      <c r="L63" s="398"/>
      <c r="M63" s="397"/>
      <c r="N63" s="397"/>
      <c r="O63" s="398"/>
    </row>
    <row r="64" spans="1:15" s="52" customFormat="1" ht="13.5">
      <c r="A64" s="58"/>
      <c r="I64" s="61"/>
      <c r="J64" s="90"/>
      <c r="K64" s="82"/>
      <c r="L64" s="398"/>
      <c r="M64" s="397"/>
      <c r="N64" s="397"/>
      <c r="O64" s="398"/>
    </row>
    <row r="65" spans="1:17" s="52" customFormat="1" ht="13.5">
      <c r="A65" s="58" t="s">
        <v>428</v>
      </c>
      <c r="B65" s="58">
        <f>SUM(G66:G74)</f>
        <v>99.51</v>
      </c>
      <c r="C65" s="58">
        <f>SUM(H66:H74)</f>
        <v>310</v>
      </c>
      <c r="D65" s="58">
        <f>C65-B65</f>
        <v>210.49</v>
      </c>
      <c r="I65" s="61"/>
      <c r="J65" s="90"/>
      <c r="K65" s="82"/>
      <c r="L65" s="398"/>
      <c r="M65" s="397"/>
      <c r="N65" s="397"/>
      <c r="O65" s="398"/>
    </row>
    <row r="66" spans="1:17" s="52" customFormat="1" ht="13.5">
      <c r="B66" s="52" t="s">
        <v>55</v>
      </c>
      <c r="G66" s="52">
        <f t="shared" si="2"/>
        <v>46.980000000000004</v>
      </c>
      <c r="H66" s="52">
        <v>60</v>
      </c>
      <c r="I66" s="61">
        <f t="shared" si="3"/>
        <v>13.019999999999996</v>
      </c>
      <c r="J66" s="90">
        <f>Jan!I66+Feb!I66+Mar!I66+Apr!I66+May!I66+Jun!I66+July!I66+Aug!I66+Sep!I66+Oct!I66+Nov!I66+Dec!I66</f>
        <v>1922.4499999999998</v>
      </c>
      <c r="K66" s="82"/>
      <c r="L66" s="398"/>
      <c r="M66" s="397">
        <f>24.98+22</f>
        <v>46.980000000000004</v>
      </c>
      <c r="N66" s="397"/>
      <c r="O66" s="398"/>
    </row>
    <row r="67" spans="1:17" s="52" customFormat="1" ht="13.5">
      <c r="B67" s="52" t="s">
        <v>56</v>
      </c>
      <c r="D67" s="52" t="s">
        <v>57</v>
      </c>
      <c r="G67" s="52">
        <f t="shared" si="2"/>
        <v>1.5</v>
      </c>
      <c r="H67" s="52">
        <v>140</v>
      </c>
      <c r="I67" s="61">
        <f t="shared" si="3"/>
        <v>138.5</v>
      </c>
      <c r="J67" s="90">
        <f>Jan!I67+Feb!I67+Mar!I67+Apr!I67+May!I67+Jun!I67+July!I67+Aug!I67+Sep!I67+Oct!I67+Nov!I67+Dec!I67</f>
        <v>978.24</v>
      </c>
      <c r="K67" s="82"/>
      <c r="L67" s="398"/>
      <c r="M67" s="397">
        <f>1.5</f>
        <v>1.5</v>
      </c>
      <c r="N67" s="397"/>
      <c r="O67" s="398"/>
    </row>
    <row r="68" spans="1:17" s="52" customFormat="1" ht="13.5">
      <c r="I68" s="61"/>
      <c r="J68" s="90"/>
      <c r="K68" s="82"/>
      <c r="L68" s="398"/>
      <c r="M68" s="397"/>
      <c r="N68" s="397"/>
      <c r="O68" s="398"/>
    </row>
    <row r="69" spans="1:17" s="52" customFormat="1" ht="13.5">
      <c r="A69" s="58" t="s">
        <v>423</v>
      </c>
      <c r="I69" s="61"/>
      <c r="J69" s="90"/>
      <c r="K69" s="82"/>
      <c r="L69" s="398"/>
      <c r="M69" s="397"/>
      <c r="N69" s="397"/>
      <c r="O69" s="398"/>
    </row>
    <row r="70" spans="1:17" s="52" customFormat="1" ht="13.5">
      <c r="B70" s="52" t="s">
        <v>424</v>
      </c>
      <c r="G70" s="52">
        <f t="shared" si="2"/>
        <v>0</v>
      </c>
      <c r="H70" s="52">
        <v>25</v>
      </c>
      <c r="I70" s="61">
        <f t="shared" si="3"/>
        <v>25</v>
      </c>
      <c r="J70" s="90">
        <f>Jan!I70+Feb!I70+Mar!I70+Apr!I70+May!I70+Jun!I70+July!I70+Aug!I70+Sep!I70+Oct!I70+Nov!I70+Dec!I70</f>
        <v>192.32999999999998</v>
      </c>
      <c r="K70" s="82"/>
      <c r="L70" s="398"/>
      <c r="M70" s="397"/>
      <c r="N70" s="397"/>
      <c r="O70" s="398"/>
    </row>
    <row r="71" spans="1:17" s="52" customFormat="1" ht="13.5">
      <c r="A71" s="58"/>
      <c r="B71" s="52" t="s">
        <v>425</v>
      </c>
      <c r="G71" s="52">
        <f t="shared" si="2"/>
        <v>0</v>
      </c>
      <c r="H71" s="52">
        <v>30</v>
      </c>
      <c r="I71" s="61">
        <f t="shared" si="3"/>
        <v>30</v>
      </c>
      <c r="J71" s="90">
        <f>Jan!I71+Feb!I71+Mar!I71+Apr!I71+May!I71+Jun!I71+July!I71+Aug!I71+Sep!I71+Oct!I71+Nov!I71+Dec!I71</f>
        <v>250.51</v>
      </c>
      <c r="K71" s="82"/>
      <c r="L71" s="398"/>
      <c r="M71" s="397"/>
      <c r="N71" s="397"/>
      <c r="O71" s="398"/>
    </row>
    <row r="72" spans="1:17" s="52" customFormat="1" ht="13.5">
      <c r="A72" s="58"/>
      <c r="B72" s="52" t="s">
        <v>430</v>
      </c>
      <c r="G72" s="52">
        <f t="shared" si="2"/>
        <v>0</v>
      </c>
      <c r="H72" s="52">
        <v>20</v>
      </c>
      <c r="I72" s="61">
        <f t="shared" si="3"/>
        <v>20</v>
      </c>
      <c r="J72" s="90">
        <f>Jan!I72+Feb!I72+Mar!I72+Apr!I72+May!I72+Jun!I72+July!I72+Aug!I72+Sep!I72+Oct!I72+Nov!I72+Dec!I72</f>
        <v>59.09</v>
      </c>
      <c r="K72" s="82"/>
      <c r="L72" s="398"/>
      <c r="M72" s="397"/>
      <c r="N72" s="397"/>
      <c r="O72" s="398"/>
    </row>
    <row r="73" spans="1:17" s="52" customFormat="1" ht="13.5">
      <c r="A73" s="58"/>
      <c r="I73" s="61"/>
      <c r="J73" s="90"/>
      <c r="K73" s="82"/>
      <c r="L73" s="398"/>
      <c r="M73" s="397"/>
      <c r="N73" s="397"/>
      <c r="O73" s="398"/>
    </row>
    <row r="74" spans="1:17" s="52" customFormat="1" ht="13.5">
      <c r="A74" s="58" t="s">
        <v>426</v>
      </c>
      <c r="B74" s="52" t="s">
        <v>58</v>
      </c>
      <c r="G74" s="52">
        <f t="shared" si="2"/>
        <v>51.03</v>
      </c>
      <c r="H74" s="52">
        <v>35</v>
      </c>
      <c r="I74" s="61">
        <f t="shared" si="3"/>
        <v>-16.03</v>
      </c>
      <c r="J74" s="90">
        <f>Jan!I74+Feb!I74+Mar!I74+Apr!I74+May!I74+Jun!I74+July!I74+Aug!I74+Sep!I74+Oct!I74+Nov!I74+Dec!I74</f>
        <v>-487.06000000000006</v>
      </c>
      <c r="K74" s="82"/>
      <c r="L74" s="398"/>
      <c r="M74" s="397">
        <f>3.5+3.25+4.45+4.34+6.69+2.15+13.83+6.57+2.15+1.75+2.35</f>
        <v>51.03</v>
      </c>
      <c r="N74" s="397"/>
      <c r="O74" s="398"/>
    </row>
    <row r="75" spans="1:17" s="52" customFormat="1" ht="14.25" thickBot="1">
      <c r="A75" s="58"/>
      <c r="I75" s="61"/>
      <c r="J75" s="90"/>
      <c r="K75" s="82"/>
      <c r="L75" s="398"/>
      <c r="M75" s="397"/>
      <c r="N75" s="397"/>
      <c r="O75" s="398"/>
    </row>
    <row r="76" spans="1:17" s="52" customFormat="1" ht="14.25" thickBot="1">
      <c r="A76" s="99" t="s">
        <v>433</v>
      </c>
      <c r="B76" s="140">
        <f>B78+B90+B96+B101+B110+B115+B120+B125+B138+B141+B146+B149</f>
        <v>6049.13</v>
      </c>
      <c r="C76" s="140">
        <f>C78+C90+C96+C101+C110+C115+C120+C125+C138+C141+C146+C149</f>
        <v>5711</v>
      </c>
      <c r="D76" s="140">
        <f>D78+D90+D96+D101+D110+D115+D120+D125+D138+D141+D146+D149</f>
        <v>2002.4200000000005</v>
      </c>
      <c r="I76" s="61"/>
      <c r="J76" s="90"/>
      <c r="K76" s="82"/>
      <c r="L76" s="398"/>
      <c r="M76" s="397"/>
      <c r="N76" s="397"/>
      <c r="O76" s="398"/>
    </row>
    <row r="77" spans="1:17" s="52" customFormat="1" ht="13.5">
      <c r="A77" s="99"/>
      <c r="B77" s="380"/>
      <c r="C77" s="380"/>
      <c r="D77" s="380"/>
      <c r="I77" s="61"/>
      <c r="J77" s="90"/>
      <c r="K77" s="82"/>
      <c r="L77" s="398"/>
      <c r="M77" s="397"/>
      <c r="N77" s="397"/>
      <c r="O77" s="398"/>
    </row>
    <row r="78" spans="1:17" s="52" customFormat="1" ht="13.5">
      <c r="A78" s="58" t="s">
        <v>715</v>
      </c>
      <c r="B78" s="380">
        <f>SUM(G79:G88)</f>
        <v>4694.54</v>
      </c>
      <c r="C78" s="58">
        <f>SUM(H79:H80)</f>
        <v>2500</v>
      </c>
      <c r="D78" s="58">
        <f>SUM(I79:I80)</f>
        <v>146.01000000000022</v>
      </c>
      <c r="I78" s="61"/>
      <c r="J78" s="90"/>
      <c r="K78" s="82"/>
      <c r="L78" s="398"/>
      <c r="M78" s="397"/>
      <c r="N78" s="397"/>
      <c r="O78" s="398"/>
    </row>
    <row r="79" spans="1:17" s="52" customFormat="1" ht="13.5">
      <c r="B79" s="52" t="s">
        <v>798</v>
      </c>
      <c r="G79" s="52">
        <f t="shared" si="2"/>
        <v>2353.9899999999998</v>
      </c>
      <c r="H79" s="52">
        <v>2500</v>
      </c>
      <c r="I79" s="61">
        <f t="shared" si="3"/>
        <v>146.01000000000022</v>
      </c>
      <c r="J79" s="90">
        <f>Jan!I79+Feb!I79+Mar!I79+Apr!I79+May!I79+Jun!I79+July!I79+Aug!I79+Sep!I79+Oct!I79+Nov!I79+Dec!I79</f>
        <v>2918.91</v>
      </c>
      <c r="K79" s="82"/>
      <c r="L79" s="398">
        <v>2353.9899999999998</v>
      </c>
      <c r="M79" s="397"/>
      <c r="N79" s="397"/>
      <c r="O79" s="398"/>
      <c r="Q79" s="52" t="s">
        <v>1273</v>
      </c>
    </row>
    <row r="80" spans="1:17" s="52" customFormat="1" ht="13.5">
      <c r="A80" s="58"/>
      <c r="B80" s="52" t="s">
        <v>801</v>
      </c>
      <c r="G80" s="52">
        <f t="shared" si="2"/>
        <v>0</v>
      </c>
      <c r="H80" s="52">
        <v>0</v>
      </c>
      <c r="I80" s="61">
        <f t="shared" si="3"/>
        <v>0</v>
      </c>
      <c r="J80" s="90">
        <f>Jan!I80+Feb!I80+Mar!I80+Apr!I80+May!I80+Jun!I80+July!I80+Aug!I80+Sep!I80+Oct!I80+Nov!I80+Dec!I80</f>
        <v>-322980.62</v>
      </c>
      <c r="K80" s="82"/>
      <c r="L80" s="398"/>
      <c r="M80" s="397"/>
      <c r="N80" s="397"/>
      <c r="O80" s="398"/>
    </row>
    <row r="81" spans="1:18" s="52" customFormat="1" ht="13.5">
      <c r="B81" s="52" t="s">
        <v>421</v>
      </c>
      <c r="G81" s="52">
        <f t="shared" si="2"/>
        <v>0</v>
      </c>
      <c r="H81" s="52">
        <v>5000</v>
      </c>
      <c r="I81" s="61">
        <f t="shared" si="3"/>
        <v>5000</v>
      </c>
      <c r="J81" s="90">
        <f>Jan!I81+Feb!I81+Mar!I81+Apr!I81+May!I81+Jun!I81+July!I81+Aug!I81+Sep!I81+Oct!I81+Nov!I81+Dec!I81</f>
        <v>-43702.450000000012</v>
      </c>
      <c r="K81" s="82"/>
      <c r="L81" s="398"/>
      <c r="M81" s="397"/>
      <c r="N81" s="397"/>
      <c r="O81" s="398"/>
    </row>
    <row r="82" spans="1:18" s="52" customFormat="1" ht="13.5">
      <c r="B82" s="52" t="s">
        <v>888</v>
      </c>
      <c r="G82" s="52">
        <f t="shared" si="2"/>
        <v>2000</v>
      </c>
      <c r="H82" s="52">
        <v>1000</v>
      </c>
      <c r="I82" s="61">
        <f t="shared" si="3"/>
        <v>-1000</v>
      </c>
      <c r="J82" s="90">
        <f>Jan!I82+Feb!I82+Mar!I82+Apr!I82+May!I82+Jun!I82+July!I82+Aug!I82+Sep!I82+Oct!I82+Nov!I82+Dec!I82</f>
        <v>-622.75</v>
      </c>
      <c r="K82" s="82"/>
      <c r="L82" s="398">
        <v>2000</v>
      </c>
      <c r="M82" s="397"/>
      <c r="N82" s="397"/>
      <c r="O82" s="398"/>
      <c r="Q82" s="52" t="s">
        <v>1286</v>
      </c>
    </row>
    <row r="83" spans="1:18" s="52" customFormat="1" ht="13.5">
      <c r="B83" s="52" t="s">
        <v>889</v>
      </c>
      <c r="G83" s="52">
        <f t="shared" si="2"/>
        <v>25</v>
      </c>
      <c r="H83" s="52">
        <v>50</v>
      </c>
      <c r="I83" s="61">
        <f t="shared" si="3"/>
        <v>25</v>
      </c>
      <c r="J83" s="90">
        <f>Jan!I83+Feb!I83+Mar!I83+Apr!I83+May!I83+Jun!I83+July!I83+Aug!I83+Sep!I83+Oct!I83+Nov!I83+Dec!I83</f>
        <v>32.760000000000012</v>
      </c>
      <c r="K83" s="82"/>
      <c r="L83" s="398">
        <v>25</v>
      </c>
      <c r="M83" s="397"/>
      <c r="N83" s="397"/>
      <c r="O83" s="398"/>
      <c r="Q83" s="52" t="s">
        <v>1292</v>
      </c>
    </row>
    <row r="84" spans="1:18" s="52" customFormat="1" ht="13.5">
      <c r="B84" s="52" t="s">
        <v>26</v>
      </c>
      <c r="G84" s="52">
        <f t="shared" si="2"/>
        <v>88.54</v>
      </c>
      <c r="H84" s="52">
        <v>100</v>
      </c>
      <c r="I84" s="61">
        <f t="shared" si="3"/>
        <v>11.459999999999994</v>
      </c>
      <c r="J84" s="90">
        <f>Jan!I84+Feb!I84+Mar!I84+Apr!I84+May!I84+Jun!I84+July!I84+Aug!I84+Sep!I84+Oct!I84+Nov!I84+Dec!I84</f>
        <v>241.32</v>
      </c>
      <c r="K84" s="82"/>
      <c r="L84" s="398">
        <v>88.54</v>
      </c>
      <c r="M84" s="397"/>
      <c r="N84" s="397"/>
      <c r="O84" s="398"/>
    </row>
    <row r="85" spans="1:18" s="52" customFormat="1" ht="13.5">
      <c r="B85" s="52" t="s">
        <v>799</v>
      </c>
      <c r="C85" s="52" t="s">
        <v>824</v>
      </c>
      <c r="D85" s="52" t="s">
        <v>1043</v>
      </c>
      <c r="G85" s="52">
        <f t="shared" si="2"/>
        <v>57.45</v>
      </c>
      <c r="H85" s="52">
        <v>70</v>
      </c>
      <c r="I85" s="61">
        <f t="shared" si="3"/>
        <v>12.549999999999997</v>
      </c>
      <c r="J85" s="90">
        <f>Jan!I85+Feb!I85+Mar!I85+Apr!I85+May!I85+Jun!I85+July!I85+Aug!I85+Sep!I85+Oct!I85+Nov!I85+Dec!I85</f>
        <v>-72.320000000000064</v>
      </c>
      <c r="K85" s="82"/>
      <c r="L85" s="398">
        <v>57.45</v>
      </c>
      <c r="M85" s="397"/>
      <c r="N85" s="397"/>
      <c r="O85" s="398"/>
    </row>
    <row r="86" spans="1:18" s="52" customFormat="1" ht="13.5">
      <c r="B86" s="52" t="s">
        <v>799</v>
      </c>
      <c r="C86" s="52" t="s">
        <v>824</v>
      </c>
      <c r="D86" s="52" t="s">
        <v>1044</v>
      </c>
      <c r="G86" s="52">
        <f t="shared" si="2"/>
        <v>35.4</v>
      </c>
      <c r="H86" s="52">
        <v>25</v>
      </c>
      <c r="I86" s="61">
        <f t="shared" si="3"/>
        <v>-10.399999999999999</v>
      </c>
      <c r="J86" s="90">
        <f>Jan!I86+Feb!I86+Mar!I86+Apr!I86+May!I86+Jun!I86+July!I86+Aug!I86+Sep!I86+Oct!I86+Nov!I86+Dec!I86</f>
        <v>24.749999999999993</v>
      </c>
      <c r="K86" s="82"/>
      <c r="L86" s="398">
        <v>35.4</v>
      </c>
      <c r="M86" s="397"/>
      <c r="N86" s="397"/>
      <c r="O86" s="398"/>
      <c r="Q86" s="52" t="s">
        <v>1279</v>
      </c>
    </row>
    <row r="87" spans="1:18" s="52" customFormat="1" ht="13.5">
      <c r="B87" s="52" t="s">
        <v>800</v>
      </c>
      <c r="G87" s="52">
        <f t="shared" si="2"/>
        <v>52.64</v>
      </c>
      <c r="H87" s="52">
        <v>40</v>
      </c>
      <c r="I87" s="61">
        <f t="shared" si="3"/>
        <v>-12.64</v>
      </c>
      <c r="J87" s="90">
        <f>Jan!I87+Feb!I87+Mar!I87+Apr!I87+May!I87+Jun!I87+July!I87+Aug!I87+Sep!I87+Oct!I87+Nov!I87+Dec!I87</f>
        <v>-257.10999999999996</v>
      </c>
      <c r="K87" s="82"/>
      <c r="L87" s="398">
        <v>52.64</v>
      </c>
      <c r="M87" s="397"/>
      <c r="N87" s="397"/>
      <c r="O87" s="398"/>
    </row>
    <row r="88" spans="1:18" s="52" customFormat="1" ht="13.5">
      <c r="B88" s="52" t="s">
        <v>802</v>
      </c>
      <c r="C88" s="52" t="s">
        <v>1090</v>
      </c>
      <c r="G88" s="52">
        <f t="shared" si="2"/>
        <v>81.52</v>
      </c>
      <c r="H88" s="52">
        <v>100</v>
      </c>
      <c r="I88" s="61">
        <f t="shared" si="3"/>
        <v>18.480000000000004</v>
      </c>
      <c r="J88" s="90">
        <f>Jan!I88+Feb!I88+Mar!I88+Apr!I88+May!I88+Jun!I88+July!I88+Aug!I88+Sep!I88+Oct!I88+Nov!I88+Dec!I88</f>
        <v>504.62</v>
      </c>
      <c r="K88" s="82"/>
      <c r="L88" s="398"/>
      <c r="M88" s="397">
        <f>81.52</f>
        <v>81.52</v>
      </c>
      <c r="N88" s="397"/>
      <c r="O88" s="398"/>
    </row>
    <row r="89" spans="1:18" s="52" customFormat="1" ht="13.5">
      <c r="I89" s="61"/>
      <c r="J89" s="90"/>
      <c r="K89" s="82"/>
      <c r="L89" s="398"/>
      <c r="M89" s="397"/>
      <c r="N89" s="397"/>
      <c r="O89" s="398"/>
      <c r="R89" s="52">
        <f>SUM(L84:L87)</f>
        <v>234.03000000000003</v>
      </c>
    </row>
    <row r="90" spans="1:18" s="52" customFormat="1" ht="13.5">
      <c r="A90" s="58" t="s">
        <v>39</v>
      </c>
      <c r="B90" s="58">
        <f>SUM(G91:G94)</f>
        <v>0</v>
      </c>
      <c r="C90" s="58">
        <f>SUM(H91:H94)</f>
        <v>360</v>
      </c>
      <c r="D90" s="58">
        <f>C90-B90</f>
        <v>360</v>
      </c>
      <c r="I90" s="61"/>
      <c r="J90" s="90"/>
      <c r="K90" s="82"/>
      <c r="L90" s="398"/>
      <c r="M90" s="397"/>
      <c r="N90" s="397"/>
      <c r="O90" s="398"/>
    </row>
    <row r="91" spans="1:18" s="52" customFormat="1" ht="13.5">
      <c r="B91" s="52" t="s">
        <v>26</v>
      </c>
      <c r="C91" s="52" t="s">
        <v>27</v>
      </c>
      <c r="G91" s="52">
        <f t="shared" si="2"/>
        <v>0</v>
      </c>
      <c r="H91" s="52">
        <v>100</v>
      </c>
      <c r="I91" s="61">
        <f t="shared" si="3"/>
        <v>100</v>
      </c>
      <c r="J91" s="90">
        <f>Jan!I91+Feb!I91+Mar!I91+Apr!I91+May!I91+Jun!I91+July!I91+Aug!I91+Sep!I91+Oct!I91+Nov!I91+Dec!I91</f>
        <v>556.54000000000008</v>
      </c>
      <c r="K91" s="82"/>
      <c r="L91" s="398"/>
      <c r="M91" s="397"/>
      <c r="N91" s="397"/>
      <c r="O91" s="398"/>
    </row>
    <row r="92" spans="1:18" s="52" customFormat="1" ht="13.5">
      <c r="B92" s="52" t="s">
        <v>28</v>
      </c>
      <c r="C92" s="52" t="s">
        <v>29</v>
      </c>
      <c r="G92" s="52">
        <f t="shared" si="2"/>
        <v>0</v>
      </c>
      <c r="H92" s="52">
        <v>40</v>
      </c>
      <c r="I92" s="61">
        <f t="shared" si="3"/>
        <v>40</v>
      </c>
      <c r="J92" s="90">
        <f>Jan!I92+Feb!I92+Mar!I92+Apr!I92+May!I92+Jun!I92+July!I92+Aug!I92+Sep!I92+Oct!I92+Nov!I92+Dec!I92</f>
        <v>325.67</v>
      </c>
      <c r="K92" s="82"/>
      <c r="L92" s="398"/>
      <c r="M92" s="397"/>
      <c r="N92" s="397"/>
      <c r="O92" s="398"/>
    </row>
    <row r="93" spans="1:18" s="52" customFormat="1" ht="13.5">
      <c r="B93" s="52" t="s">
        <v>40</v>
      </c>
      <c r="C93" s="52" t="s">
        <v>41</v>
      </c>
      <c r="D93" s="52" t="s">
        <v>321</v>
      </c>
      <c r="G93" s="52">
        <f t="shared" si="2"/>
        <v>0</v>
      </c>
      <c r="H93" s="52">
        <v>100</v>
      </c>
      <c r="I93" s="61">
        <f t="shared" si="3"/>
        <v>100</v>
      </c>
      <c r="J93" s="90">
        <f>Jan!I93+Feb!I93+Mar!I93+Apr!I93+May!I93+Jun!I93+July!I93+Aug!I93+Sep!I93+Oct!I93+Nov!I93+Dec!I93</f>
        <v>1200</v>
      </c>
      <c r="K93" s="82"/>
      <c r="L93" s="398"/>
      <c r="M93" s="397"/>
      <c r="N93" s="397"/>
      <c r="O93" s="398"/>
    </row>
    <row r="94" spans="1:18" s="52" customFormat="1" ht="13.5">
      <c r="B94" s="52" t="s">
        <v>42</v>
      </c>
      <c r="C94" s="52" t="s">
        <v>43</v>
      </c>
      <c r="D94" s="52" t="s">
        <v>435</v>
      </c>
      <c r="G94" s="52">
        <f t="shared" si="2"/>
        <v>0</v>
      </c>
      <c r="H94" s="52">
        <v>120</v>
      </c>
      <c r="I94" s="61">
        <f t="shared" si="3"/>
        <v>120</v>
      </c>
      <c r="J94" s="90">
        <f>Jan!I94+Feb!I94+Mar!I94+Apr!I94+May!I94+Jun!I94+July!I94+Aug!I94+Sep!I94+Oct!I94+Nov!I94+Dec!I94</f>
        <v>1946.4199999999998</v>
      </c>
      <c r="K94" s="82"/>
      <c r="L94" s="398"/>
      <c r="M94" s="397"/>
      <c r="N94" s="397"/>
      <c r="O94" s="398"/>
    </row>
    <row r="95" spans="1:18" s="52" customFormat="1" ht="13.5">
      <c r="I95" s="61"/>
      <c r="J95" s="90"/>
      <c r="K95" s="82"/>
      <c r="L95" s="398"/>
      <c r="M95" s="397"/>
      <c r="N95" s="397"/>
      <c r="O95" s="398"/>
    </row>
    <row r="96" spans="1:18" s="52" customFormat="1" ht="13.5">
      <c r="A96" s="58" t="s">
        <v>45</v>
      </c>
      <c r="B96" s="58">
        <f>SUM(G97:G99)</f>
        <v>0</v>
      </c>
      <c r="C96" s="58">
        <f>SUM(H97:H99)</f>
        <v>173</v>
      </c>
      <c r="D96" s="58">
        <f>C96-B96</f>
        <v>173</v>
      </c>
      <c r="I96" s="61"/>
      <c r="J96" s="90"/>
      <c r="K96" s="82"/>
      <c r="L96" s="398"/>
      <c r="M96" s="397"/>
      <c r="N96" s="397"/>
      <c r="O96" s="398"/>
    </row>
    <row r="97" spans="1:15" s="52" customFormat="1" ht="13.5">
      <c r="B97" s="52" t="s">
        <v>46</v>
      </c>
      <c r="D97" s="52" t="s">
        <v>437</v>
      </c>
      <c r="G97" s="52">
        <f t="shared" si="2"/>
        <v>0</v>
      </c>
      <c r="H97" s="52">
        <v>65</v>
      </c>
      <c r="I97" s="61">
        <f t="shared" si="3"/>
        <v>65</v>
      </c>
      <c r="J97" s="90">
        <f>Jan!I97+Feb!I97+Mar!I97+Apr!I97+May!I97+Jun!I97+July!I97+Aug!I97+Sep!I97+Oct!I97+Nov!I97+Dec!I97</f>
        <v>50</v>
      </c>
      <c r="K97" s="82"/>
      <c r="L97" s="398"/>
      <c r="M97" s="397"/>
      <c r="N97" s="397"/>
      <c r="O97" s="398"/>
    </row>
    <row r="98" spans="1:15" s="52" customFormat="1" ht="13.5">
      <c r="B98" s="52" t="s">
        <v>47</v>
      </c>
      <c r="D98" s="52" t="s">
        <v>436</v>
      </c>
      <c r="G98" s="52">
        <f t="shared" si="2"/>
        <v>0</v>
      </c>
      <c r="H98" s="52">
        <v>72</v>
      </c>
      <c r="I98" s="61">
        <f t="shared" si="3"/>
        <v>72</v>
      </c>
      <c r="J98" s="90">
        <f>Jan!I98+Feb!I98+Mar!I98+Apr!I98+May!I98+Jun!I98+July!I98+Aug!I98+Sep!I98+Oct!I98+Nov!I98+Dec!I98</f>
        <v>6</v>
      </c>
      <c r="K98" s="82"/>
      <c r="L98" s="398"/>
      <c r="M98" s="397"/>
      <c r="N98" s="397"/>
      <c r="O98" s="398"/>
    </row>
    <row r="99" spans="1:15" s="52" customFormat="1" ht="13.5">
      <c r="B99" s="52" t="s">
        <v>48</v>
      </c>
      <c r="D99" s="52" t="s">
        <v>445</v>
      </c>
      <c r="G99" s="52">
        <f t="shared" si="2"/>
        <v>0</v>
      </c>
      <c r="H99" s="52">
        <v>36</v>
      </c>
      <c r="I99" s="61">
        <f t="shared" si="3"/>
        <v>36</v>
      </c>
      <c r="J99" s="90">
        <f>Jan!I99+Feb!I99+Mar!I99+Apr!I99+May!I99+Jun!I99+July!I99+Aug!I99+Sep!I99+Oct!I99+Nov!I99+Dec!I99</f>
        <v>-0.81999999999999318</v>
      </c>
      <c r="K99" s="82"/>
      <c r="L99" s="398"/>
      <c r="M99" s="397"/>
      <c r="N99" s="397"/>
      <c r="O99" s="398"/>
    </row>
    <row r="100" spans="1:15" s="52" customFormat="1" ht="13.5">
      <c r="I100" s="61"/>
      <c r="J100" s="90"/>
      <c r="K100" s="82"/>
      <c r="L100" s="398"/>
      <c r="M100" s="397"/>
      <c r="N100" s="397"/>
      <c r="O100" s="398"/>
    </row>
    <row r="101" spans="1:15" s="52" customFormat="1" ht="13.5">
      <c r="A101" s="58" t="s">
        <v>49</v>
      </c>
      <c r="B101" s="58">
        <f>SUM(G102:G108)</f>
        <v>0</v>
      </c>
      <c r="C101" s="58">
        <f>SUM(H102:H108)</f>
        <v>178</v>
      </c>
      <c r="D101" s="58">
        <f>C101-B101</f>
        <v>178</v>
      </c>
      <c r="I101" s="61"/>
      <c r="J101" s="90"/>
      <c r="K101" s="82"/>
      <c r="L101" s="398"/>
      <c r="M101" s="397"/>
      <c r="N101" s="397"/>
      <c r="O101" s="398"/>
    </row>
    <row r="102" spans="1:15" s="52" customFormat="1" ht="13.5">
      <c r="B102" s="52" t="s">
        <v>438</v>
      </c>
      <c r="G102" s="52">
        <f t="shared" si="2"/>
        <v>0</v>
      </c>
      <c r="H102" s="52">
        <v>20</v>
      </c>
      <c r="I102" s="61">
        <f t="shared" si="3"/>
        <v>20</v>
      </c>
      <c r="J102" s="90">
        <f>Jan!I102+Feb!I102+Mar!I102+Apr!I102+May!I102+Jun!I102+July!I102+Aug!I102+Sep!I102+Oct!I102+Nov!I102+Dec!I102</f>
        <v>-3270.5199999999995</v>
      </c>
      <c r="K102" s="82"/>
      <c r="L102" s="398"/>
      <c r="M102" s="397"/>
      <c r="N102" s="397"/>
      <c r="O102" s="398"/>
    </row>
    <row r="103" spans="1:15" s="52" customFormat="1" ht="13.5">
      <c r="B103" s="52" t="s">
        <v>439</v>
      </c>
      <c r="G103" s="52">
        <f t="shared" si="2"/>
        <v>0</v>
      </c>
      <c r="H103" s="52">
        <v>5</v>
      </c>
      <c r="I103" s="61">
        <f t="shared" si="3"/>
        <v>5</v>
      </c>
      <c r="J103" s="90">
        <f>Jan!I103+Feb!I103+Mar!I103+Apr!I103+May!I103+Jun!I103+July!I103+Aug!I103+Sep!I103+Oct!I103+Nov!I103+Dec!I103</f>
        <v>-61.95</v>
      </c>
      <c r="K103" s="82"/>
      <c r="L103" s="398"/>
      <c r="M103" s="397"/>
      <c r="N103" s="397"/>
      <c r="O103" s="398"/>
    </row>
    <row r="104" spans="1:15" s="52" customFormat="1" ht="13.5">
      <c r="B104" s="52" t="s">
        <v>303</v>
      </c>
      <c r="G104" s="52">
        <f t="shared" si="2"/>
        <v>0</v>
      </c>
      <c r="H104" s="52">
        <v>65</v>
      </c>
      <c r="I104" s="61">
        <f t="shared" si="3"/>
        <v>65</v>
      </c>
      <c r="J104" s="90">
        <f>Jan!I104+Feb!I104+Mar!I104+Apr!I104+May!I104+Jun!I104+July!I104+Aug!I104+Sep!I104+Oct!I104+Nov!I104+Dec!I104</f>
        <v>-79.830000000000041</v>
      </c>
      <c r="K104" s="82"/>
      <c r="L104" s="398"/>
      <c r="M104" s="397"/>
      <c r="N104" s="397"/>
      <c r="O104" s="398"/>
    </row>
    <row r="105" spans="1:15" s="52" customFormat="1" ht="13.5">
      <c r="B105" s="52" t="s">
        <v>259</v>
      </c>
      <c r="G105" s="52">
        <f t="shared" si="2"/>
        <v>0</v>
      </c>
      <c r="H105" s="52">
        <v>15</v>
      </c>
      <c r="I105" s="61">
        <f t="shared" si="3"/>
        <v>15</v>
      </c>
      <c r="J105" s="90">
        <f>Jan!I105+Feb!I105+Mar!I105+Apr!I105+May!I105+Jun!I105+July!I105+Aug!I105+Sep!I105+Oct!I105+Nov!I105+Dec!I105</f>
        <v>180</v>
      </c>
      <c r="K105" s="82"/>
      <c r="L105" s="398"/>
      <c r="M105" s="397"/>
      <c r="N105" s="397"/>
      <c r="O105" s="398"/>
    </row>
    <row r="106" spans="1:15" s="52" customFormat="1" ht="13.5">
      <c r="B106" s="52" t="s">
        <v>299</v>
      </c>
      <c r="G106" s="52">
        <f t="shared" si="2"/>
        <v>0</v>
      </c>
      <c r="H106" s="52">
        <v>35</v>
      </c>
      <c r="I106" s="61">
        <f t="shared" si="3"/>
        <v>35</v>
      </c>
      <c r="J106" s="90">
        <f>Jan!I106+Feb!I106+Mar!I106+Apr!I106+May!I106+Jun!I106+July!I106+Aug!I106+Sep!I106+Oct!I106+Nov!I106+Dec!I106</f>
        <v>-1132.71</v>
      </c>
      <c r="K106" s="82"/>
      <c r="L106" s="398"/>
      <c r="M106" s="397"/>
      <c r="N106" s="397"/>
      <c r="O106" s="398"/>
    </row>
    <row r="107" spans="1:15" s="52" customFormat="1" ht="13.5">
      <c r="B107" s="52" t="s">
        <v>440</v>
      </c>
      <c r="G107" s="52">
        <f t="shared" si="2"/>
        <v>0</v>
      </c>
      <c r="H107" s="52">
        <v>26</v>
      </c>
      <c r="I107" s="61">
        <f t="shared" si="3"/>
        <v>26</v>
      </c>
      <c r="J107" s="90">
        <f>Jan!I107+Feb!I107+Mar!I107+Apr!I107+May!I107+Jun!I107+July!I107+Aug!I107+Sep!I107+Oct!I107+Nov!I107+Dec!I107</f>
        <v>41</v>
      </c>
      <c r="K107" s="82"/>
      <c r="L107" s="398"/>
      <c r="M107" s="397"/>
      <c r="N107" s="397"/>
      <c r="O107" s="398"/>
    </row>
    <row r="108" spans="1:15" s="52" customFormat="1" ht="13.5">
      <c r="B108" s="52" t="s">
        <v>441</v>
      </c>
      <c r="G108" s="52">
        <f t="shared" si="2"/>
        <v>0</v>
      </c>
      <c r="H108" s="52">
        <v>12</v>
      </c>
      <c r="I108" s="61">
        <f t="shared" si="3"/>
        <v>12</v>
      </c>
      <c r="J108" s="90">
        <f>Jan!I108+Feb!I108+Mar!I108+Apr!I108+May!I108+Jun!I108+July!I108+Aug!I108+Sep!I108+Oct!I108+Nov!I108+Dec!I108</f>
        <v>-1.9900000000000091</v>
      </c>
      <c r="K108" s="82"/>
      <c r="L108" s="398"/>
      <c r="M108" s="397"/>
      <c r="N108" s="397"/>
      <c r="O108" s="398"/>
    </row>
    <row r="109" spans="1:15" s="52" customFormat="1" ht="13.5">
      <c r="I109" s="61"/>
      <c r="J109" s="90"/>
      <c r="K109" s="82"/>
      <c r="L109" s="398"/>
      <c r="M109" s="397"/>
      <c r="N109" s="397"/>
      <c r="O109" s="398"/>
    </row>
    <row r="110" spans="1:15" s="52" customFormat="1" ht="13.5">
      <c r="A110" s="58" t="s">
        <v>236</v>
      </c>
      <c r="B110" s="58">
        <f>SUM(G111:G113)</f>
        <v>54.33</v>
      </c>
      <c r="C110" s="58">
        <f>SUM(H111:H113)</f>
        <v>470</v>
      </c>
      <c r="D110" s="58">
        <f>C110-B110</f>
        <v>415.67</v>
      </c>
      <c r="I110" s="61"/>
      <c r="J110" s="90"/>
      <c r="K110" s="82"/>
      <c r="L110" s="398"/>
      <c r="M110" s="397"/>
      <c r="N110" s="397"/>
      <c r="O110" s="398"/>
    </row>
    <row r="111" spans="1:15" s="52" customFormat="1" ht="13.5">
      <c r="B111" s="52" t="s">
        <v>482</v>
      </c>
      <c r="G111" s="52">
        <f t="shared" si="2"/>
        <v>0</v>
      </c>
      <c r="H111" s="52">
        <v>60</v>
      </c>
      <c r="I111" s="61">
        <f t="shared" si="3"/>
        <v>60</v>
      </c>
      <c r="J111" s="90">
        <f>Jan!I111+Feb!I111+Mar!I111+Apr!I111+May!I111+Jun!I111+July!I111+Aug!I111+Sep!I111+Oct!I111+Nov!I111+Dec!I111</f>
        <v>710.06</v>
      </c>
      <c r="K111" s="82"/>
      <c r="L111" s="398"/>
      <c r="M111" s="397"/>
      <c r="N111" s="397"/>
      <c r="O111" s="398"/>
    </row>
    <row r="112" spans="1:15" s="52" customFormat="1" ht="13.5">
      <c r="B112" s="52" t="s">
        <v>442</v>
      </c>
      <c r="G112" s="52">
        <f t="shared" si="2"/>
        <v>0</v>
      </c>
      <c r="H112" s="52">
        <v>400</v>
      </c>
      <c r="I112" s="61">
        <f t="shared" si="3"/>
        <v>400</v>
      </c>
      <c r="J112" s="90">
        <f>Jan!I112+Feb!I112+Mar!I112+Apr!I112+May!I112+Jun!I112+July!I112+Aug!I112+Sep!I112+Oct!I112+Nov!I112+Dec!I112</f>
        <v>4179.83</v>
      </c>
      <c r="K112" s="82"/>
      <c r="L112" s="398"/>
      <c r="M112" s="397"/>
      <c r="N112" s="397"/>
      <c r="O112" s="398"/>
    </row>
    <row r="113" spans="1:17" s="52" customFormat="1" ht="13.5">
      <c r="B113" s="52" t="s">
        <v>258</v>
      </c>
      <c r="G113" s="52">
        <f t="shared" si="2"/>
        <v>54.33</v>
      </c>
      <c r="H113" s="52">
        <v>10</v>
      </c>
      <c r="I113" s="61">
        <f t="shared" si="3"/>
        <v>-44.33</v>
      </c>
      <c r="J113" s="90">
        <f>Jan!I113+Feb!I113+Mar!I113+Apr!I113+May!I113+Jun!I113+July!I113+Aug!I113+Sep!I113+Oct!I113+Nov!I113+Dec!I113</f>
        <v>43.150000000000006</v>
      </c>
      <c r="K113" s="82"/>
      <c r="L113" s="398"/>
      <c r="M113" s="397">
        <f>54.33</f>
        <v>54.33</v>
      </c>
      <c r="N113" s="397"/>
      <c r="O113" s="398"/>
    </row>
    <row r="114" spans="1:17" s="52" customFormat="1" ht="13.5">
      <c r="I114" s="61"/>
      <c r="J114" s="90"/>
      <c r="K114" s="82"/>
      <c r="L114" s="398"/>
      <c r="M114" s="397"/>
      <c r="N114" s="397"/>
      <c r="O114" s="398"/>
    </row>
    <row r="115" spans="1:17" s="52" customFormat="1" ht="13.5">
      <c r="A115" s="58" t="s">
        <v>53</v>
      </c>
      <c r="B115" s="58">
        <f>SUM(G116:G118)</f>
        <v>79.099999999999994</v>
      </c>
      <c r="C115" s="58">
        <f>SUM(H116:H118)</f>
        <v>245</v>
      </c>
      <c r="D115" s="58">
        <f>C115-B115</f>
        <v>165.9</v>
      </c>
      <c r="I115" s="61"/>
      <c r="J115" s="90"/>
      <c r="K115" s="82"/>
      <c r="L115" s="398"/>
      <c r="M115" s="397"/>
      <c r="N115" s="397"/>
      <c r="O115" s="398"/>
    </row>
    <row r="116" spans="1:17" s="52" customFormat="1" ht="13.5">
      <c r="B116" s="52" t="s">
        <v>443</v>
      </c>
      <c r="G116" s="52">
        <f t="shared" ref="G116:G170" si="4">SUM(L116:O116)</f>
        <v>40</v>
      </c>
      <c r="H116" s="52">
        <v>90</v>
      </c>
      <c r="I116" s="61">
        <f t="shared" si="3"/>
        <v>50</v>
      </c>
      <c r="J116" s="90">
        <f>Jan!I116+Feb!I116+Mar!I116+Apr!I116+May!I116+Jun!I116+July!I116+Aug!I116+Sep!I116+Oct!I116+Nov!I116+Dec!I116</f>
        <v>-1798.3500000000004</v>
      </c>
      <c r="K116" s="82"/>
      <c r="L116" s="398"/>
      <c r="M116" s="397">
        <f>40</f>
        <v>40</v>
      </c>
      <c r="N116" s="397"/>
      <c r="O116" s="398"/>
      <c r="Q116" s="52" t="s">
        <v>1274</v>
      </c>
    </row>
    <row r="117" spans="1:17" s="52" customFormat="1" ht="13.5">
      <c r="B117" s="52" t="s">
        <v>54</v>
      </c>
      <c r="G117" s="52">
        <f t="shared" si="4"/>
        <v>0</v>
      </c>
      <c r="H117" s="52">
        <v>25</v>
      </c>
      <c r="I117" s="61">
        <f t="shared" si="3"/>
        <v>25</v>
      </c>
      <c r="J117" s="90">
        <f>Jan!I117+Feb!I117+Mar!I117+Apr!I117+May!I117+Jun!I117+July!I117+Aug!I117+Sep!I117+Oct!I117+Nov!I117+Dec!I117</f>
        <v>66.599999999999994</v>
      </c>
      <c r="K117" s="82"/>
      <c r="L117" s="398"/>
      <c r="M117" s="397"/>
      <c r="N117" s="397"/>
      <c r="O117" s="398"/>
    </row>
    <row r="118" spans="1:17" s="52" customFormat="1" ht="13.5">
      <c r="B118" s="54" t="s">
        <v>444</v>
      </c>
      <c r="G118" s="52">
        <f t="shared" si="4"/>
        <v>39.1</v>
      </c>
      <c r="H118" s="52">
        <v>130</v>
      </c>
      <c r="I118" s="61">
        <f t="shared" si="3"/>
        <v>90.9</v>
      </c>
      <c r="J118" s="90">
        <f>Jan!I118+Feb!I118+Mar!I118+Apr!I118+May!I118+Jun!I118+July!I118+Aug!I118+Sep!I118+Oct!I118+Nov!I118+Dec!I118</f>
        <v>484.32000000000005</v>
      </c>
      <c r="K118" s="82"/>
      <c r="L118" s="398"/>
      <c r="M118" s="397">
        <f>39.1</f>
        <v>39.1</v>
      </c>
      <c r="N118" s="397"/>
      <c r="O118" s="398"/>
    </row>
    <row r="119" spans="1:17" s="52" customFormat="1" ht="13.5">
      <c r="I119" s="61"/>
      <c r="J119" s="90"/>
      <c r="K119" s="82"/>
      <c r="L119" s="398"/>
      <c r="M119" s="397"/>
      <c r="N119" s="397"/>
      <c r="O119" s="398"/>
    </row>
    <row r="120" spans="1:17" s="52" customFormat="1" ht="13.5">
      <c r="A120" s="58" t="s">
        <v>59</v>
      </c>
      <c r="B120" s="58">
        <f>SUM(G121:G123)</f>
        <v>4.34</v>
      </c>
      <c r="C120" s="58">
        <f>SUM(H121:H123)</f>
        <v>415</v>
      </c>
      <c r="D120" s="58">
        <f>C120-B120</f>
        <v>410.66</v>
      </c>
      <c r="I120" s="61"/>
      <c r="J120" s="90"/>
      <c r="K120" s="82"/>
      <c r="L120" s="398"/>
      <c r="M120" s="397"/>
      <c r="N120" s="397"/>
      <c r="O120" s="398"/>
    </row>
    <row r="121" spans="1:17" s="52" customFormat="1" ht="13.5">
      <c r="B121" s="52" t="s">
        <v>484</v>
      </c>
      <c r="D121" s="52" t="s">
        <v>60</v>
      </c>
      <c r="G121" s="52">
        <f t="shared" si="4"/>
        <v>0</v>
      </c>
      <c r="H121" s="52">
        <v>150</v>
      </c>
      <c r="I121" s="61">
        <f t="shared" si="3"/>
        <v>150</v>
      </c>
      <c r="J121" s="90">
        <f>Jan!I121+Feb!I121+Mar!I121+Apr!I121+May!I121+Jun!I121+July!I121+Aug!I121+Sep!I121+Oct!I121+Nov!I121+Dec!I121</f>
        <v>815.2</v>
      </c>
      <c r="K121" s="82"/>
      <c r="L121" s="398"/>
      <c r="M121" s="397"/>
      <c r="N121" s="397"/>
      <c r="O121" s="398"/>
    </row>
    <row r="122" spans="1:17" s="52" customFormat="1" ht="13.5">
      <c r="A122" s="58"/>
      <c r="B122" s="52" t="s">
        <v>483</v>
      </c>
      <c r="G122" s="52">
        <f t="shared" si="4"/>
        <v>0</v>
      </c>
      <c r="H122" s="52">
        <v>215</v>
      </c>
      <c r="I122" s="61">
        <f t="shared" si="3"/>
        <v>215</v>
      </c>
      <c r="J122" s="90">
        <f>Jan!I122+Feb!I122+Mar!I122+Apr!I122+May!I122+Jun!I122+July!I122+Aug!I122+Sep!I122+Oct!I122+Nov!I122+Dec!I122</f>
        <v>2070</v>
      </c>
      <c r="K122" s="82"/>
      <c r="L122" s="398"/>
      <c r="M122" s="397"/>
      <c r="N122" s="397"/>
      <c r="O122" s="398"/>
    </row>
    <row r="123" spans="1:17" s="52" customFormat="1" ht="13.5">
      <c r="A123" s="58"/>
      <c r="B123" s="52" t="s">
        <v>468</v>
      </c>
      <c r="G123" s="52">
        <f t="shared" si="4"/>
        <v>4.34</v>
      </c>
      <c r="H123" s="52">
        <v>50</v>
      </c>
      <c r="I123" s="61">
        <f t="shared" si="3"/>
        <v>45.66</v>
      </c>
      <c r="J123" s="90">
        <f>Jan!I123+Feb!I123+Mar!I123+Apr!I123+May!I123+Jun!I123+July!I123+Aug!I123+Sep!I123+Oct!I123+Nov!I123+Dec!I123</f>
        <v>-2969.34</v>
      </c>
      <c r="K123" s="82"/>
      <c r="L123" s="398"/>
      <c r="M123" s="397">
        <v>4.34</v>
      </c>
      <c r="N123" s="397"/>
      <c r="O123" s="398"/>
    </row>
    <row r="124" spans="1:17" s="52" customFormat="1" ht="13.5">
      <c r="A124" s="58"/>
      <c r="I124" s="61"/>
      <c r="J124" s="90"/>
      <c r="K124" s="82"/>
      <c r="L124" s="398"/>
      <c r="M124" s="397"/>
      <c r="N124" s="397"/>
      <c r="O124" s="398"/>
    </row>
    <row r="125" spans="1:17" s="52" customFormat="1" ht="13.5">
      <c r="A125" s="58" t="s">
        <v>50</v>
      </c>
      <c r="B125" s="58">
        <f>SUM(G126:G136)</f>
        <v>764.86</v>
      </c>
      <c r="C125" s="58">
        <f>SUM(H126:H136)</f>
        <v>740</v>
      </c>
      <c r="D125" s="58">
        <f>C125-B125</f>
        <v>-24.860000000000014</v>
      </c>
      <c r="I125" s="61"/>
      <c r="J125" s="90"/>
      <c r="K125" s="82"/>
      <c r="L125" s="398"/>
      <c r="M125" s="397"/>
      <c r="N125" s="397"/>
      <c r="O125" s="398"/>
    </row>
    <row r="126" spans="1:17" s="52" customFormat="1" ht="13.5">
      <c r="B126" s="52" t="s">
        <v>51</v>
      </c>
      <c r="G126" s="52">
        <f t="shared" si="4"/>
        <v>0</v>
      </c>
      <c r="H126" s="52">
        <v>100</v>
      </c>
      <c r="I126" s="61">
        <f t="shared" si="3"/>
        <v>100</v>
      </c>
      <c r="J126" s="90">
        <f>Jan!I126+Feb!I126+Mar!I126+Apr!I126+May!I126+Jun!I126+July!I126+Aug!I126+Sep!I126+Oct!I126+Nov!I126+Dec!I126</f>
        <v>-1250.0999999999999</v>
      </c>
      <c r="K126" s="82"/>
      <c r="L126" s="398"/>
      <c r="M126" s="397"/>
      <c r="N126" s="397"/>
      <c r="O126" s="398"/>
    </row>
    <row r="127" spans="1:17" s="52" customFormat="1" ht="14.25" thickBot="1">
      <c r="B127" s="52" t="s">
        <v>453</v>
      </c>
      <c r="G127" s="52">
        <f t="shared" si="4"/>
        <v>688.88</v>
      </c>
      <c r="H127" s="52">
        <v>500</v>
      </c>
      <c r="I127" s="61">
        <f t="shared" si="3"/>
        <v>-188.88</v>
      </c>
      <c r="J127" s="90">
        <f>Jan!I127+Feb!I127+Mar!I127+Apr!I127+May!I127+Jun!I127+July!I127+Aug!I127+Sep!I127+Oct!I127+Nov!I127+Dec!I127</f>
        <v>225.13000000000017</v>
      </c>
      <c r="K127" s="82"/>
      <c r="L127" s="398"/>
      <c r="M127" s="397">
        <f>6.46+3.57</f>
        <v>10.029999999999999</v>
      </c>
      <c r="N127" s="397">
        <f>85.78+68.69+104.65+12.3+62.8+111.61+51.62+103.29+78.11</f>
        <v>678.85</v>
      </c>
      <c r="O127" s="398"/>
    </row>
    <row r="128" spans="1:17" s="52" customFormat="1" ht="14.25" thickBot="1">
      <c r="C128" s="52" t="s">
        <v>446</v>
      </c>
      <c r="E128" s="88"/>
      <c r="I128" s="61"/>
      <c r="J128" s="90"/>
      <c r="K128" s="82"/>
      <c r="L128" s="398"/>
      <c r="M128" s="397"/>
      <c r="N128" s="397"/>
      <c r="O128" s="398"/>
    </row>
    <row r="129" spans="1:17" s="52" customFormat="1" ht="14.25" thickBot="1">
      <c r="C129" s="52" t="s">
        <v>447</v>
      </c>
      <c r="E129" s="88"/>
      <c r="I129" s="61"/>
      <c r="J129" s="90"/>
      <c r="K129" s="82"/>
      <c r="L129" s="398"/>
      <c r="M129" s="397"/>
      <c r="N129" s="397"/>
      <c r="O129" s="398"/>
    </row>
    <row r="130" spans="1:17" s="52" customFormat="1" ht="13.5">
      <c r="B130" s="52" t="s">
        <v>300</v>
      </c>
      <c r="G130" s="52">
        <f t="shared" si="4"/>
        <v>0</v>
      </c>
      <c r="H130" s="52">
        <v>50</v>
      </c>
      <c r="I130" s="61">
        <f t="shared" si="3"/>
        <v>50</v>
      </c>
      <c r="J130" s="90">
        <f>Jan!I130+Feb!I130+Mar!I130+Apr!I130+May!I130+Jun!I130+July!I130+Aug!I130+Sep!I130+Oct!I130+Nov!I130+Dec!I130</f>
        <v>-755.30000000000007</v>
      </c>
      <c r="K130" s="82"/>
      <c r="L130" s="398"/>
      <c r="M130" s="397"/>
      <c r="N130" s="397"/>
      <c r="O130" s="398"/>
    </row>
    <row r="131" spans="1:17" s="52" customFormat="1" ht="14.25" thickBot="1">
      <c r="B131" s="52" t="s">
        <v>52</v>
      </c>
      <c r="G131" s="52">
        <f t="shared" si="4"/>
        <v>75.98</v>
      </c>
      <c r="H131" s="52">
        <v>70</v>
      </c>
      <c r="I131" s="61">
        <f t="shared" si="3"/>
        <v>-5.980000000000004</v>
      </c>
      <c r="J131" s="90">
        <f>Jan!I131+Feb!I131+Mar!I131+Apr!I131+May!I131+Jun!I131+July!I131+Aug!I131+Sep!I131+Oct!I131+Nov!I131+Dec!I131</f>
        <v>354.31000000000006</v>
      </c>
      <c r="K131" s="82"/>
      <c r="L131" s="398"/>
      <c r="M131" s="397">
        <f>75.98</f>
        <v>75.98</v>
      </c>
      <c r="N131" s="397"/>
      <c r="O131" s="398"/>
      <c r="Q131" s="52" t="s">
        <v>1301</v>
      </c>
    </row>
    <row r="132" spans="1:17" s="52" customFormat="1" ht="14.25" thickBot="1">
      <c r="C132" s="259" t="s">
        <v>448</v>
      </c>
      <c r="D132" s="260"/>
      <c r="E132" s="88">
        <f>75.98</f>
        <v>75.98</v>
      </c>
      <c r="I132" s="61"/>
      <c r="J132" s="90"/>
      <c r="K132" s="82"/>
      <c r="L132" s="398"/>
      <c r="M132" s="397"/>
      <c r="N132" s="397"/>
      <c r="O132" s="398"/>
    </row>
    <row r="133" spans="1:17" s="52" customFormat="1" ht="14.25" thickBot="1">
      <c r="C133" s="259" t="s">
        <v>449</v>
      </c>
      <c r="D133" s="260"/>
      <c r="E133" s="88"/>
      <c r="I133" s="61"/>
      <c r="J133" s="90"/>
      <c r="K133" s="82"/>
      <c r="L133" s="398"/>
      <c r="M133" s="397"/>
      <c r="N133" s="397"/>
      <c r="O133" s="398"/>
    </row>
    <row r="134" spans="1:17" s="52" customFormat="1" ht="14.25" thickBot="1">
      <c r="C134" s="259" t="s">
        <v>450</v>
      </c>
      <c r="D134" s="260"/>
      <c r="E134" s="88"/>
      <c r="I134" s="61"/>
      <c r="J134" s="90"/>
      <c r="K134" s="82"/>
      <c r="L134" s="398"/>
      <c r="M134" s="397"/>
      <c r="N134" s="397"/>
      <c r="O134" s="398"/>
    </row>
    <row r="135" spans="1:17" s="52" customFormat="1" ht="14.25" thickBot="1">
      <c r="C135" s="259" t="s">
        <v>451</v>
      </c>
      <c r="D135" s="260"/>
      <c r="E135" s="88"/>
      <c r="I135" s="61"/>
      <c r="J135" s="90"/>
      <c r="K135" s="82"/>
      <c r="L135" s="398"/>
      <c r="M135" s="397"/>
      <c r="N135" s="397"/>
      <c r="O135" s="398"/>
    </row>
    <row r="136" spans="1:17" s="52" customFormat="1" ht="13.5">
      <c r="B136" s="52" t="s">
        <v>452</v>
      </c>
      <c r="G136" s="52">
        <f t="shared" si="4"/>
        <v>0</v>
      </c>
      <c r="H136" s="52">
        <v>20</v>
      </c>
      <c r="I136" s="61">
        <f t="shared" ref="I136:I151" si="5">H136-G136</f>
        <v>20</v>
      </c>
      <c r="J136" s="90">
        <f>Jan!I136+Feb!I136+Mar!I136+Apr!I136+May!I136+Jun!I136+July!I136+Aug!I136+Sep!I136+Oct!I136+Nov!I136+Dec!I136</f>
        <v>154.16</v>
      </c>
      <c r="K136" s="82"/>
      <c r="L136" s="398"/>
      <c r="M136" s="397"/>
      <c r="N136" s="397"/>
      <c r="O136" s="398"/>
    </row>
    <row r="137" spans="1:17" s="52" customFormat="1" ht="13.5">
      <c r="I137" s="61"/>
      <c r="J137" s="90"/>
      <c r="K137" s="82"/>
      <c r="L137" s="398"/>
      <c r="M137" s="397"/>
      <c r="N137" s="397"/>
      <c r="O137" s="398"/>
    </row>
    <row r="138" spans="1:17" s="52" customFormat="1" ht="13.5">
      <c r="A138" s="58" t="s">
        <v>65</v>
      </c>
      <c r="B138" s="58">
        <f>G139</f>
        <v>0</v>
      </c>
      <c r="C138" s="58">
        <f>H139</f>
        <v>140</v>
      </c>
      <c r="D138" s="58">
        <f>I139</f>
        <v>140</v>
      </c>
      <c r="I138" s="61"/>
      <c r="J138" s="90"/>
      <c r="K138" s="82"/>
      <c r="L138" s="398"/>
      <c r="M138" s="397"/>
      <c r="N138" s="397"/>
      <c r="O138" s="398"/>
    </row>
    <row r="139" spans="1:17" s="52" customFormat="1" ht="13.5">
      <c r="B139" s="52" t="s">
        <v>66</v>
      </c>
      <c r="G139" s="52">
        <f t="shared" si="4"/>
        <v>0</v>
      </c>
      <c r="H139" s="52">
        <v>140</v>
      </c>
      <c r="I139" s="61">
        <f t="shared" si="5"/>
        <v>140</v>
      </c>
      <c r="J139" s="90">
        <f>Jan!I139+Feb!I139+Mar!I139+Apr!I139+May!I139+Jun!I139+July!I139+Aug!I139+Sep!I139+Oct!I139+Nov!I139+Dec!I139</f>
        <v>1318.08</v>
      </c>
      <c r="K139" s="82"/>
      <c r="L139" s="398"/>
      <c r="M139" s="397"/>
      <c r="N139" s="397"/>
      <c r="O139" s="398"/>
    </row>
    <row r="140" spans="1:17" s="52" customFormat="1" ht="13.5">
      <c r="I140" s="61"/>
      <c r="J140" s="90"/>
      <c r="K140" s="82"/>
      <c r="L140" s="398"/>
      <c r="M140" s="397"/>
      <c r="N140" s="397"/>
      <c r="O140" s="398"/>
    </row>
    <row r="141" spans="1:17" s="52" customFormat="1" ht="13.5">
      <c r="A141" s="58" t="s">
        <v>271</v>
      </c>
      <c r="B141" s="58">
        <f>SUM(G142:G144)</f>
        <v>116.92000000000002</v>
      </c>
      <c r="C141" s="58">
        <f>SUM(H142:H144)</f>
        <v>230</v>
      </c>
      <c r="D141" s="58">
        <f>C141-B141</f>
        <v>113.07999999999998</v>
      </c>
      <c r="I141" s="61"/>
      <c r="J141" s="90"/>
      <c r="K141" s="82"/>
      <c r="L141" s="398"/>
      <c r="M141" s="397"/>
      <c r="N141" s="397"/>
      <c r="O141" s="398"/>
    </row>
    <row r="142" spans="1:17" s="52" customFormat="1" ht="13.5">
      <c r="B142" s="52" t="s">
        <v>266</v>
      </c>
      <c r="G142" s="52">
        <f t="shared" si="4"/>
        <v>116.92000000000002</v>
      </c>
      <c r="H142" s="52">
        <v>100</v>
      </c>
      <c r="I142" s="61">
        <f t="shared" si="5"/>
        <v>-16.920000000000016</v>
      </c>
      <c r="J142" s="90">
        <f>Jan!I142+Feb!I142+Mar!I142+Apr!I142+May!I142+Jun!I142+July!I142+Aug!I142+Sep!I142+Oct!I142+Nov!I142+Dec!I142</f>
        <v>-295.96999999999997</v>
      </c>
      <c r="K142" s="82"/>
      <c r="L142" s="398"/>
      <c r="M142" s="397">
        <f>16.25+33.21+37+15.23+15.23</f>
        <v>116.92000000000002</v>
      </c>
      <c r="N142" s="397"/>
      <c r="O142" s="398"/>
    </row>
    <row r="143" spans="1:17" s="52" customFormat="1" ht="13.5">
      <c r="B143" s="52" t="s">
        <v>454</v>
      </c>
      <c r="G143" s="52">
        <f t="shared" si="4"/>
        <v>0</v>
      </c>
      <c r="H143" s="52">
        <v>100</v>
      </c>
      <c r="I143" s="61">
        <f t="shared" si="5"/>
        <v>100</v>
      </c>
      <c r="J143" s="90">
        <f>Jan!I143+Feb!I143+Mar!I143+Apr!I143+May!I143+Jun!I143+July!I143+Aug!I143+Sep!I143+Oct!I143+Nov!I143+Dec!I143</f>
        <v>812.40000000000009</v>
      </c>
      <c r="K143" s="82"/>
      <c r="L143" s="398"/>
      <c r="M143" s="397"/>
      <c r="N143" s="397"/>
      <c r="O143" s="398"/>
    </row>
    <row r="144" spans="1:17" s="52" customFormat="1" ht="13.5">
      <c r="B144" s="52" t="s">
        <v>455</v>
      </c>
      <c r="G144" s="52">
        <f t="shared" si="4"/>
        <v>0</v>
      </c>
      <c r="H144" s="52">
        <v>30</v>
      </c>
      <c r="I144" s="61">
        <f t="shared" si="5"/>
        <v>30</v>
      </c>
      <c r="J144" s="90">
        <f>Jan!I144+Feb!I144+Mar!I144+Apr!I144+May!I144+Jun!I144+July!I144+Aug!I144+Sep!I144+Oct!I144+Nov!I144+Dec!I144</f>
        <v>360</v>
      </c>
      <c r="K144" s="82"/>
      <c r="L144" s="398"/>
      <c r="M144" s="397"/>
      <c r="N144" s="397"/>
      <c r="O144" s="398"/>
    </row>
    <row r="145" spans="1:17" s="52" customFormat="1" ht="13.5">
      <c r="I145" s="61"/>
      <c r="J145" s="90"/>
      <c r="K145" s="82"/>
      <c r="L145" s="398"/>
      <c r="M145" s="397"/>
      <c r="N145" s="397"/>
      <c r="O145" s="398"/>
    </row>
    <row r="146" spans="1:17" s="52" customFormat="1" ht="13.5">
      <c r="A146" s="58" t="s">
        <v>67</v>
      </c>
      <c r="B146" s="58">
        <f>G147</f>
        <v>0</v>
      </c>
      <c r="C146" s="58">
        <f>H147</f>
        <v>10</v>
      </c>
      <c r="D146" s="58">
        <f>C146-B146</f>
        <v>10</v>
      </c>
      <c r="I146" s="61"/>
      <c r="J146" s="90"/>
      <c r="K146" s="82"/>
      <c r="L146" s="398"/>
      <c r="M146" s="397"/>
      <c r="N146" s="397"/>
      <c r="O146" s="398"/>
    </row>
    <row r="147" spans="1:17" s="52" customFormat="1" ht="13.5">
      <c r="B147" s="52" t="s">
        <v>68</v>
      </c>
      <c r="G147" s="52">
        <f t="shared" si="4"/>
        <v>0</v>
      </c>
      <c r="H147" s="52">
        <v>10</v>
      </c>
      <c r="I147" s="61">
        <f t="shared" si="5"/>
        <v>10</v>
      </c>
      <c r="J147" s="90">
        <f>Jan!I147+Feb!I147+Mar!I147+Apr!I147+May!I147+Jun!I147+July!I147+Aug!I147+Sep!I147+Oct!I147+Nov!I147+Dec!I147</f>
        <v>42.83</v>
      </c>
      <c r="K147" s="82"/>
      <c r="L147" s="398"/>
      <c r="M147" s="397"/>
      <c r="N147" s="397"/>
      <c r="O147" s="398"/>
    </row>
    <row r="148" spans="1:17" s="52" customFormat="1" ht="13.5">
      <c r="I148" s="61"/>
      <c r="J148" s="90"/>
      <c r="K148" s="82"/>
      <c r="L148" s="398"/>
      <c r="M148" s="397"/>
      <c r="N148" s="397"/>
      <c r="O148" s="398"/>
    </row>
    <row r="149" spans="1:17" s="52" customFormat="1" ht="13.5">
      <c r="A149" s="58" t="s">
        <v>269</v>
      </c>
      <c r="B149" s="58">
        <f>SUM(G150:G151)</f>
        <v>335.03999999999996</v>
      </c>
      <c r="C149" s="58">
        <f>SUM(H150:H151)</f>
        <v>250</v>
      </c>
      <c r="D149" s="58">
        <f>C149-B149</f>
        <v>-85.039999999999964</v>
      </c>
      <c r="I149" s="61"/>
      <c r="J149" s="90"/>
      <c r="K149" s="82"/>
      <c r="L149" s="398"/>
      <c r="M149" s="397"/>
      <c r="N149" s="397"/>
      <c r="O149" s="398"/>
    </row>
    <row r="150" spans="1:17" s="52" customFormat="1" ht="13.5">
      <c r="B150" s="52" t="s">
        <v>63</v>
      </c>
      <c r="G150" s="52">
        <f t="shared" si="4"/>
        <v>168.76</v>
      </c>
      <c r="H150" s="52">
        <v>150</v>
      </c>
      <c r="I150" s="61">
        <f t="shared" si="5"/>
        <v>-18.759999999999991</v>
      </c>
      <c r="J150" s="90">
        <f>Jan!I150+Feb!I150+Mar!I150+Apr!I150+May!I150+Jun!I150+July!I150+Aug!I150+Sep!I150+Oct!I150+Nov!I150+Dec!I150</f>
        <v>1581.24</v>
      </c>
      <c r="K150" s="82"/>
      <c r="L150" s="398"/>
      <c r="M150" s="397">
        <f>10.88+111.54+46.34</f>
        <v>168.76</v>
      </c>
      <c r="N150" s="397"/>
      <c r="O150" s="398"/>
      <c r="Q150" s="52" t="s">
        <v>1284</v>
      </c>
    </row>
    <row r="151" spans="1:17" s="52" customFormat="1" ht="13.5">
      <c r="B151" s="52" t="s">
        <v>64</v>
      </c>
      <c r="D151" s="52" t="s">
        <v>270</v>
      </c>
      <c r="G151" s="52">
        <f t="shared" si="4"/>
        <v>166.27999999999997</v>
      </c>
      <c r="H151" s="52">
        <v>100</v>
      </c>
      <c r="I151" s="61">
        <f t="shared" si="5"/>
        <v>-66.279999999999973</v>
      </c>
      <c r="J151" s="90">
        <f>Jan!I151+Feb!I151+Mar!I151+Apr!I151+May!I151+Jun!I151+July!I151+Aug!I151+Sep!I151+Oct!I151+Nov!I151+Dec!I151</f>
        <v>611.81000000000006</v>
      </c>
      <c r="K151" s="87"/>
      <c r="L151" s="398"/>
      <c r="M151" s="397">
        <f>50+50+49.95+16.33</f>
        <v>166.27999999999997</v>
      </c>
      <c r="N151" s="397"/>
      <c r="O151" s="398"/>
      <c r="Q151" s="52" t="s">
        <v>1302</v>
      </c>
    </row>
    <row r="152" spans="1:17" s="52" customFormat="1" ht="13.5">
      <c r="I152" s="61"/>
      <c r="J152" s="90"/>
      <c r="K152" s="87"/>
      <c r="L152" s="398"/>
      <c r="M152" s="397"/>
      <c r="N152" s="397"/>
      <c r="O152" s="398"/>
    </row>
    <row r="153" spans="1:17" ht="13.5">
      <c r="A153" s="52"/>
      <c r="B153" s="52"/>
      <c r="C153" s="52"/>
      <c r="D153" s="52"/>
      <c r="E153" s="52"/>
      <c r="F153" s="52"/>
      <c r="G153" s="52"/>
      <c r="H153" s="52"/>
      <c r="I153" s="61"/>
      <c r="J153" s="90"/>
      <c r="L153" s="398"/>
      <c r="M153" s="397"/>
      <c r="N153" s="397"/>
      <c r="O153" s="398"/>
    </row>
    <row r="154" spans="1:17" ht="13.5">
      <c r="A154" s="58" t="s">
        <v>459</v>
      </c>
      <c r="B154" s="52"/>
      <c r="C154" s="52"/>
      <c r="D154" s="52"/>
      <c r="E154" s="52"/>
      <c r="F154" s="52"/>
      <c r="G154" s="52"/>
      <c r="H154" s="52"/>
      <c r="I154" s="61"/>
      <c r="J154" s="90"/>
      <c r="L154" s="398"/>
      <c r="M154" s="397"/>
      <c r="N154" s="397"/>
      <c r="O154" s="398"/>
    </row>
    <row r="155" spans="1:17" ht="13.5">
      <c r="A155" s="52"/>
      <c r="B155" s="52">
        <f>SUM(G156:G170)</f>
        <v>0</v>
      </c>
      <c r="C155" s="52">
        <f>SUM(H156:H170)</f>
        <v>610</v>
      </c>
      <c r="D155" s="58">
        <f>C155-B155</f>
        <v>610</v>
      </c>
      <c r="E155" s="52"/>
      <c r="F155" s="52"/>
      <c r="G155" s="52"/>
      <c r="H155" s="52"/>
      <c r="I155" s="61"/>
      <c r="J155" s="90"/>
      <c r="L155" s="398"/>
      <c r="M155" s="397"/>
      <c r="N155" s="397"/>
      <c r="O155" s="398"/>
    </row>
    <row r="156" spans="1:17" ht="13.5">
      <c r="A156" s="58" t="s">
        <v>461</v>
      </c>
      <c r="B156" s="52"/>
      <c r="C156" s="52"/>
      <c r="D156" s="52"/>
      <c r="E156" s="52"/>
      <c r="F156" s="52"/>
      <c r="G156" s="52"/>
      <c r="H156" s="52"/>
      <c r="I156" s="61"/>
      <c r="J156" s="90"/>
      <c r="L156" s="398"/>
      <c r="M156" s="397"/>
      <c r="N156" s="397"/>
      <c r="O156" s="398"/>
    </row>
    <row r="157" spans="1:17" ht="14.25" thickBot="1">
      <c r="A157" s="52"/>
      <c r="B157" s="52" t="s">
        <v>267</v>
      </c>
      <c r="C157" s="52"/>
      <c r="D157" s="52"/>
      <c r="E157" s="52"/>
      <c r="F157" s="52"/>
      <c r="G157" s="52">
        <f t="shared" si="4"/>
        <v>0</v>
      </c>
      <c r="H157" s="52">
        <v>100</v>
      </c>
      <c r="I157" s="61">
        <f t="shared" ref="I157:I170" si="6">H157-G157</f>
        <v>100</v>
      </c>
      <c r="J157" s="90">
        <f>Jan!I157+Feb!I157+Mar!I157+Apr!I157+May!I157+Jun!I157+July!I157+Aug!I157+Sep!I157+Oct!I157+Nov!I157+Dec!I157</f>
        <v>1200</v>
      </c>
      <c r="L157" s="398"/>
      <c r="M157" s="397"/>
      <c r="N157" s="397"/>
      <c r="O157" s="398"/>
    </row>
    <row r="158" spans="1:17" ht="14.25" thickBot="1">
      <c r="A158" s="88">
        <f>SUM(G157:G161)</f>
        <v>0</v>
      </c>
      <c r="B158" s="52" t="s">
        <v>268</v>
      </c>
      <c r="C158" s="52"/>
      <c r="D158" s="52"/>
      <c r="E158" s="52"/>
      <c r="F158" s="52"/>
      <c r="G158" s="52">
        <f t="shared" si="4"/>
        <v>0</v>
      </c>
      <c r="H158" s="52">
        <v>100</v>
      </c>
      <c r="I158" s="61">
        <f t="shared" si="6"/>
        <v>100</v>
      </c>
      <c r="J158" s="90">
        <f>Jan!I158+Feb!I158+Mar!I158+Apr!I158+May!I158+Jun!I158+July!I158+Aug!I158+Sep!I158+Oct!I158+Nov!I158+Dec!I158</f>
        <v>1200</v>
      </c>
      <c r="L158" s="398"/>
      <c r="M158" s="397"/>
      <c r="N158" s="397"/>
      <c r="O158" s="398"/>
    </row>
    <row r="159" spans="1:17" ht="13.5">
      <c r="A159" s="52"/>
      <c r="B159" s="52" t="s">
        <v>61</v>
      </c>
      <c r="C159" s="52"/>
      <c r="D159" s="52"/>
      <c r="E159" s="52"/>
      <c r="F159" s="52"/>
      <c r="G159" s="52">
        <f t="shared" si="4"/>
        <v>0</v>
      </c>
      <c r="H159" s="52">
        <v>30</v>
      </c>
      <c r="I159" s="61">
        <f t="shared" si="6"/>
        <v>30</v>
      </c>
      <c r="J159" s="90">
        <f>Jan!I159+Feb!I159+Mar!I159+Apr!I159+May!I159+Jun!I159+July!I159+Aug!I159+Sep!I159+Oct!I159+Nov!I159+Dec!I159</f>
        <v>360</v>
      </c>
      <c r="L159" s="398"/>
      <c r="M159" s="397"/>
      <c r="N159" s="397"/>
      <c r="O159" s="398"/>
    </row>
    <row r="160" spans="1:17" ht="13.5">
      <c r="A160" s="52"/>
      <c r="B160" s="52" t="s">
        <v>62</v>
      </c>
      <c r="C160" s="52"/>
      <c r="D160" s="52"/>
      <c r="E160" s="52"/>
      <c r="F160" s="52"/>
      <c r="G160" s="52">
        <f t="shared" si="4"/>
        <v>0</v>
      </c>
      <c r="H160" s="52">
        <v>50</v>
      </c>
      <c r="I160" s="61">
        <f t="shared" si="6"/>
        <v>50</v>
      </c>
      <c r="J160" s="90">
        <f>Jan!I160+Feb!I160+Mar!I160+Apr!I160+May!I160+Jun!I160+July!I160+Aug!I160+Sep!I160+Oct!I160+Nov!I160+Dec!I160</f>
        <v>525</v>
      </c>
      <c r="L160" s="398"/>
      <c r="M160" s="397"/>
      <c r="N160" s="397"/>
      <c r="O160" s="398"/>
    </row>
    <row r="161" spans="1:15" ht="13.5">
      <c r="A161" s="52"/>
      <c r="B161" s="52" t="s">
        <v>486</v>
      </c>
      <c r="C161" s="52"/>
      <c r="D161" s="52"/>
      <c r="E161" s="52"/>
      <c r="F161" s="52"/>
      <c r="G161" s="52">
        <f t="shared" si="4"/>
        <v>0</v>
      </c>
      <c r="H161" s="52">
        <v>10</v>
      </c>
      <c r="I161" s="61">
        <f t="shared" si="6"/>
        <v>10</v>
      </c>
      <c r="J161" s="90">
        <f>Jan!I161+Feb!I161+Mar!I161+Apr!I161+May!I161+Jun!I161+July!I161+Aug!I161+Sep!I161+Oct!I161+Nov!I161+Dec!I161</f>
        <v>120</v>
      </c>
      <c r="L161" s="398"/>
      <c r="M161" s="397"/>
      <c r="N161" s="397"/>
      <c r="O161" s="398"/>
    </row>
    <row r="162" spans="1:15" ht="13.5">
      <c r="A162" s="52"/>
      <c r="B162" s="52"/>
      <c r="C162" s="52"/>
      <c r="D162" s="52"/>
      <c r="E162" s="52"/>
      <c r="F162" s="52"/>
      <c r="G162" s="52"/>
      <c r="H162" s="52"/>
      <c r="I162" s="61"/>
      <c r="J162" s="90"/>
      <c r="L162" s="398"/>
      <c r="M162" s="397"/>
      <c r="N162" s="397"/>
      <c r="O162" s="398"/>
    </row>
    <row r="163" spans="1:15" ht="13.5">
      <c r="A163" s="58" t="s">
        <v>460</v>
      </c>
      <c r="B163" s="52"/>
      <c r="C163" s="52"/>
      <c r="D163" s="52"/>
      <c r="E163" s="52"/>
      <c r="F163" s="52"/>
      <c r="G163" s="52"/>
      <c r="H163" s="52"/>
      <c r="I163" s="61"/>
      <c r="J163" s="90"/>
      <c r="L163" s="398"/>
      <c r="M163" s="397"/>
      <c r="N163" s="397"/>
      <c r="O163" s="398"/>
    </row>
    <row r="164" spans="1:15" ht="14.25" thickBot="1">
      <c r="A164" s="52"/>
      <c r="B164" s="52" t="s">
        <v>456</v>
      </c>
      <c r="C164" s="52"/>
      <c r="D164" s="52"/>
      <c r="E164" s="52"/>
      <c r="F164" s="52"/>
      <c r="G164" s="52">
        <f t="shared" si="4"/>
        <v>0</v>
      </c>
      <c r="H164" s="52">
        <v>30</v>
      </c>
      <c r="I164" s="61">
        <f t="shared" si="6"/>
        <v>30</v>
      </c>
      <c r="J164" s="90">
        <f>Jan!I164+Feb!I164+Mar!I164+Apr!I164+May!I164+Jun!I164+July!I164+Aug!I164+Sep!I164+Oct!I164+Nov!I164+Dec!I164</f>
        <v>326.83</v>
      </c>
      <c r="L164" s="398"/>
      <c r="M164" s="397"/>
      <c r="N164" s="397"/>
      <c r="O164" s="398"/>
    </row>
    <row r="165" spans="1:15" ht="14.25" thickBot="1">
      <c r="A165" s="88">
        <f>SUM(G164:G168)</f>
        <v>0</v>
      </c>
      <c r="B165" s="52" t="s">
        <v>457</v>
      </c>
      <c r="C165" s="52"/>
      <c r="D165" s="52"/>
      <c r="E165" s="52"/>
      <c r="F165" s="52"/>
      <c r="G165" s="52">
        <f t="shared" si="4"/>
        <v>0</v>
      </c>
      <c r="H165" s="52">
        <v>30</v>
      </c>
      <c r="I165" s="61">
        <f t="shared" si="6"/>
        <v>30</v>
      </c>
      <c r="J165" s="90">
        <f>Jan!I165+Feb!I165+Mar!I165+Apr!I165+May!I165+Jun!I165+July!I165+Aug!I165+Sep!I165+Oct!I165+Nov!I165+Dec!I165</f>
        <v>-2574.2199999999998</v>
      </c>
      <c r="L165" s="398"/>
      <c r="M165" s="397"/>
      <c r="N165" s="397"/>
      <c r="O165" s="398"/>
    </row>
    <row r="166" spans="1:15" ht="13.5">
      <c r="A166" s="52"/>
      <c r="B166" s="52" t="s">
        <v>462</v>
      </c>
      <c r="C166" s="52"/>
      <c r="D166" s="52"/>
      <c r="E166" s="52"/>
      <c r="F166" s="52"/>
      <c r="G166" s="52">
        <f t="shared" si="4"/>
        <v>0</v>
      </c>
      <c r="H166" s="52">
        <v>30</v>
      </c>
      <c r="I166" s="61">
        <f t="shared" si="6"/>
        <v>30</v>
      </c>
      <c r="J166" s="90">
        <f>Jan!I166+Feb!I166+Mar!I166+Apr!I166+May!I166+Jun!I166+July!I166+Aug!I166+Sep!I166+Oct!I166+Nov!I166+Dec!I166</f>
        <v>360</v>
      </c>
      <c r="L166" s="398"/>
      <c r="M166" s="397"/>
      <c r="N166" s="397"/>
      <c r="O166" s="398"/>
    </row>
    <row r="167" spans="1:15" ht="13.5">
      <c r="A167" s="52"/>
      <c r="B167" s="52" t="s">
        <v>458</v>
      </c>
      <c r="C167" s="52"/>
      <c r="D167" s="52"/>
      <c r="E167" s="52"/>
      <c r="F167" s="52"/>
      <c r="G167" s="52">
        <f t="shared" si="4"/>
        <v>0</v>
      </c>
      <c r="H167" s="52">
        <v>30</v>
      </c>
      <c r="I167" s="61">
        <f t="shared" si="6"/>
        <v>30</v>
      </c>
      <c r="J167" s="90">
        <f>Jan!I167+Feb!I167+Mar!I167+Apr!I167+May!I167+Jun!I167+July!I167+Aug!I167+Sep!I167+Oct!I167+Nov!I167+Dec!I167</f>
        <v>360</v>
      </c>
      <c r="L167" s="398"/>
      <c r="M167" s="397"/>
      <c r="N167" s="397"/>
      <c r="O167" s="398"/>
    </row>
    <row r="168" spans="1:15" ht="13.5">
      <c r="A168" s="52"/>
      <c r="B168" s="52" t="s">
        <v>485</v>
      </c>
      <c r="C168" s="52"/>
      <c r="D168" s="52"/>
      <c r="E168" s="52"/>
      <c r="F168" s="52"/>
      <c r="G168" s="52">
        <f t="shared" si="4"/>
        <v>0</v>
      </c>
      <c r="H168" s="52">
        <v>100</v>
      </c>
      <c r="I168" s="61">
        <f t="shared" si="6"/>
        <v>100</v>
      </c>
      <c r="J168" s="90">
        <f>Jan!I168+Feb!I168+Mar!I168+Apr!I168+May!I168+Jun!I168+July!I168+Aug!I168+Sep!I168+Oct!I168+Nov!I168+Dec!I168</f>
        <v>1200</v>
      </c>
      <c r="L168" s="398"/>
      <c r="M168" s="397"/>
      <c r="N168" s="397"/>
      <c r="O168" s="398"/>
    </row>
    <row r="169" spans="1:15" ht="13.5">
      <c r="A169" s="52"/>
      <c r="B169" s="52"/>
      <c r="C169" s="52"/>
      <c r="D169" s="52"/>
      <c r="E169" s="52"/>
      <c r="F169" s="52"/>
      <c r="G169" s="52"/>
      <c r="H169" s="52"/>
      <c r="I169" s="61"/>
      <c r="J169" s="90"/>
      <c r="L169" s="398"/>
      <c r="M169" s="397"/>
      <c r="N169" s="397"/>
      <c r="O169" s="398"/>
    </row>
    <row r="170" spans="1:15" ht="13.5">
      <c r="A170" s="58" t="s">
        <v>272</v>
      </c>
      <c r="B170" s="52"/>
      <c r="C170" s="52"/>
      <c r="D170" s="52"/>
      <c r="E170" s="52"/>
      <c r="F170" s="52"/>
      <c r="G170" s="52">
        <f t="shared" si="4"/>
        <v>0</v>
      </c>
      <c r="H170" s="52">
        <v>100</v>
      </c>
      <c r="I170" s="61">
        <f t="shared" si="6"/>
        <v>100</v>
      </c>
      <c r="J170" s="90">
        <f>Jan!I170+Feb!I170+Mar!I170+Apr!I170+May!I170+Jun!I170+July!I170+Aug!I170+Sep!I170+Oct!I170+Nov!I170+Dec!I170</f>
        <v>1200</v>
      </c>
      <c r="L170" s="398"/>
      <c r="M170" s="397"/>
      <c r="N170" s="397"/>
      <c r="O170" s="398"/>
    </row>
  </sheetData>
  <sheetProtection selectLockedCells="1" selectUnlockedCells="1"/>
  <pageMargins left="0.75" right="0.75" top="1" bottom="1" header="0.51180555555555551" footer="0.51180555555555551"/>
  <pageSetup firstPageNumber="0" orientation="portrait" horizontalDpi="300" verticalDpi="300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20"/>
  <sheetViews>
    <sheetView topLeftCell="A7" workbookViewId="0">
      <selection activeCell="C21" sqref="C21"/>
    </sheetView>
  </sheetViews>
  <sheetFormatPr defaultRowHeight="14.25"/>
  <cols>
    <col min="1" max="1" width="16.28515625" style="377" customWidth="1"/>
    <col min="2" max="2" width="86.28515625" style="377" customWidth="1"/>
    <col min="3" max="3" width="15.42578125" style="377" customWidth="1"/>
    <col min="4" max="11" width="12.140625" style="377" customWidth="1"/>
    <col min="12" max="12" width="12.85546875" style="377" customWidth="1"/>
    <col min="13" max="14" width="12.140625" style="377" customWidth="1"/>
    <col min="15" max="15" width="12" style="377" customWidth="1"/>
    <col min="16" max="18" width="9.140625" style="377"/>
    <col min="19" max="19" width="11.42578125" style="377" customWidth="1"/>
    <col min="20" max="16384" width="9.140625" style="377"/>
  </cols>
  <sheetData>
    <row r="1" spans="1:3">
      <c r="A1" s="377" t="s">
        <v>705</v>
      </c>
    </row>
    <row r="2" spans="1:3">
      <c r="B2" s="377" t="s">
        <v>602</v>
      </c>
      <c r="C2" s="377">
        <v>418000</v>
      </c>
    </row>
    <row r="3" spans="1:3">
      <c r="B3" s="377" t="s">
        <v>706</v>
      </c>
      <c r="C3" s="377">
        <v>-83600</v>
      </c>
    </row>
    <row r="4" spans="1:3">
      <c r="B4" s="377" t="s">
        <v>707</v>
      </c>
      <c r="C4" s="377">
        <f>SUM(C2:C3)</f>
        <v>334400</v>
      </c>
    </row>
    <row r="6" spans="1:3">
      <c r="A6" s="377" t="s">
        <v>708</v>
      </c>
      <c r="C6" s="377" t="s">
        <v>790</v>
      </c>
    </row>
    <row r="7" spans="1:3">
      <c r="A7" s="379">
        <v>41822</v>
      </c>
      <c r="B7" s="379" t="s">
        <v>709</v>
      </c>
      <c r="C7" s="377">
        <v>475</v>
      </c>
    </row>
    <row r="8" spans="1:3">
      <c r="A8" s="379">
        <v>41853</v>
      </c>
      <c r="B8" s="379" t="s">
        <v>752</v>
      </c>
      <c r="C8" s="377">
        <v>470</v>
      </c>
    </row>
    <row r="9" spans="1:3">
      <c r="A9" s="379">
        <v>41887</v>
      </c>
      <c r="B9" s="377" t="s">
        <v>751</v>
      </c>
      <c r="C9" s="377">
        <v>960</v>
      </c>
    </row>
    <row r="10" spans="1:3">
      <c r="A10" s="379">
        <v>41887</v>
      </c>
      <c r="B10" s="377" t="s">
        <v>753</v>
      </c>
      <c r="C10" s="377">
        <v>45619</v>
      </c>
    </row>
    <row r="11" spans="1:3">
      <c r="A11" s="379">
        <v>41825</v>
      </c>
      <c r="B11" s="377" t="s">
        <v>753</v>
      </c>
      <c r="C11" s="377">
        <v>41800</v>
      </c>
    </row>
    <row r="12" spans="1:3">
      <c r="A12" s="379">
        <v>41887</v>
      </c>
      <c r="B12" s="377" t="s">
        <v>754</v>
      </c>
      <c r="C12" s="377">
        <v>11365</v>
      </c>
    </row>
    <row r="13" spans="1:3">
      <c r="A13" s="379">
        <v>41887</v>
      </c>
      <c r="B13" s="377" t="s">
        <v>813</v>
      </c>
      <c r="C13" s="377">
        <v>-888.22</v>
      </c>
    </row>
    <row r="14" spans="1:3">
      <c r="A14" s="379">
        <v>41903</v>
      </c>
      <c r="B14" s="377" t="s">
        <v>797</v>
      </c>
      <c r="C14" s="377">
        <v>395</v>
      </c>
    </row>
    <row r="15" spans="1:3" ht="15.75" thickBot="1">
      <c r="A15" s="379"/>
      <c r="B15" s="377" t="s">
        <v>763</v>
      </c>
      <c r="C15" s="385">
        <f>SUM(C7:C14)</f>
        <v>100195.78</v>
      </c>
    </row>
    <row r="16" spans="1:3" ht="15.75" thickTop="1">
      <c r="B16" s="377" t="s">
        <v>764</v>
      </c>
      <c r="C16" s="386">
        <v>-83600</v>
      </c>
    </row>
    <row r="17" spans="1:19" ht="15.75" thickBot="1">
      <c r="B17" s="377" t="s">
        <v>765</v>
      </c>
      <c r="C17" s="385">
        <f>SUM(C15:C16)</f>
        <v>16595.78</v>
      </c>
    </row>
    <row r="18" spans="1:19" ht="15.75" thickTop="1">
      <c r="C18" s="387"/>
    </row>
    <row r="19" spans="1:19" ht="15">
      <c r="B19" s="377" t="s">
        <v>1315</v>
      </c>
      <c r="C19" s="469">
        <f>SUM(D23:G23)</f>
        <v>16300.760000000002</v>
      </c>
    </row>
    <row r="20" spans="1:19" ht="15">
      <c r="B20" s="377" t="s">
        <v>1248</v>
      </c>
      <c r="C20" s="470">
        <f>C23-D23-E23-F23-G23</f>
        <v>117872.52</v>
      </c>
    </row>
    <row r="21" spans="1:19" ht="15">
      <c r="B21" s="377" t="s">
        <v>1314</v>
      </c>
      <c r="C21" s="470">
        <f>SUM(D23:S23)</f>
        <v>134173.28</v>
      </c>
    </row>
    <row r="22" spans="1:19" ht="15.75" thickBot="1">
      <c r="C22" s="387" t="s">
        <v>31</v>
      </c>
      <c r="D22" s="388" t="s">
        <v>143</v>
      </c>
      <c r="E22" s="377" t="s">
        <v>145</v>
      </c>
      <c r="F22" s="377" t="s">
        <v>147</v>
      </c>
      <c r="G22" s="377" t="s">
        <v>148</v>
      </c>
      <c r="H22" s="377" t="s">
        <v>772</v>
      </c>
      <c r="I22" s="377" t="s">
        <v>857</v>
      </c>
      <c r="J22" s="413" t="s">
        <v>930</v>
      </c>
      <c r="K22" s="377" t="s">
        <v>933</v>
      </c>
      <c r="L22" s="413">
        <v>42125</v>
      </c>
      <c r="M22" s="413">
        <v>42156</v>
      </c>
      <c r="N22" s="413">
        <v>75058</v>
      </c>
      <c r="O22" s="377" t="s">
        <v>1095</v>
      </c>
      <c r="P22" s="377" t="s">
        <v>1193</v>
      </c>
      <c r="Q22" s="377" t="s">
        <v>1194</v>
      </c>
      <c r="R22" s="377" t="s">
        <v>1275</v>
      </c>
      <c r="S22" s="377" t="s">
        <v>1276</v>
      </c>
    </row>
    <row r="23" spans="1:19" ht="15" thickBot="1">
      <c r="A23" s="377" t="s">
        <v>1054</v>
      </c>
      <c r="C23" s="415">
        <f>SUM(C24:C86)</f>
        <v>134173.28</v>
      </c>
      <c r="D23" s="415">
        <f t="shared" ref="D23:S23" si="0">SUM(D24:D86)</f>
        <v>1008.21</v>
      </c>
      <c r="E23" s="415">
        <f t="shared" si="0"/>
        <v>6891.33</v>
      </c>
      <c r="F23" s="415">
        <f t="shared" si="0"/>
        <v>6073.68</v>
      </c>
      <c r="G23" s="415">
        <f t="shared" si="0"/>
        <v>2327.54</v>
      </c>
      <c r="H23" s="415">
        <f t="shared" si="0"/>
        <v>29841.350000000002</v>
      </c>
      <c r="I23" s="415">
        <f t="shared" si="0"/>
        <v>22474.749999999996</v>
      </c>
      <c r="J23" s="415">
        <f t="shared" si="0"/>
        <v>27961.02</v>
      </c>
      <c r="K23" s="415">
        <f t="shared" si="0"/>
        <v>25946.629999999997</v>
      </c>
      <c r="L23" s="415">
        <f t="shared" si="0"/>
        <v>2256.75</v>
      </c>
      <c r="M23" s="415">
        <f t="shared" si="0"/>
        <v>2651.99</v>
      </c>
      <c r="N23" s="415">
        <f t="shared" si="0"/>
        <v>2231.15</v>
      </c>
      <c r="O23" s="415">
        <f t="shared" si="0"/>
        <v>1394.81</v>
      </c>
      <c r="P23" s="415">
        <f t="shared" si="0"/>
        <v>0</v>
      </c>
      <c r="Q23" s="415">
        <f t="shared" si="0"/>
        <v>959.72</v>
      </c>
      <c r="R23" s="415">
        <f t="shared" si="0"/>
        <v>154.35</v>
      </c>
      <c r="S23" s="415">
        <f t="shared" si="0"/>
        <v>2000</v>
      </c>
    </row>
    <row r="24" spans="1:19">
      <c r="A24" s="377" t="s">
        <v>766</v>
      </c>
      <c r="C24" s="414">
        <f>SUM(D24:K24)</f>
        <v>7600</v>
      </c>
      <c r="E24" s="377">
        <v>3400</v>
      </c>
      <c r="F24" s="377">
        <f>670+670</f>
        <v>1340</v>
      </c>
      <c r="G24" s="377">
        <v>710</v>
      </c>
      <c r="J24" s="377">
        <f>1400+250</f>
        <v>1650</v>
      </c>
      <c r="K24" s="377">
        <v>500</v>
      </c>
    </row>
    <row r="25" spans="1:19">
      <c r="B25" s="377" t="s">
        <v>775</v>
      </c>
      <c r="C25" s="414"/>
    </row>
    <row r="26" spans="1:19">
      <c r="B26" s="377" t="s">
        <v>776</v>
      </c>
      <c r="C26" s="414"/>
    </row>
    <row r="27" spans="1:19">
      <c r="B27" s="377" t="s">
        <v>778</v>
      </c>
      <c r="C27" s="414"/>
    </row>
    <row r="28" spans="1:19">
      <c r="B28" s="377" t="s">
        <v>777</v>
      </c>
      <c r="C28" s="414"/>
    </row>
    <row r="29" spans="1:19">
      <c r="A29" s="377" t="s">
        <v>767</v>
      </c>
      <c r="B29" s="378" t="s">
        <v>768</v>
      </c>
      <c r="C29" s="414">
        <f>SUM(D29:J29)</f>
        <v>3500</v>
      </c>
      <c r="E29" s="377">
        <v>3500</v>
      </c>
    </row>
    <row r="30" spans="1:19">
      <c r="C30" s="414"/>
    </row>
    <row r="31" spans="1:19">
      <c r="A31" s="377" t="s">
        <v>779</v>
      </c>
      <c r="C31" s="414">
        <f>SUM(D31:M33)</f>
        <v>2900</v>
      </c>
      <c r="F31" s="377">
        <f>300</f>
        <v>300</v>
      </c>
    </row>
    <row r="32" spans="1:19">
      <c r="B32" s="377" t="s">
        <v>1042</v>
      </c>
      <c r="C32" s="414"/>
    </row>
    <row r="33" spans="1:18">
      <c r="B33" s="377" t="s">
        <v>1041</v>
      </c>
      <c r="C33" s="414"/>
      <c r="L33" s="377">
        <v>2450</v>
      </c>
      <c r="M33" s="377">
        <v>150</v>
      </c>
    </row>
    <row r="34" spans="1:18">
      <c r="C34" s="414"/>
    </row>
    <row r="35" spans="1:18">
      <c r="A35" s="377" t="s">
        <v>785</v>
      </c>
      <c r="C35" s="414">
        <f>SUM(D35:S35)</f>
        <v>25698.659999999996</v>
      </c>
      <c r="D35" s="377">
        <f>1008.21</f>
        <v>1008.21</v>
      </c>
      <c r="E35" s="377">
        <v>-8.67</v>
      </c>
      <c r="F35" s="377">
        <f>160+3317.66+956.02</f>
        <v>4433.68</v>
      </c>
      <c r="G35" s="377">
        <f>1617.54</f>
        <v>1617.54</v>
      </c>
      <c r="H35" s="377">
        <f>119.4+3093.51</f>
        <v>3212.9100000000003</v>
      </c>
      <c r="I35" s="377">
        <f>19880.67-H46-H47-H48-H49+771.57</f>
        <v>4556.7999999999965</v>
      </c>
      <c r="J35" s="377">
        <f>429+Mar!O81-J53</f>
        <v>4729.9799999999996</v>
      </c>
      <c r="K35" s="377">
        <f>Apr!M81+Apr!O81</f>
        <v>4970.9800000000005</v>
      </c>
      <c r="L35" s="377">
        <f>May!O81+May!M81-2450</f>
        <v>-193.25</v>
      </c>
      <c r="M35" s="377">
        <f>Jun!O81-501.2</f>
        <v>-188.11000000000007</v>
      </c>
      <c r="N35" s="377">
        <f>July!O81-1553.02</f>
        <v>278.13000000000011</v>
      </c>
      <c r="O35" s="377">
        <f>Aug!M81+Aug!O81-469.42</f>
        <v>925.38999999999987</v>
      </c>
      <c r="Q35" s="377">
        <f>Oct!M81</f>
        <v>200.72</v>
      </c>
      <c r="R35" s="377">
        <f>Nov!M81</f>
        <v>154.35</v>
      </c>
    </row>
    <row r="36" spans="1:18">
      <c r="B36" s="377" t="s">
        <v>773</v>
      </c>
      <c r="C36" s="414"/>
    </row>
    <row r="37" spans="1:18">
      <c r="B37" s="377" t="s">
        <v>782</v>
      </c>
      <c r="C37" s="414"/>
    </row>
    <row r="38" spans="1:18">
      <c r="B38" s="377" t="s">
        <v>774</v>
      </c>
      <c r="C38" s="414"/>
    </row>
    <row r="39" spans="1:18">
      <c r="B39" s="377" t="s">
        <v>781</v>
      </c>
      <c r="C39" s="414"/>
    </row>
    <row r="40" spans="1:18">
      <c r="B40" s="377" t="s">
        <v>780</v>
      </c>
      <c r="C40" s="414"/>
    </row>
    <row r="41" spans="1:18">
      <c r="B41" s="377" t="s">
        <v>771</v>
      </c>
      <c r="C41" s="414"/>
    </row>
    <row r="42" spans="1:18">
      <c r="B42" s="377" t="s">
        <v>783</v>
      </c>
      <c r="C42" s="414"/>
    </row>
    <row r="43" spans="1:18">
      <c r="B43" s="377" t="s">
        <v>998</v>
      </c>
      <c r="C43" s="414"/>
    </row>
    <row r="44" spans="1:18">
      <c r="B44" s="377" t="s">
        <v>1277</v>
      </c>
      <c r="C44" s="414"/>
    </row>
    <row r="45" spans="1:18">
      <c r="A45" s="377" t="s">
        <v>795</v>
      </c>
      <c r="C45" s="414"/>
    </row>
    <row r="46" spans="1:18">
      <c r="B46" s="377" t="s">
        <v>796</v>
      </c>
      <c r="C46" s="414">
        <f>SUM(D46:O51)</f>
        <v>16609.349999999999</v>
      </c>
      <c r="H46" s="377">
        <v>4651.8599999999997</v>
      </c>
      <c r="I46" s="377">
        <v>-162.22999999999999</v>
      </c>
    </row>
    <row r="47" spans="1:18">
      <c r="B47" s="377" t="s">
        <v>883</v>
      </c>
      <c r="C47" s="414"/>
      <c r="H47" s="377">
        <v>6363.2</v>
      </c>
      <c r="I47" s="377">
        <v>-497.86</v>
      </c>
    </row>
    <row r="48" spans="1:18">
      <c r="B48" s="377" t="s">
        <v>884</v>
      </c>
      <c r="C48" s="414"/>
      <c r="H48" s="377">
        <v>1981.33</v>
      </c>
    </row>
    <row r="49" spans="1:17">
      <c r="B49" s="377" t="s">
        <v>885</v>
      </c>
      <c r="C49" s="414"/>
      <c r="H49" s="377">
        <v>3099.05</v>
      </c>
    </row>
    <row r="50" spans="1:17">
      <c r="B50" s="377" t="s">
        <v>886</v>
      </c>
      <c r="C50" s="414"/>
    </row>
    <row r="51" spans="1:17">
      <c r="B51" s="377" t="s">
        <v>997</v>
      </c>
      <c r="C51" s="414"/>
      <c r="K51" s="377">
        <v>1174</v>
      </c>
    </row>
    <row r="52" spans="1:17">
      <c r="A52" s="377" t="s">
        <v>1108</v>
      </c>
      <c r="C52" s="414">
        <f>SUM(J53:R58)</f>
        <v>15692.580000000002</v>
      </c>
    </row>
    <row r="53" spans="1:17">
      <c r="B53" s="377" t="s">
        <v>1139</v>
      </c>
      <c r="C53" s="414"/>
      <c r="J53" s="377">
        <v>9520.19</v>
      </c>
      <c r="N53" s="377">
        <v>1148.07</v>
      </c>
      <c r="O53" s="377">
        <v>252</v>
      </c>
    </row>
    <row r="54" spans="1:17">
      <c r="B54" s="377" t="s">
        <v>1106</v>
      </c>
      <c r="C54" s="414"/>
      <c r="K54" s="377">
        <v>3648.75</v>
      </c>
    </row>
    <row r="55" spans="1:17">
      <c r="B55" s="377" t="s">
        <v>1107</v>
      </c>
      <c r="C55" s="414"/>
      <c r="M55" s="377">
        <f>283.02+218.18</f>
        <v>501.2</v>
      </c>
    </row>
    <row r="56" spans="1:17">
      <c r="B56" s="377" t="s">
        <v>1109</v>
      </c>
      <c r="C56" s="414"/>
      <c r="N56" s="377">
        <v>404.95</v>
      </c>
      <c r="O56" s="377">
        <v>217.42</v>
      </c>
    </row>
    <row r="57" spans="1:17">
      <c r="C57" s="414"/>
    </row>
    <row r="58" spans="1:17">
      <c r="C58" s="414"/>
    </row>
    <row r="59" spans="1:17">
      <c r="A59" s="377" t="s">
        <v>788</v>
      </c>
      <c r="C59" s="414">
        <f>SUM(D59:R59)</f>
        <v>5762.6899999999987</v>
      </c>
      <c r="H59" s="377">
        <f>85+(77+20)+128+234+29</f>
        <v>573</v>
      </c>
      <c r="I59" s="377">
        <f>257+2000-78.96</f>
        <v>2178.04</v>
      </c>
      <c r="J59" s="377">
        <f>894.85+201+265</f>
        <v>1360.85</v>
      </c>
      <c r="K59" s="377">
        <f>364+131+30.4+198.5+266+313</f>
        <v>1302.9000000000001</v>
      </c>
      <c r="M59" s="377">
        <f>26.9+2+160</f>
        <v>188.9</v>
      </c>
      <c r="Q59" s="377">
        <f>42+87+30</f>
        <v>159</v>
      </c>
    </row>
    <row r="60" spans="1:17" ht="15" thickBot="1">
      <c r="C60" s="414"/>
    </row>
    <row r="61" spans="1:17" ht="15.75" thickBot="1">
      <c r="A61" s="386" t="s">
        <v>784</v>
      </c>
      <c r="C61" s="406">
        <f>SUM(H62:R83)</f>
        <v>49610</v>
      </c>
    </row>
    <row r="62" spans="1:17">
      <c r="B62" s="377" t="s">
        <v>896</v>
      </c>
      <c r="C62" s="414"/>
      <c r="H62" s="377">
        <f>300+460</f>
        <v>760</v>
      </c>
    </row>
    <row r="63" spans="1:17">
      <c r="B63" s="377" t="s">
        <v>787</v>
      </c>
      <c r="C63" s="414"/>
      <c r="H63" s="377">
        <f>400+400+400+2400</f>
        <v>3600</v>
      </c>
    </row>
    <row r="64" spans="1:17">
      <c r="B64" s="377" t="s">
        <v>786</v>
      </c>
      <c r="C64" s="414"/>
      <c r="H64" s="377">
        <f>800</f>
        <v>800</v>
      </c>
    </row>
    <row r="65" spans="1:13">
      <c r="B65" s="377" t="s">
        <v>812</v>
      </c>
      <c r="C65" s="414"/>
      <c r="H65" s="377">
        <v>2400</v>
      </c>
    </row>
    <row r="66" spans="1:13">
      <c r="B66" s="377" t="s">
        <v>897</v>
      </c>
      <c r="C66" s="414"/>
      <c r="H66" s="377">
        <v>2400</v>
      </c>
      <c r="I66" s="377" t="s">
        <v>881</v>
      </c>
    </row>
    <row r="67" spans="1:13">
      <c r="B67" s="377" t="s">
        <v>899</v>
      </c>
      <c r="C67" s="414"/>
      <c r="I67" s="377">
        <v>2400</v>
      </c>
    </row>
    <row r="68" spans="1:13">
      <c r="B68" s="377" t="s">
        <v>949</v>
      </c>
      <c r="C68" s="414"/>
      <c r="I68" s="377">
        <v>2400</v>
      </c>
    </row>
    <row r="69" spans="1:13">
      <c r="B69" s="377" t="s">
        <v>898</v>
      </c>
      <c r="C69" s="414"/>
      <c r="I69" s="377">
        <v>9600</v>
      </c>
    </row>
    <row r="70" spans="1:13">
      <c r="B70" s="377" t="s">
        <v>931</v>
      </c>
      <c r="C70" s="414"/>
      <c r="J70" s="377">
        <v>2400</v>
      </c>
    </row>
    <row r="71" spans="1:13">
      <c r="A71" s="377" t="s">
        <v>1077</v>
      </c>
      <c r="C71" s="414"/>
    </row>
    <row r="72" spans="1:13">
      <c r="B72" s="377" t="s">
        <v>939</v>
      </c>
      <c r="C72" s="414"/>
      <c r="J72" s="377">
        <f>2400+1200</f>
        <v>3600</v>
      </c>
    </row>
    <row r="73" spans="1:13">
      <c r="B73" s="377" t="s">
        <v>978</v>
      </c>
      <c r="C73" s="414"/>
      <c r="J73" s="377">
        <v>2400</v>
      </c>
    </row>
    <row r="74" spans="1:13">
      <c r="B74" s="377" t="s">
        <v>979</v>
      </c>
      <c r="C74" s="414"/>
      <c r="K74" s="377">
        <f>2400+2000</f>
        <v>4400</v>
      </c>
    </row>
    <row r="75" spans="1:13">
      <c r="B75" s="377" t="s">
        <v>984</v>
      </c>
      <c r="C75" s="414"/>
      <c r="K75" s="377">
        <f>3600+4000</f>
        <v>7600</v>
      </c>
    </row>
    <row r="76" spans="1:13">
      <c r="C76" s="414"/>
    </row>
    <row r="77" spans="1:13">
      <c r="B77" s="377" t="s">
        <v>996</v>
      </c>
      <c r="C77" s="414"/>
      <c r="K77" s="377">
        <v>1500</v>
      </c>
    </row>
    <row r="78" spans="1:13">
      <c r="B78" s="377" t="s">
        <v>1027</v>
      </c>
      <c r="C78" s="414"/>
      <c r="K78" s="377">
        <v>350</v>
      </c>
    </row>
    <row r="79" spans="1:13">
      <c r="B79" s="377" t="s">
        <v>1078</v>
      </c>
      <c r="C79" s="414"/>
      <c r="M79" s="377">
        <f>1500+500</f>
        <v>2000</v>
      </c>
    </row>
    <row r="80" spans="1:13">
      <c r="B80" s="377" t="s">
        <v>1079</v>
      </c>
      <c r="C80" s="414"/>
    </row>
    <row r="81" spans="1:19">
      <c r="B81" s="377" t="s">
        <v>1126</v>
      </c>
      <c r="C81" s="414"/>
      <c r="N81" s="377">
        <v>400</v>
      </c>
    </row>
    <row r="82" spans="1:19">
      <c r="B82" s="377" t="s">
        <v>1192</v>
      </c>
      <c r="C82" s="414"/>
      <c r="Q82" s="377">
        <v>100</v>
      </c>
    </row>
    <row r="83" spans="1:19">
      <c r="B83" s="377" t="s">
        <v>1215</v>
      </c>
      <c r="C83" s="414"/>
      <c r="Q83" s="377">
        <v>500</v>
      </c>
    </row>
    <row r="84" spans="1:19">
      <c r="C84" s="414"/>
    </row>
    <row r="85" spans="1:19">
      <c r="C85" s="414">
        <f>SUM(I86:S86)</f>
        <v>6800</v>
      </c>
    </row>
    <row r="86" spans="1:19">
      <c r="A86" s="377" t="s">
        <v>887</v>
      </c>
      <c r="C86" s="414"/>
      <c r="I86" s="377">
        <v>2000</v>
      </c>
      <c r="J86" s="377">
        <v>2300</v>
      </c>
      <c r="K86" s="377">
        <v>500</v>
      </c>
      <c r="S86" s="377">
        <v>2000</v>
      </c>
    </row>
    <row r="87" spans="1:19">
      <c r="B87" s="377" t="s">
        <v>954</v>
      </c>
      <c r="C87" s="414"/>
    </row>
    <row r="88" spans="1:19">
      <c r="C88" s="425"/>
    </row>
    <row r="89" spans="1:19">
      <c r="C89" s="425"/>
    </row>
    <row r="90" spans="1:19">
      <c r="C90" s="425"/>
    </row>
    <row r="91" spans="1:19">
      <c r="C91" s="425"/>
    </row>
    <row r="92" spans="1:19">
      <c r="A92" s="52" t="s">
        <v>867</v>
      </c>
      <c r="B92" s="52"/>
      <c r="C92" s="425"/>
      <c r="D92" s="377" t="s">
        <v>894</v>
      </c>
      <c r="F92" s="377" t="s">
        <v>959</v>
      </c>
      <c r="G92" s="377" t="s">
        <v>403</v>
      </c>
      <c r="H92" s="377" t="s">
        <v>960</v>
      </c>
      <c r="I92" s="377" t="s">
        <v>241</v>
      </c>
      <c r="J92" s="377" t="s">
        <v>893</v>
      </c>
    </row>
    <row r="93" spans="1:19">
      <c r="A93" s="52" t="s">
        <v>868</v>
      </c>
      <c r="B93" s="52"/>
      <c r="C93" s="425"/>
      <c r="D93" s="377" t="s">
        <v>955</v>
      </c>
      <c r="F93" s="379">
        <v>41991</v>
      </c>
      <c r="G93" s="428">
        <v>1071.1199999999999</v>
      </c>
      <c r="H93" s="428">
        <v>1071.1199999999999</v>
      </c>
      <c r="I93" s="428">
        <v>0</v>
      </c>
      <c r="J93" s="379">
        <v>42194</v>
      </c>
    </row>
    <row r="94" spans="1:19">
      <c r="A94" s="52" t="s">
        <v>869</v>
      </c>
      <c r="B94" s="52"/>
      <c r="C94" s="425"/>
      <c r="D94" s="377" t="s">
        <v>955</v>
      </c>
      <c r="F94" s="379">
        <v>42002</v>
      </c>
      <c r="G94" s="428">
        <v>299.72000000000003</v>
      </c>
      <c r="H94" s="428">
        <v>299.72000000000003</v>
      </c>
      <c r="I94" s="428">
        <f>G94-H94</f>
        <v>0</v>
      </c>
      <c r="J94" s="379">
        <v>42194</v>
      </c>
    </row>
    <row r="95" spans="1:19">
      <c r="A95" s="52" t="s">
        <v>961</v>
      </c>
      <c r="B95" s="52"/>
      <c r="C95" s="425"/>
      <c r="D95" s="377" t="s">
        <v>956</v>
      </c>
      <c r="F95" s="379">
        <v>42010</v>
      </c>
      <c r="G95" s="428">
        <v>79.48</v>
      </c>
      <c r="H95" s="428">
        <v>79.48</v>
      </c>
      <c r="I95" s="428">
        <f t="shared" ref="I95:I111" si="1">G95-H95</f>
        <v>0</v>
      </c>
      <c r="J95" s="379">
        <v>42196</v>
      </c>
    </row>
    <row r="96" spans="1:19">
      <c r="A96" s="52" t="s">
        <v>874</v>
      </c>
      <c r="B96" s="52" t="s">
        <v>241</v>
      </c>
      <c r="C96" s="425"/>
      <c r="D96" s="377" t="s">
        <v>955</v>
      </c>
      <c r="F96" s="379">
        <v>42010</v>
      </c>
      <c r="G96" s="428">
        <v>1003.39</v>
      </c>
      <c r="H96" s="428">
        <v>924.91</v>
      </c>
      <c r="I96" s="430">
        <f>G96-H96</f>
        <v>78.480000000000018</v>
      </c>
      <c r="J96" s="431">
        <v>42196</v>
      </c>
      <c r="K96" s="430">
        <f>SUM(I93:I96)</f>
        <v>78.480000000000018</v>
      </c>
      <c r="L96" s="432"/>
    </row>
    <row r="97" spans="1:12">
      <c r="A97" s="120">
        <v>42017</v>
      </c>
      <c r="B97" s="52">
        <v>3093.51</v>
      </c>
      <c r="C97" s="425"/>
      <c r="D97" s="377" t="s">
        <v>955</v>
      </c>
      <c r="F97" s="379">
        <v>42021</v>
      </c>
      <c r="G97" s="428">
        <v>451.43</v>
      </c>
      <c r="H97" s="428">
        <v>0</v>
      </c>
      <c r="I97" s="428">
        <f t="shared" si="1"/>
        <v>451.43</v>
      </c>
      <c r="J97" s="379">
        <v>42225</v>
      </c>
    </row>
    <row r="98" spans="1:12">
      <c r="A98" s="52" t="s">
        <v>918</v>
      </c>
      <c r="B98" s="52">
        <v>-1500</v>
      </c>
      <c r="C98" s="425"/>
      <c r="D98" s="377" t="s">
        <v>955</v>
      </c>
      <c r="F98" s="379">
        <v>42022</v>
      </c>
      <c r="G98" s="428">
        <v>445.37</v>
      </c>
      <c r="H98" s="428">
        <v>0</v>
      </c>
      <c r="I98" s="428">
        <f t="shared" si="1"/>
        <v>445.37</v>
      </c>
      <c r="J98" s="379">
        <v>42225</v>
      </c>
    </row>
    <row r="99" spans="1:12" ht="15" thickBot="1">
      <c r="A99" s="52" t="s">
        <v>919</v>
      </c>
      <c r="B99" s="70">
        <f>SUM(B97:B98)</f>
        <v>1593.5100000000002</v>
      </c>
      <c r="C99" s="425"/>
      <c r="D99" s="377" t="s">
        <v>955</v>
      </c>
      <c r="F99" s="379">
        <v>42042</v>
      </c>
      <c r="G99" s="428">
        <v>813.52</v>
      </c>
      <c r="H99" s="428">
        <v>0</v>
      </c>
      <c r="I99" s="430">
        <f t="shared" si="1"/>
        <v>813.52</v>
      </c>
      <c r="J99" s="431">
        <v>42228</v>
      </c>
      <c r="K99" s="430">
        <f>SUM(I97:I99)</f>
        <v>1710.32</v>
      </c>
      <c r="L99" s="432"/>
    </row>
    <row r="100" spans="1:12" ht="15" thickTop="1">
      <c r="A100" s="52"/>
      <c r="B100" s="52"/>
      <c r="C100" s="425"/>
      <c r="D100" s="377" t="s">
        <v>955</v>
      </c>
      <c r="F100" s="379">
        <v>42077</v>
      </c>
      <c r="G100" s="428">
        <v>359.87</v>
      </c>
      <c r="H100" s="428">
        <v>0</v>
      </c>
      <c r="I100" s="428">
        <f t="shared" si="1"/>
        <v>359.87</v>
      </c>
      <c r="J100" s="379">
        <v>42286</v>
      </c>
    </row>
    <row r="101" spans="1:12">
      <c r="A101" s="120">
        <v>42045</v>
      </c>
      <c r="B101" s="52">
        <v>19880.669999999998</v>
      </c>
      <c r="C101" s="425"/>
      <c r="D101" s="377" t="s">
        <v>955</v>
      </c>
      <c r="F101" s="379">
        <v>42086</v>
      </c>
      <c r="G101" s="428">
        <v>523.63</v>
      </c>
      <c r="H101" s="428">
        <v>0</v>
      </c>
      <c r="I101" s="428">
        <f t="shared" si="1"/>
        <v>523.63</v>
      </c>
      <c r="J101" s="379">
        <v>42286</v>
      </c>
    </row>
    <row r="102" spans="1:12">
      <c r="A102" s="120"/>
      <c r="B102" s="52">
        <v>-162.22999999999999</v>
      </c>
      <c r="C102" s="425"/>
      <c r="D102" s="377" t="s">
        <v>955</v>
      </c>
      <c r="F102" s="379">
        <v>42091</v>
      </c>
      <c r="G102" s="428">
        <v>334.54</v>
      </c>
      <c r="H102" s="428">
        <v>0</v>
      </c>
      <c r="I102" s="428">
        <f t="shared" si="1"/>
        <v>334.54</v>
      </c>
      <c r="J102" s="379">
        <v>42286</v>
      </c>
    </row>
    <row r="103" spans="1:12">
      <c r="A103" s="120"/>
      <c r="B103" s="52">
        <v>-497.86</v>
      </c>
      <c r="C103" s="425"/>
      <c r="D103" s="377" t="s">
        <v>955</v>
      </c>
      <c r="F103" s="379">
        <v>42091</v>
      </c>
      <c r="G103" s="428">
        <v>423.9</v>
      </c>
      <c r="H103" s="428">
        <v>0</v>
      </c>
      <c r="I103" s="428">
        <f t="shared" si="1"/>
        <v>423.9</v>
      </c>
      <c r="J103" s="379">
        <v>42286</v>
      </c>
    </row>
    <row r="104" spans="1:12">
      <c r="A104" s="52" t="s">
        <v>920</v>
      </c>
      <c r="B104" s="52">
        <v>-892.68</v>
      </c>
      <c r="C104" s="425"/>
      <c r="D104" s="377" t="s">
        <v>955</v>
      </c>
      <c r="F104" s="379">
        <v>42095</v>
      </c>
      <c r="G104" s="377">
        <v>303.5</v>
      </c>
      <c r="H104" s="428">
        <v>0</v>
      </c>
      <c r="I104" s="428">
        <f t="shared" si="1"/>
        <v>303.5</v>
      </c>
      <c r="J104" s="379">
        <v>42286</v>
      </c>
    </row>
    <row r="105" spans="1:12" ht="15" thickBot="1">
      <c r="A105" s="52" t="s">
        <v>942</v>
      </c>
      <c r="B105" s="70">
        <f>SUM(B99:B104)</f>
        <v>19921.41</v>
      </c>
      <c r="C105" s="425"/>
      <c r="D105" s="377" t="s">
        <v>955</v>
      </c>
      <c r="F105" s="379">
        <v>42099</v>
      </c>
      <c r="G105" s="377">
        <v>764.6</v>
      </c>
      <c r="H105" s="428">
        <v>0</v>
      </c>
      <c r="I105" s="430">
        <f t="shared" si="1"/>
        <v>764.6</v>
      </c>
      <c r="J105" s="431">
        <v>42286</v>
      </c>
      <c r="K105" s="430">
        <f>SUM(I100:I105)</f>
        <v>2710.04</v>
      </c>
      <c r="L105" s="432"/>
    </row>
    <row r="106" spans="1:12" ht="15" thickTop="1">
      <c r="A106" s="52"/>
      <c r="B106" s="52"/>
      <c r="I106" s="428">
        <f>G106-H106</f>
        <v>0</v>
      </c>
    </row>
    <row r="107" spans="1:12">
      <c r="A107" s="120">
        <v>42103</v>
      </c>
      <c r="B107" s="52">
        <v>-199.21</v>
      </c>
      <c r="I107" s="428">
        <f t="shared" si="1"/>
        <v>0</v>
      </c>
    </row>
    <row r="108" spans="1:12">
      <c r="A108" s="120">
        <v>42106</v>
      </c>
      <c r="B108" s="52">
        <v>3943.16</v>
      </c>
      <c r="D108" s="377" t="s">
        <v>957</v>
      </c>
      <c r="F108" s="379">
        <v>42023</v>
      </c>
      <c r="G108" s="428">
        <v>4651.8599999999997</v>
      </c>
      <c r="H108" s="428">
        <v>0</v>
      </c>
      <c r="I108" s="428">
        <f t="shared" si="1"/>
        <v>4651.8599999999997</v>
      </c>
      <c r="J108" s="379">
        <v>42775</v>
      </c>
    </row>
    <row r="109" spans="1:12">
      <c r="A109" s="120">
        <v>42133</v>
      </c>
      <c r="B109" s="52">
        <v>-1247.8499999999999</v>
      </c>
      <c r="D109" s="377" t="s">
        <v>957</v>
      </c>
      <c r="F109" s="379">
        <v>42035</v>
      </c>
      <c r="G109" s="428">
        <v>3704.16</v>
      </c>
      <c r="H109" s="428">
        <v>0</v>
      </c>
      <c r="I109" s="428">
        <f t="shared" si="1"/>
        <v>3704.16</v>
      </c>
      <c r="J109" s="379">
        <v>42803</v>
      </c>
    </row>
    <row r="110" spans="1:12">
      <c r="A110" s="379">
        <v>42137</v>
      </c>
      <c r="B110" s="377">
        <v>-242.59</v>
      </c>
      <c r="D110" s="377" t="s">
        <v>957</v>
      </c>
      <c r="F110" s="379">
        <v>42035</v>
      </c>
      <c r="G110" s="428">
        <v>8344.5300000000007</v>
      </c>
      <c r="H110" s="428">
        <v>0</v>
      </c>
      <c r="I110" s="428">
        <f t="shared" si="1"/>
        <v>8344.5300000000007</v>
      </c>
      <c r="J110" s="379">
        <v>42803</v>
      </c>
    </row>
    <row r="111" spans="1:12">
      <c r="A111" s="120">
        <v>42164</v>
      </c>
      <c r="B111" s="377">
        <v>-265.39999999999998</v>
      </c>
      <c r="D111" s="377" t="s">
        <v>958</v>
      </c>
      <c r="F111" s="379">
        <v>42038</v>
      </c>
      <c r="G111" s="428">
        <v>103.98</v>
      </c>
      <c r="H111" s="428">
        <v>0</v>
      </c>
      <c r="I111" s="428">
        <f t="shared" si="1"/>
        <v>103.98</v>
      </c>
      <c r="J111" s="379">
        <v>42803</v>
      </c>
    </row>
    <row r="112" spans="1:12">
      <c r="A112" s="379">
        <v>42168</v>
      </c>
      <c r="B112" s="52">
        <f>-617.68-0.59+430.16</f>
        <v>-188.10999999999996</v>
      </c>
      <c r="F112" s="379"/>
    </row>
    <row r="113" spans="1:7">
      <c r="A113" s="379">
        <v>42194</v>
      </c>
      <c r="B113" s="377">
        <v>-300</v>
      </c>
      <c r="F113" s="379"/>
    </row>
    <row r="114" spans="1:7">
      <c r="A114" s="379">
        <v>42198</v>
      </c>
      <c r="B114" s="377">
        <v>278.13</v>
      </c>
      <c r="G114" s="428"/>
    </row>
    <row r="115" spans="1:7">
      <c r="A115" s="379">
        <v>42225</v>
      </c>
      <c r="B115" s="377">
        <v>-1700</v>
      </c>
    </row>
    <row r="116" spans="1:7">
      <c r="A116" s="120">
        <v>42229</v>
      </c>
      <c r="B116" s="52">
        <v>326.3</v>
      </c>
    </row>
    <row r="117" spans="1:7">
      <c r="A117" s="120">
        <v>42256</v>
      </c>
      <c r="B117" s="52">
        <v>-1000</v>
      </c>
    </row>
    <row r="118" spans="1:7">
      <c r="A118" s="120">
        <v>42286</v>
      </c>
      <c r="B118" s="52">
        <v>-1500</v>
      </c>
    </row>
    <row r="119" spans="1:7" ht="15" thickBot="1">
      <c r="A119" s="120" t="s">
        <v>1195</v>
      </c>
      <c r="B119" s="70">
        <f>SUM(B105:B118)</f>
        <v>17825.84</v>
      </c>
    </row>
    <row r="120" spans="1:7" ht="15" thickTop="1">
      <c r="A120" s="120"/>
      <c r="B120" s="56"/>
    </row>
    <row r="121" spans="1:7">
      <c r="A121" s="120">
        <v>42317</v>
      </c>
      <c r="B121" s="52">
        <v>-1500</v>
      </c>
      <c r="C121" s="377">
        <f>B119+B121</f>
        <v>16325.84</v>
      </c>
    </row>
    <row r="122" spans="1:7">
      <c r="A122" s="120">
        <v>42347</v>
      </c>
      <c r="B122" s="52">
        <v>-1500</v>
      </c>
      <c r="C122" s="377">
        <f>C121+B122</f>
        <v>14825.84</v>
      </c>
      <c r="D122" s="377" t="s">
        <v>1289</v>
      </c>
    </row>
    <row r="123" spans="1:7">
      <c r="A123" s="120">
        <v>42378</v>
      </c>
      <c r="B123" s="52">
        <v>-1000</v>
      </c>
      <c r="C123" s="377">
        <f t="shared" ref="C123:C135" si="2">C122+B123</f>
        <v>13825.84</v>
      </c>
      <c r="D123" s="461" t="s">
        <v>1290</v>
      </c>
    </row>
    <row r="124" spans="1:7">
      <c r="A124" s="379">
        <v>42409</v>
      </c>
      <c r="B124" s="52">
        <v>-1000</v>
      </c>
      <c r="C124" s="377">
        <f t="shared" si="2"/>
        <v>12825.84</v>
      </c>
    </row>
    <row r="125" spans="1:7">
      <c r="A125" s="120">
        <v>42438</v>
      </c>
      <c r="B125" s="52">
        <v>-1000</v>
      </c>
      <c r="C125" s="377">
        <f t="shared" si="2"/>
        <v>11825.84</v>
      </c>
    </row>
    <row r="126" spans="1:7">
      <c r="A126" s="120">
        <v>42469</v>
      </c>
      <c r="B126" s="52">
        <v>-1000</v>
      </c>
      <c r="C126" s="377">
        <f t="shared" si="2"/>
        <v>10825.84</v>
      </c>
    </row>
    <row r="127" spans="1:7">
      <c r="A127" s="120">
        <v>42499</v>
      </c>
      <c r="B127" s="52">
        <v>-1000</v>
      </c>
      <c r="C127" s="377">
        <f t="shared" si="2"/>
        <v>9825.84</v>
      </c>
    </row>
    <row r="128" spans="1:7">
      <c r="A128" s="120">
        <v>42530</v>
      </c>
      <c r="B128" s="52">
        <v>-1100</v>
      </c>
      <c r="C128" s="377">
        <f t="shared" si="2"/>
        <v>8725.84</v>
      </c>
    </row>
    <row r="129" spans="1:5">
      <c r="A129" s="120">
        <v>42560</v>
      </c>
      <c r="B129" s="52">
        <v>-1100</v>
      </c>
      <c r="C129" s="377">
        <f t="shared" si="2"/>
        <v>7625.84</v>
      </c>
    </row>
    <row r="130" spans="1:5">
      <c r="A130" s="120">
        <v>42591</v>
      </c>
      <c r="B130" s="52">
        <v>-1100</v>
      </c>
      <c r="C130" s="377">
        <f t="shared" si="2"/>
        <v>6525.84</v>
      </c>
    </row>
    <row r="131" spans="1:5">
      <c r="A131" s="120">
        <v>42622</v>
      </c>
      <c r="B131" s="52">
        <v>-1100</v>
      </c>
      <c r="C131" s="377">
        <f t="shared" si="2"/>
        <v>5425.84</v>
      </c>
    </row>
    <row r="132" spans="1:5">
      <c r="A132" s="120">
        <v>42652</v>
      </c>
      <c r="B132" s="52">
        <v>-1100</v>
      </c>
      <c r="C132" s="377">
        <f t="shared" si="2"/>
        <v>4325.84</v>
      </c>
    </row>
    <row r="133" spans="1:5">
      <c r="A133" s="120">
        <v>42683</v>
      </c>
      <c r="B133" s="52">
        <v>-1100</v>
      </c>
      <c r="C133" s="377">
        <f t="shared" si="2"/>
        <v>3225.84</v>
      </c>
    </row>
    <row r="134" spans="1:5">
      <c r="A134" s="120">
        <v>42713</v>
      </c>
      <c r="B134" s="52">
        <v>-1100</v>
      </c>
      <c r="C134" s="377">
        <f t="shared" si="2"/>
        <v>2125.84</v>
      </c>
    </row>
    <row r="135" spans="1:5">
      <c r="A135" s="120">
        <v>42744</v>
      </c>
      <c r="B135" s="52">
        <v>-1100</v>
      </c>
      <c r="C135" s="377">
        <f t="shared" si="2"/>
        <v>1025.8400000000001</v>
      </c>
    </row>
    <row r="136" spans="1:5">
      <c r="A136" s="120">
        <v>42775</v>
      </c>
      <c r="B136" s="52">
        <v>-1100</v>
      </c>
      <c r="C136" s="377">
        <f>C135+B136</f>
        <v>-74.159999999999854</v>
      </c>
    </row>
    <row r="137" spans="1:5">
      <c r="A137" s="120">
        <v>42803</v>
      </c>
      <c r="B137" s="52"/>
    </row>
    <row r="138" spans="1:5">
      <c r="B138" s="52"/>
    </row>
    <row r="139" spans="1:5" ht="15" thickBot="1">
      <c r="A139" s="120" t="s">
        <v>31</v>
      </c>
      <c r="B139" s="70">
        <f>SUM(B119:B138)</f>
        <v>-74.159999999999854</v>
      </c>
    </row>
    <row r="140" spans="1:5" ht="15" thickTop="1">
      <c r="A140" s="120"/>
      <c r="B140" s="52"/>
    </row>
    <row r="141" spans="1:5">
      <c r="A141" s="120"/>
      <c r="B141" s="52"/>
    </row>
    <row r="142" spans="1:5">
      <c r="A142" s="120" t="s">
        <v>990</v>
      </c>
      <c r="B142" s="52"/>
    </row>
    <row r="143" spans="1:5">
      <c r="A143" s="120">
        <v>42085</v>
      </c>
      <c r="B143" s="52" t="s">
        <v>994</v>
      </c>
      <c r="C143" s="377">
        <v>9520.19</v>
      </c>
      <c r="D143" s="377" t="s">
        <v>1025</v>
      </c>
      <c r="E143" s="379">
        <v>42851</v>
      </c>
    </row>
    <row r="144" spans="1:5">
      <c r="A144" s="120">
        <v>42107</v>
      </c>
      <c r="B144" s="52" t="s">
        <v>993</v>
      </c>
      <c r="C144" s="377">
        <v>1174</v>
      </c>
      <c r="D144" s="377" t="s">
        <v>992</v>
      </c>
      <c r="E144" s="379">
        <v>42669</v>
      </c>
    </row>
    <row r="145" spans="1:5">
      <c r="A145" s="120">
        <v>42112</v>
      </c>
      <c r="B145" s="52" t="s">
        <v>1026</v>
      </c>
      <c r="C145" s="377">
        <v>3648.75</v>
      </c>
      <c r="D145" s="377" t="s">
        <v>1025</v>
      </c>
      <c r="E145" s="379">
        <v>42881</v>
      </c>
    </row>
    <row r="146" spans="1:5">
      <c r="A146" s="120">
        <v>42109</v>
      </c>
      <c r="B146" s="52" t="s">
        <v>1029</v>
      </c>
      <c r="C146" s="377">
        <v>150.49</v>
      </c>
    </row>
    <row r="147" spans="1:5">
      <c r="A147" s="120">
        <v>42118</v>
      </c>
      <c r="B147" s="52" t="s">
        <v>1030</v>
      </c>
      <c r="C147" s="377">
        <v>-120</v>
      </c>
    </row>
    <row r="148" spans="1:5">
      <c r="A148" s="120">
        <v>42129</v>
      </c>
      <c r="B148" s="52" t="s">
        <v>1053</v>
      </c>
      <c r="C148" s="377">
        <v>46.41</v>
      </c>
    </row>
    <row r="149" spans="1:5">
      <c r="A149" s="120">
        <v>42150</v>
      </c>
      <c r="B149" s="52" t="s">
        <v>1030</v>
      </c>
      <c r="C149" s="377">
        <v>-144</v>
      </c>
    </row>
    <row r="150" spans="1:5">
      <c r="A150" s="120">
        <v>42181</v>
      </c>
      <c r="B150" s="52" t="s">
        <v>1030</v>
      </c>
      <c r="C150" s="377">
        <v>-143</v>
      </c>
    </row>
    <row r="151" spans="1:5">
      <c r="A151" s="120">
        <v>42179</v>
      </c>
      <c r="B151" s="52" t="s">
        <v>1080</v>
      </c>
      <c r="C151" s="377">
        <v>283.02</v>
      </c>
    </row>
    <row r="152" spans="1:5">
      <c r="A152" s="120">
        <v>42183</v>
      </c>
      <c r="B152" s="52" t="s">
        <v>1081</v>
      </c>
      <c r="C152" s="377">
        <v>218.18</v>
      </c>
    </row>
    <row r="153" spans="1:5">
      <c r="A153" s="120">
        <v>42211</v>
      </c>
      <c r="B153" s="52" t="s">
        <v>1030</v>
      </c>
      <c r="C153" s="377">
        <v>-147</v>
      </c>
    </row>
    <row r="154" spans="1:5">
      <c r="A154" s="120">
        <v>42190</v>
      </c>
      <c r="B154" s="52" t="s">
        <v>1125</v>
      </c>
      <c r="C154" s="377">
        <v>404.95</v>
      </c>
    </row>
    <row r="155" spans="1:5">
      <c r="A155" s="120">
        <v>42200</v>
      </c>
      <c r="B155" s="52" t="s">
        <v>1124</v>
      </c>
      <c r="C155" s="377">
        <v>1148.07</v>
      </c>
      <c r="D155" s="377" t="s">
        <v>991</v>
      </c>
      <c r="E155" s="379">
        <v>42395</v>
      </c>
    </row>
    <row r="156" spans="1:5">
      <c r="A156" s="120">
        <v>42206</v>
      </c>
      <c r="B156" s="52" t="s">
        <v>1116</v>
      </c>
      <c r="C156" s="377">
        <v>1509.63</v>
      </c>
      <c r="D156" s="377" t="s">
        <v>991</v>
      </c>
      <c r="E156" s="379">
        <v>42395</v>
      </c>
    </row>
    <row r="157" spans="1:5">
      <c r="A157" s="120">
        <v>42242</v>
      </c>
      <c r="B157" s="52"/>
      <c r="C157" s="377">
        <v>-200</v>
      </c>
    </row>
    <row r="158" spans="1:5">
      <c r="A158" s="120">
        <v>42222</v>
      </c>
      <c r="B158" s="52" t="s">
        <v>1161</v>
      </c>
      <c r="C158" s="377">
        <v>252</v>
      </c>
    </row>
    <row r="159" spans="1:5">
      <c r="A159" s="120">
        <v>42227</v>
      </c>
      <c r="B159" s="52" t="s">
        <v>1125</v>
      </c>
      <c r="C159" s="377">
        <v>217.42</v>
      </c>
    </row>
    <row r="160" spans="1:5">
      <c r="A160" s="120">
        <v>42273</v>
      </c>
      <c r="B160" s="52" t="s">
        <v>1030</v>
      </c>
      <c r="C160" s="377">
        <v>-600</v>
      </c>
    </row>
    <row r="161" spans="1:5">
      <c r="A161" s="120">
        <v>42303</v>
      </c>
      <c r="B161" s="52" t="s">
        <v>1030</v>
      </c>
      <c r="C161" s="377">
        <v>-500</v>
      </c>
    </row>
    <row r="162" spans="1:5" ht="15" thickBot="1">
      <c r="A162" s="120"/>
      <c r="B162" s="52" t="s">
        <v>1196</v>
      </c>
      <c r="C162" s="448">
        <f>SUM(C143:C161)</f>
        <v>16719.11</v>
      </c>
    </row>
    <row r="163" spans="1:5" ht="15" thickTop="1">
      <c r="A163" s="120">
        <v>42334</v>
      </c>
      <c r="B163" s="52" t="s">
        <v>1030</v>
      </c>
      <c r="C163" s="377">
        <v>-500</v>
      </c>
      <c r="D163" s="377">
        <f>C162+C163</f>
        <v>16219.11</v>
      </c>
      <c r="E163" s="377" t="s">
        <v>1272</v>
      </c>
    </row>
    <row r="164" spans="1:5">
      <c r="A164" s="120">
        <v>42364</v>
      </c>
      <c r="B164" s="52" t="s">
        <v>1030</v>
      </c>
      <c r="C164" s="377">
        <v>-1000</v>
      </c>
      <c r="D164" s="377">
        <f>D163+C164</f>
        <v>15219.11</v>
      </c>
      <c r="E164" s="461" t="s">
        <v>1287</v>
      </c>
    </row>
    <row r="165" spans="1:5">
      <c r="A165" s="120">
        <v>42395</v>
      </c>
      <c r="B165" s="52" t="s">
        <v>1030</v>
      </c>
      <c r="C165" s="377">
        <v>-1000</v>
      </c>
      <c r="D165" s="377">
        <f t="shared" ref="D165:D180" si="3">D164+C165</f>
        <v>14219.11</v>
      </c>
      <c r="E165" s="461" t="s">
        <v>1288</v>
      </c>
    </row>
    <row r="166" spans="1:5">
      <c r="A166" s="120">
        <v>42426</v>
      </c>
      <c r="B166" s="52"/>
      <c r="C166" s="377">
        <v>-1000</v>
      </c>
      <c r="D166" s="377">
        <f t="shared" si="3"/>
        <v>13219.11</v>
      </c>
    </row>
    <row r="167" spans="1:5">
      <c r="A167" s="120">
        <v>42455</v>
      </c>
      <c r="B167" s="52"/>
      <c r="C167" s="377">
        <v>-1000</v>
      </c>
      <c r="D167" s="377">
        <f t="shared" si="3"/>
        <v>12219.11</v>
      </c>
    </row>
    <row r="168" spans="1:5">
      <c r="A168" s="120">
        <v>42486</v>
      </c>
      <c r="B168" s="52"/>
      <c r="C168" s="377">
        <v>-1000</v>
      </c>
      <c r="D168" s="377">
        <f t="shared" si="3"/>
        <v>11219.11</v>
      </c>
    </row>
    <row r="169" spans="1:5">
      <c r="A169" s="120">
        <v>42516</v>
      </c>
      <c r="B169" s="52"/>
      <c r="C169" s="377">
        <v>-1000</v>
      </c>
      <c r="D169" s="377">
        <f t="shared" si="3"/>
        <v>10219.11</v>
      </c>
    </row>
    <row r="170" spans="1:5">
      <c r="A170" s="120">
        <v>42547</v>
      </c>
      <c r="B170" s="52"/>
      <c r="C170" s="377">
        <v>-1000</v>
      </c>
      <c r="D170" s="377">
        <f t="shared" si="3"/>
        <v>9219.11</v>
      </c>
    </row>
    <row r="171" spans="1:5">
      <c r="A171" s="120">
        <v>42577</v>
      </c>
      <c r="B171" s="52"/>
      <c r="C171" s="377">
        <v>-1000</v>
      </c>
      <c r="D171" s="377">
        <f t="shared" si="3"/>
        <v>8219.11</v>
      </c>
    </row>
    <row r="172" spans="1:5">
      <c r="A172" s="120">
        <v>42608</v>
      </c>
      <c r="B172" s="52"/>
      <c r="C172" s="377">
        <v>-1000</v>
      </c>
      <c r="D172" s="377">
        <f t="shared" si="3"/>
        <v>7219.1100000000006</v>
      </c>
    </row>
    <row r="173" spans="1:5">
      <c r="A173" s="120">
        <v>42639</v>
      </c>
      <c r="B173" s="52"/>
      <c r="C173" s="377">
        <v>-1000</v>
      </c>
      <c r="D173" s="377">
        <f t="shared" si="3"/>
        <v>6219.1100000000006</v>
      </c>
    </row>
    <row r="174" spans="1:5">
      <c r="A174" s="120">
        <v>42669</v>
      </c>
      <c r="B174" s="52"/>
      <c r="C174" s="377">
        <v>-900</v>
      </c>
      <c r="D174" s="377">
        <f>D173+C174</f>
        <v>5319.1100000000006</v>
      </c>
    </row>
    <row r="175" spans="1:5">
      <c r="A175" s="120">
        <v>42700</v>
      </c>
      <c r="B175" s="52"/>
      <c r="C175" s="377">
        <v>-900</v>
      </c>
      <c r="D175" s="377">
        <f t="shared" si="3"/>
        <v>4419.1100000000006</v>
      </c>
    </row>
    <row r="176" spans="1:5">
      <c r="A176" s="120">
        <v>42730</v>
      </c>
      <c r="B176" s="52"/>
      <c r="C176" s="377">
        <v>-900</v>
      </c>
      <c r="D176" s="377">
        <f t="shared" si="3"/>
        <v>3519.1100000000006</v>
      </c>
    </row>
    <row r="177" spans="1:4">
      <c r="A177" s="120">
        <v>42761</v>
      </c>
      <c r="B177" s="52"/>
      <c r="C177" s="377">
        <v>-900</v>
      </c>
      <c r="D177" s="377">
        <f t="shared" si="3"/>
        <v>2619.1100000000006</v>
      </c>
    </row>
    <row r="178" spans="1:4">
      <c r="A178" s="120">
        <v>42792</v>
      </c>
      <c r="B178" s="52"/>
      <c r="C178" s="377">
        <v>-900</v>
      </c>
      <c r="D178" s="377">
        <f t="shared" si="3"/>
        <v>1719.1100000000006</v>
      </c>
    </row>
    <row r="179" spans="1:4">
      <c r="A179" s="120">
        <v>42820</v>
      </c>
      <c r="B179" s="52"/>
      <c r="C179" s="377">
        <v>-900</v>
      </c>
      <c r="D179" s="377">
        <f t="shared" si="3"/>
        <v>819.11000000000058</v>
      </c>
    </row>
    <row r="180" spans="1:4">
      <c r="A180" s="120">
        <v>42851</v>
      </c>
      <c r="B180" s="52"/>
      <c r="C180" s="377">
        <v>-900</v>
      </c>
      <c r="D180" s="377">
        <f t="shared" si="3"/>
        <v>-80.889999999999418</v>
      </c>
    </row>
    <row r="181" spans="1:4">
      <c r="A181" s="120">
        <v>42881</v>
      </c>
      <c r="B181" s="52"/>
    </row>
    <row r="182" spans="1:4" ht="15" thickBot="1">
      <c r="A182" s="120"/>
      <c r="B182" s="52"/>
      <c r="C182" s="448">
        <f>SUM(C162:C181)</f>
        <v>-80.889999999999418</v>
      </c>
    </row>
    <row r="183" spans="1:4" ht="15" thickTop="1"/>
    <row r="217" spans="1:1">
      <c r="A217" s="427" t="s">
        <v>950</v>
      </c>
    </row>
    <row r="218" spans="1:1">
      <c r="A218" s="427" t="s">
        <v>951</v>
      </c>
    </row>
    <row r="219" spans="1:1">
      <c r="A219" s="427" t="s">
        <v>952</v>
      </c>
    </row>
    <row r="220" spans="1:1">
      <c r="A220" s="427" t="s">
        <v>953</v>
      </c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3"/>
  <sheetViews>
    <sheetView topLeftCell="A37" workbookViewId="0">
      <selection activeCell="E10" sqref="E10"/>
    </sheetView>
  </sheetViews>
  <sheetFormatPr defaultRowHeight="12.75"/>
  <cols>
    <col min="1" max="1" width="17" customWidth="1"/>
    <col min="2" max="2" width="20.28515625" customWidth="1"/>
    <col min="3" max="3" width="14.5703125" customWidth="1"/>
    <col min="4" max="4" width="11.7109375" customWidth="1"/>
    <col min="5" max="5" width="13" customWidth="1"/>
    <col min="10" max="11" width="10.5703125" customWidth="1"/>
  </cols>
  <sheetData>
    <row r="1" spans="1:13">
      <c r="A1" t="s">
        <v>248</v>
      </c>
      <c r="D1" t="s">
        <v>341</v>
      </c>
    </row>
    <row r="2" spans="1:13">
      <c r="A2" s="2" t="s">
        <v>905</v>
      </c>
    </row>
    <row r="3" spans="1:13">
      <c r="A3" s="2"/>
    </row>
    <row r="4" spans="1:13">
      <c r="A4" t="s">
        <v>249</v>
      </c>
      <c r="C4" t="s">
        <v>250</v>
      </c>
      <c r="E4" t="s">
        <v>381</v>
      </c>
      <c r="F4" t="s">
        <v>251</v>
      </c>
      <c r="L4" t="s">
        <v>909</v>
      </c>
      <c r="M4" t="s">
        <v>910</v>
      </c>
    </row>
    <row r="5" spans="1:13">
      <c r="A5" t="s">
        <v>912</v>
      </c>
      <c r="B5" t="s">
        <v>24</v>
      </c>
      <c r="C5" t="s">
        <v>101</v>
      </c>
      <c r="E5">
        <v>544.70000000000005</v>
      </c>
      <c r="F5" t="s">
        <v>917</v>
      </c>
    </row>
    <row r="6" spans="1:13">
      <c r="A6" t="s">
        <v>913</v>
      </c>
      <c r="B6" t="s">
        <v>24</v>
      </c>
      <c r="C6" t="s">
        <v>101</v>
      </c>
      <c r="E6">
        <v>544.70000000000005</v>
      </c>
      <c r="F6" t="s">
        <v>917</v>
      </c>
    </row>
    <row r="7" spans="1:13">
      <c r="A7" t="s">
        <v>914</v>
      </c>
      <c r="B7" t="s">
        <v>24</v>
      </c>
      <c r="C7" t="s">
        <v>101</v>
      </c>
      <c r="E7">
        <v>544.70000000000005</v>
      </c>
      <c r="F7" t="s">
        <v>917</v>
      </c>
    </row>
    <row r="8" spans="1:13">
      <c r="A8" t="s">
        <v>915</v>
      </c>
      <c r="B8" t="s">
        <v>24</v>
      </c>
      <c r="C8" t="s">
        <v>101</v>
      </c>
      <c r="E8">
        <v>544.70000000000005</v>
      </c>
      <c r="F8" t="s">
        <v>917</v>
      </c>
    </row>
    <row r="9" spans="1:13">
      <c r="A9" s="132" t="s">
        <v>907</v>
      </c>
      <c r="B9" t="s">
        <v>908</v>
      </c>
      <c r="C9" t="s">
        <v>101</v>
      </c>
      <c r="E9">
        <f>494.7+50</f>
        <v>544.70000000000005</v>
      </c>
      <c r="F9" t="s">
        <v>911</v>
      </c>
      <c r="H9" t="s">
        <v>906</v>
      </c>
      <c r="L9">
        <v>100.29</v>
      </c>
      <c r="M9">
        <f>21.25+20.5+18.25</f>
        <v>60</v>
      </c>
    </row>
    <row r="10" spans="1:13">
      <c r="A10" s="132"/>
    </row>
    <row r="12" spans="1:13">
      <c r="E12">
        <f>SUM(E5:E9)</f>
        <v>2723.5</v>
      </c>
    </row>
    <row r="17" spans="1:12">
      <c r="A17" s="2" t="s">
        <v>342</v>
      </c>
    </row>
    <row r="18" spans="1:12">
      <c r="A18" s="136"/>
    </row>
    <row r="19" spans="1:12">
      <c r="A19" s="22" t="s">
        <v>343</v>
      </c>
      <c r="B19" s="138" t="s">
        <v>250</v>
      </c>
      <c r="C19" t="s">
        <v>344</v>
      </c>
      <c r="D19" s="137" t="s">
        <v>345</v>
      </c>
      <c r="E19" s="137" t="s">
        <v>346</v>
      </c>
      <c r="F19" t="s">
        <v>383</v>
      </c>
      <c r="G19" t="s">
        <v>383</v>
      </c>
      <c r="K19" t="s">
        <v>395</v>
      </c>
      <c r="L19" t="s">
        <v>394</v>
      </c>
    </row>
    <row r="20" spans="1:12">
      <c r="A20" t="s">
        <v>347</v>
      </c>
      <c r="B20" t="s">
        <v>348</v>
      </c>
      <c r="C20">
        <v>0</v>
      </c>
      <c r="D20" t="s">
        <v>349</v>
      </c>
      <c r="E20">
        <v>1</v>
      </c>
      <c r="F20">
        <v>0</v>
      </c>
      <c r="G20" t="s">
        <v>916</v>
      </c>
      <c r="K20" s="132">
        <v>42384</v>
      </c>
      <c r="L20">
        <v>1732.85</v>
      </c>
    </row>
    <row r="21" spans="1:12">
      <c r="A21" t="s">
        <v>347</v>
      </c>
      <c r="B21" t="s">
        <v>348</v>
      </c>
      <c r="C21">
        <v>0</v>
      </c>
      <c r="D21" t="s">
        <v>349</v>
      </c>
      <c r="F21">
        <v>0</v>
      </c>
      <c r="G21" s="242" t="s">
        <v>941</v>
      </c>
      <c r="K21" s="132">
        <v>42094</v>
      </c>
      <c r="L21">
        <f>1881.84*2</f>
        <v>3763.68</v>
      </c>
    </row>
    <row r="22" spans="1:12">
      <c r="A22" t="s">
        <v>347</v>
      </c>
      <c r="B22" t="s">
        <v>348</v>
      </c>
      <c r="C22">
        <v>0</v>
      </c>
      <c r="D22" t="s">
        <v>349</v>
      </c>
      <c r="F22">
        <v>0</v>
      </c>
      <c r="G22" t="s">
        <v>940</v>
      </c>
      <c r="K22" s="132">
        <v>42124</v>
      </c>
      <c r="L22">
        <v>1881.84</v>
      </c>
    </row>
    <row r="23" spans="1:12">
      <c r="A23" t="s">
        <v>347</v>
      </c>
      <c r="B23" t="s">
        <v>348</v>
      </c>
      <c r="C23">
        <v>0</v>
      </c>
      <c r="D23" t="s">
        <v>349</v>
      </c>
      <c r="F23">
        <v>0</v>
      </c>
      <c r="G23" t="s">
        <v>1074</v>
      </c>
      <c r="K23" s="132">
        <v>42168</v>
      </c>
      <c r="L23">
        <f>2*1881.84</f>
        <v>3763.68</v>
      </c>
    </row>
    <row r="24" spans="1:12">
      <c r="A24" t="s">
        <v>347</v>
      </c>
      <c r="B24" t="s">
        <v>348</v>
      </c>
      <c r="C24">
        <v>0</v>
      </c>
      <c r="D24" t="s">
        <v>349</v>
      </c>
      <c r="F24">
        <v>0</v>
      </c>
      <c r="G24" t="s">
        <v>1075</v>
      </c>
      <c r="K24" s="132">
        <v>42216</v>
      </c>
      <c r="L24">
        <v>3763.68</v>
      </c>
    </row>
    <row r="25" spans="1:12">
      <c r="A25" t="s">
        <v>347</v>
      </c>
      <c r="B25" t="s">
        <v>348</v>
      </c>
      <c r="C25">
        <v>0</v>
      </c>
      <c r="D25" t="s">
        <v>349</v>
      </c>
      <c r="F25">
        <v>0</v>
      </c>
      <c r="G25" t="s">
        <v>1214</v>
      </c>
      <c r="K25" s="132">
        <v>42262</v>
      </c>
      <c r="L25">
        <v>3763.68</v>
      </c>
    </row>
    <row r="26" spans="1:12">
      <c r="A26" t="s">
        <v>347</v>
      </c>
      <c r="B26" t="s">
        <v>348</v>
      </c>
      <c r="C26">
        <v>0</v>
      </c>
      <c r="D26" t="s">
        <v>349</v>
      </c>
      <c r="F26">
        <v>0</v>
      </c>
      <c r="G26" t="s">
        <v>1335</v>
      </c>
      <c r="K26" s="132">
        <v>42321</v>
      </c>
      <c r="L26">
        <f>1731.39*2</f>
        <v>3462.78</v>
      </c>
    </row>
    <row r="27" spans="1:12" ht="13.5" thickBot="1">
      <c r="E27" s="50">
        <f>SUM(E20:E26)</f>
        <v>1</v>
      </c>
      <c r="L27" s="50">
        <f>SUM(L21:L26)</f>
        <v>20399.339999999997</v>
      </c>
    </row>
    <row r="28" spans="1:12" ht="13.5" thickTop="1">
      <c r="A28" s="2" t="s">
        <v>1361</v>
      </c>
    </row>
    <row r="30" spans="1:12">
      <c r="A30" t="s">
        <v>1339</v>
      </c>
      <c r="C30">
        <f>E12</f>
        <v>2723.5</v>
      </c>
    </row>
    <row r="31" spans="1:12" ht="13.5" thickBot="1">
      <c r="C31" s="50">
        <f>SUM(C30:C30)</f>
        <v>2723.5</v>
      </c>
      <c r="D31" s="342">
        <f>C31*0.575</f>
        <v>1566.0124999999998</v>
      </c>
    </row>
    <row r="32" spans="1:12" ht="13.5" thickTop="1"/>
    <row r="33" spans="1:6">
      <c r="A33" s="2" t="s">
        <v>351</v>
      </c>
    </row>
    <row r="34" spans="1:6">
      <c r="A34" s="132">
        <v>42016</v>
      </c>
      <c r="B34" t="s">
        <v>586</v>
      </c>
      <c r="C34">
        <v>85</v>
      </c>
      <c r="D34" t="s">
        <v>583</v>
      </c>
      <c r="F34" t="s">
        <v>359</v>
      </c>
    </row>
    <row r="35" spans="1:6">
      <c r="A35" s="132">
        <v>42048</v>
      </c>
      <c r="B35" t="s">
        <v>585</v>
      </c>
      <c r="C35">
        <v>10</v>
      </c>
      <c r="D35" t="s">
        <v>354</v>
      </c>
      <c r="F35" t="s">
        <v>359</v>
      </c>
    </row>
    <row r="36" spans="1:6">
      <c r="A36" s="132">
        <v>42108</v>
      </c>
      <c r="B36" t="s">
        <v>1346</v>
      </c>
      <c r="C36">
        <v>20</v>
      </c>
      <c r="D36" t="s">
        <v>583</v>
      </c>
      <c r="F36" t="s">
        <v>359</v>
      </c>
    </row>
    <row r="37" spans="1:6">
      <c r="A37" s="132">
        <v>42114</v>
      </c>
      <c r="B37" t="s">
        <v>1346</v>
      </c>
      <c r="C37">
        <v>20</v>
      </c>
      <c r="D37" t="s">
        <v>583</v>
      </c>
      <c r="F37" t="s">
        <v>359</v>
      </c>
    </row>
    <row r="38" spans="1:6">
      <c r="A38" s="132">
        <v>42118</v>
      </c>
      <c r="B38" t="s">
        <v>1346</v>
      </c>
      <c r="C38">
        <v>20</v>
      </c>
      <c r="D38" t="s">
        <v>583</v>
      </c>
      <c r="F38" t="s">
        <v>359</v>
      </c>
    </row>
    <row r="39" spans="1:6">
      <c r="A39" s="132">
        <v>42124</v>
      </c>
      <c r="B39" t="s">
        <v>1346</v>
      </c>
      <c r="C39">
        <v>20</v>
      </c>
      <c r="D39" t="s">
        <v>583</v>
      </c>
      <c r="F39" t="s">
        <v>359</v>
      </c>
    </row>
    <row r="40" spans="1:6">
      <c r="A40" s="132">
        <v>42129</v>
      </c>
      <c r="B40" t="s">
        <v>1346</v>
      </c>
      <c r="C40">
        <v>20</v>
      </c>
      <c r="D40" t="s">
        <v>583</v>
      </c>
      <c r="F40" t="s">
        <v>359</v>
      </c>
    </row>
    <row r="41" spans="1:6">
      <c r="A41" s="132">
        <v>42136</v>
      </c>
      <c r="B41" t="s">
        <v>1346</v>
      </c>
      <c r="C41">
        <v>20</v>
      </c>
      <c r="D41" t="s">
        <v>583</v>
      </c>
      <c r="F41" t="s">
        <v>359</v>
      </c>
    </row>
    <row r="42" spans="1:6">
      <c r="A42" s="132">
        <v>42139</v>
      </c>
      <c r="B42" t="s">
        <v>1346</v>
      </c>
      <c r="C42">
        <v>20</v>
      </c>
      <c r="D42" t="s">
        <v>583</v>
      </c>
      <c r="F42" t="s">
        <v>359</v>
      </c>
    </row>
    <row r="43" spans="1:6">
      <c r="A43" s="132">
        <v>42146</v>
      </c>
      <c r="B43" t="s">
        <v>1346</v>
      </c>
      <c r="C43">
        <v>20</v>
      </c>
      <c r="D43" t="s">
        <v>583</v>
      </c>
      <c r="F43" t="s">
        <v>359</v>
      </c>
    </row>
    <row r="44" spans="1:6">
      <c r="A44" s="132">
        <v>42153</v>
      </c>
      <c r="B44" t="s">
        <v>1346</v>
      </c>
      <c r="C44">
        <v>20</v>
      </c>
      <c r="D44" t="s">
        <v>583</v>
      </c>
      <c r="F44" t="s">
        <v>359</v>
      </c>
    </row>
    <row r="45" spans="1:6">
      <c r="A45" s="132">
        <v>42158</v>
      </c>
      <c r="B45" t="s">
        <v>1346</v>
      </c>
      <c r="C45">
        <v>20</v>
      </c>
      <c r="D45" t="s">
        <v>583</v>
      </c>
      <c r="F45" t="s">
        <v>359</v>
      </c>
    </row>
    <row r="46" spans="1:6">
      <c r="A46" s="132">
        <v>42164</v>
      </c>
      <c r="B46" t="s">
        <v>1346</v>
      </c>
      <c r="C46">
        <v>20</v>
      </c>
      <c r="D46" t="s">
        <v>583</v>
      </c>
      <c r="F46" t="s">
        <v>359</v>
      </c>
    </row>
    <row r="47" spans="1:6">
      <c r="A47" s="132">
        <v>42170</v>
      </c>
      <c r="B47" t="s">
        <v>1346</v>
      </c>
      <c r="C47">
        <v>20</v>
      </c>
      <c r="D47" t="s">
        <v>583</v>
      </c>
      <c r="F47" t="s">
        <v>359</v>
      </c>
    </row>
    <row r="48" spans="1:6">
      <c r="A48" s="132">
        <v>42177</v>
      </c>
      <c r="B48" t="s">
        <v>1346</v>
      </c>
      <c r="C48">
        <v>20</v>
      </c>
      <c r="D48" t="s">
        <v>583</v>
      </c>
      <c r="F48" t="s">
        <v>359</v>
      </c>
    </row>
    <row r="49" spans="1:6">
      <c r="A49" s="132">
        <v>42181</v>
      </c>
      <c r="B49" t="s">
        <v>1346</v>
      </c>
      <c r="C49">
        <v>20</v>
      </c>
      <c r="D49" t="s">
        <v>583</v>
      </c>
      <c r="F49" t="s">
        <v>359</v>
      </c>
    </row>
    <row r="50" spans="1:6">
      <c r="A50" s="132">
        <v>42189</v>
      </c>
      <c r="B50" t="s">
        <v>1346</v>
      </c>
      <c r="C50">
        <v>20</v>
      </c>
      <c r="D50" t="s">
        <v>583</v>
      </c>
      <c r="F50" t="s">
        <v>359</v>
      </c>
    </row>
    <row r="51" spans="1:6" ht="13.5" thickBot="1">
      <c r="C51" s="342">
        <f>SUM(C34:C50)</f>
        <v>395</v>
      </c>
    </row>
    <row r="52" spans="1:6" ht="13.5" thickTop="1"/>
    <row r="53" spans="1:6">
      <c r="A53" s="2" t="s">
        <v>356</v>
      </c>
    </row>
    <row r="54" spans="1:6">
      <c r="A54" s="132">
        <v>42014</v>
      </c>
      <c r="B54" t="s">
        <v>352</v>
      </c>
      <c r="C54">
        <v>41</v>
      </c>
      <c r="D54" t="s">
        <v>588</v>
      </c>
      <c r="F54" t="s">
        <v>359</v>
      </c>
    </row>
    <row r="55" spans="1:6">
      <c r="A55" s="132">
        <v>42028</v>
      </c>
      <c r="B55" t="s">
        <v>1340</v>
      </c>
      <c r="C55">
        <v>1</v>
      </c>
      <c r="D55" t="s">
        <v>355</v>
      </c>
      <c r="E55" t="s">
        <v>1341</v>
      </c>
      <c r="F55" t="s">
        <v>359</v>
      </c>
    </row>
    <row r="56" spans="1:6">
      <c r="A56" s="132">
        <v>42029</v>
      </c>
      <c r="B56" t="s">
        <v>352</v>
      </c>
      <c r="C56">
        <v>45.8</v>
      </c>
      <c r="D56" t="s">
        <v>588</v>
      </c>
      <c r="F56" t="s">
        <v>359</v>
      </c>
    </row>
    <row r="57" spans="1:6">
      <c r="A57" s="132">
        <v>42048</v>
      </c>
      <c r="B57" t="s">
        <v>352</v>
      </c>
      <c r="C57">
        <v>40.450000000000003</v>
      </c>
      <c r="D57" t="s">
        <v>588</v>
      </c>
      <c r="F57" t="s">
        <v>359</v>
      </c>
    </row>
    <row r="58" spans="1:6">
      <c r="A58" s="132">
        <v>42091</v>
      </c>
      <c r="B58" t="s">
        <v>352</v>
      </c>
      <c r="C58">
        <v>42.45</v>
      </c>
      <c r="D58" t="s">
        <v>588</v>
      </c>
      <c r="F58" t="s">
        <v>359</v>
      </c>
    </row>
    <row r="59" spans="1:6">
      <c r="A59" s="132">
        <v>42099</v>
      </c>
      <c r="B59" t="s">
        <v>352</v>
      </c>
      <c r="C59">
        <v>42.85</v>
      </c>
      <c r="D59" t="s">
        <v>588</v>
      </c>
      <c r="F59" t="s">
        <v>359</v>
      </c>
    </row>
    <row r="60" spans="1:6">
      <c r="A60" s="132">
        <v>42160</v>
      </c>
      <c r="B60" t="s">
        <v>352</v>
      </c>
      <c r="C60">
        <v>46.45</v>
      </c>
      <c r="D60" t="s">
        <v>588</v>
      </c>
      <c r="F60" t="s">
        <v>359</v>
      </c>
    </row>
    <row r="61" spans="1:6">
      <c r="A61" s="132">
        <v>42161</v>
      </c>
      <c r="B61" t="s">
        <v>1343</v>
      </c>
      <c r="C61">
        <v>35</v>
      </c>
      <c r="D61" t="s">
        <v>588</v>
      </c>
      <c r="F61" t="s">
        <v>359</v>
      </c>
    </row>
    <row r="62" spans="1:6">
      <c r="A62" s="132">
        <v>42203</v>
      </c>
      <c r="B62" t="s">
        <v>1342</v>
      </c>
      <c r="C62">
        <v>3</v>
      </c>
      <c r="D62" t="s">
        <v>355</v>
      </c>
      <c r="F62" t="s">
        <v>359</v>
      </c>
    </row>
    <row r="63" spans="1:6">
      <c r="A63" s="132">
        <v>42246</v>
      </c>
      <c r="B63" t="s">
        <v>1343</v>
      </c>
      <c r="C63">
        <v>25</v>
      </c>
      <c r="D63" t="s">
        <v>588</v>
      </c>
      <c r="F63" t="s">
        <v>359</v>
      </c>
    </row>
    <row r="64" spans="1:6">
      <c r="A64" s="132">
        <v>42261</v>
      </c>
      <c r="B64" t="s">
        <v>1343</v>
      </c>
      <c r="C64">
        <v>25</v>
      </c>
      <c r="D64" t="s">
        <v>588</v>
      </c>
      <c r="F64" t="s">
        <v>359</v>
      </c>
    </row>
    <row r="65" spans="1:6">
      <c r="A65" s="132">
        <v>42360</v>
      </c>
      <c r="B65" t="s">
        <v>1340</v>
      </c>
      <c r="C65">
        <v>1.5</v>
      </c>
      <c r="D65" t="s">
        <v>355</v>
      </c>
      <c r="E65" t="s">
        <v>1341</v>
      </c>
      <c r="F65" t="s">
        <v>359</v>
      </c>
    </row>
    <row r="66" spans="1:6">
      <c r="A66" s="132">
        <v>42364</v>
      </c>
      <c r="B66" t="s">
        <v>1340</v>
      </c>
      <c r="C66">
        <v>1</v>
      </c>
      <c r="D66" t="s">
        <v>355</v>
      </c>
      <c r="E66" t="s">
        <v>1341</v>
      </c>
      <c r="F66" t="s">
        <v>359</v>
      </c>
    </row>
    <row r="67" spans="1:6">
      <c r="A67" s="132">
        <v>42041</v>
      </c>
      <c r="B67" t="s">
        <v>1344</v>
      </c>
      <c r="C67">
        <v>100.9</v>
      </c>
      <c r="D67" t="s">
        <v>909</v>
      </c>
      <c r="E67" t="s">
        <v>101</v>
      </c>
      <c r="F67" t="s">
        <v>359</v>
      </c>
    </row>
    <row r="68" spans="1:6">
      <c r="A68" s="132">
        <v>42049</v>
      </c>
      <c r="B68" t="s">
        <v>1345</v>
      </c>
      <c r="C68">
        <v>203.03</v>
      </c>
      <c r="D68" t="s">
        <v>909</v>
      </c>
      <c r="E68" t="s">
        <v>101</v>
      </c>
      <c r="F68" t="s">
        <v>359</v>
      </c>
    </row>
    <row r="69" spans="1:6">
      <c r="A69" s="132">
        <v>42256</v>
      </c>
      <c r="B69" t="s">
        <v>1347</v>
      </c>
      <c r="C69">
        <v>151.65</v>
      </c>
      <c r="D69" t="s">
        <v>1348</v>
      </c>
      <c r="F69" t="s">
        <v>359</v>
      </c>
    </row>
    <row r="70" spans="1:6">
      <c r="A70" s="132"/>
    </row>
    <row r="71" spans="1:6">
      <c r="A71" s="132"/>
    </row>
    <row r="72" spans="1:6">
      <c r="A72" s="132"/>
    </row>
    <row r="73" spans="1:6" ht="13.5" thickBot="1">
      <c r="C73" s="342">
        <f>SUM(C55:C69)</f>
        <v>765.07999999999993</v>
      </c>
    </row>
    <row r="74" spans="1:6" ht="13.5" thickTop="1"/>
    <row r="75" spans="1:6">
      <c r="A75" s="2" t="s">
        <v>357</v>
      </c>
    </row>
    <row r="76" spans="1:6" ht="13.5" thickBot="1">
      <c r="B76" s="2" t="s">
        <v>358</v>
      </c>
      <c r="C76" s="342">
        <f>E77+E93+E110+E126+E135</f>
        <v>7052.2699999999995</v>
      </c>
    </row>
    <row r="77" spans="1:6" ht="13.5" thickTop="1">
      <c r="A77" s="2" t="s">
        <v>1336</v>
      </c>
      <c r="E77">
        <f>SUM(C78:C91)</f>
        <v>1352.3899999999996</v>
      </c>
    </row>
    <row r="78" spans="1:6">
      <c r="A78" s="132">
        <v>42007</v>
      </c>
      <c r="B78" t="s">
        <v>257</v>
      </c>
      <c r="C78">
        <v>93.95</v>
      </c>
      <c r="D78" t="s">
        <v>44</v>
      </c>
      <c r="F78" t="s">
        <v>359</v>
      </c>
    </row>
    <row r="79" spans="1:6">
      <c r="A79" s="132">
        <v>42038</v>
      </c>
      <c r="B79" t="s">
        <v>257</v>
      </c>
      <c r="C79">
        <v>99.17</v>
      </c>
      <c r="D79" t="s">
        <v>44</v>
      </c>
      <c r="F79" t="s">
        <v>359</v>
      </c>
    </row>
    <row r="80" spans="1:6">
      <c r="A80" s="132">
        <v>42066</v>
      </c>
      <c r="B80" t="s">
        <v>257</v>
      </c>
      <c r="C80">
        <v>99.17</v>
      </c>
      <c r="D80" t="s">
        <v>44</v>
      </c>
      <c r="F80" t="s">
        <v>359</v>
      </c>
    </row>
    <row r="81" spans="1:6">
      <c r="A81" s="132">
        <v>42097</v>
      </c>
      <c r="B81" t="s">
        <v>257</v>
      </c>
      <c r="C81">
        <v>99.17</v>
      </c>
      <c r="D81" t="s">
        <v>44</v>
      </c>
      <c r="F81" t="s">
        <v>359</v>
      </c>
    </row>
    <row r="82" spans="1:6">
      <c r="A82" s="132">
        <v>42127</v>
      </c>
      <c r="B82" t="s">
        <v>257</v>
      </c>
      <c r="C82">
        <v>99.71</v>
      </c>
      <c r="D82" t="s">
        <v>44</v>
      </c>
      <c r="F82" t="s">
        <v>359</v>
      </c>
    </row>
    <row r="83" spans="1:6">
      <c r="A83" s="132">
        <v>42158</v>
      </c>
      <c r="B83" t="s">
        <v>257</v>
      </c>
      <c r="C83">
        <v>106.47</v>
      </c>
      <c r="D83" t="s">
        <v>44</v>
      </c>
      <c r="F83" t="s">
        <v>359</v>
      </c>
    </row>
    <row r="84" spans="1:6">
      <c r="A84" s="132">
        <v>42188</v>
      </c>
      <c r="B84" t="s">
        <v>257</v>
      </c>
      <c r="C84">
        <v>106.47</v>
      </c>
      <c r="D84" t="s">
        <v>44</v>
      </c>
      <c r="F84" t="s">
        <v>359</v>
      </c>
    </row>
    <row r="85" spans="1:6">
      <c r="A85" s="132">
        <v>42215</v>
      </c>
      <c r="B85" t="s">
        <v>257</v>
      </c>
      <c r="C85">
        <v>106.41</v>
      </c>
      <c r="D85" t="s">
        <v>44</v>
      </c>
      <c r="F85" t="s">
        <v>359</v>
      </c>
    </row>
    <row r="86" spans="1:6">
      <c r="A86" s="132">
        <v>42246</v>
      </c>
      <c r="B86" t="s">
        <v>257</v>
      </c>
      <c r="C86">
        <v>106.41</v>
      </c>
      <c r="D86" t="s">
        <v>44</v>
      </c>
      <c r="F86" t="s">
        <v>359</v>
      </c>
    </row>
    <row r="87" spans="1:6">
      <c r="A87" s="132">
        <v>42276</v>
      </c>
      <c r="B87" t="s">
        <v>257</v>
      </c>
      <c r="C87">
        <v>106.41</v>
      </c>
      <c r="D87" t="s">
        <v>44</v>
      </c>
      <c r="F87" t="s">
        <v>359</v>
      </c>
    </row>
    <row r="88" spans="1:6">
      <c r="A88" s="132">
        <v>42307</v>
      </c>
      <c r="B88" t="s">
        <v>257</v>
      </c>
      <c r="C88">
        <v>106.35</v>
      </c>
      <c r="D88" t="s">
        <v>44</v>
      </c>
      <c r="F88" t="s">
        <v>359</v>
      </c>
    </row>
    <row r="89" spans="1:6">
      <c r="A89" s="132">
        <v>42337</v>
      </c>
      <c r="B89" t="s">
        <v>257</v>
      </c>
      <c r="C89">
        <v>106.35</v>
      </c>
      <c r="D89" t="s">
        <v>44</v>
      </c>
      <c r="F89" t="s">
        <v>359</v>
      </c>
    </row>
    <row r="90" spans="1:6">
      <c r="A90" s="132">
        <v>42368</v>
      </c>
      <c r="B90" t="s">
        <v>257</v>
      </c>
      <c r="C90">
        <v>106.35</v>
      </c>
      <c r="D90" t="s">
        <v>44</v>
      </c>
      <c r="F90" t="s">
        <v>359</v>
      </c>
    </row>
    <row r="91" spans="1:6">
      <c r="A91" s="132">
        <v>42019</v>
      </c>
      <c r="B91" t="s">
        <v>362</v>
      </c>
      <c r="C91">
        <v>10</v>
      </c>
      <c r="D91" t="s">
        <v>593</v>
      </c>
      <c r="F91" t="s">
        <v>359</v>
      </c>
    </row>
    <row r="92" spans="1:6">
      <c r="A92" s="132"/>
    </row>
    <row r="93" spans="1:6">
      <c r="A93" s="2" t="s">
        <v>1337</v>
      </c>
      <c r="E93">
        <f>SUM(C94:C108)</f>
        <v>1060.6400000000003</v>
      </c>
    </row>
    <row r="94" spans="1:6">
      <c r="A94" s="132">
        <v>42006</v>
      </c>
      <c r="B94" t="s">
        <v>360</v>
      </c>
      <c r="C94">
        <v>69.150000000000006</v>
      </c>
      <c r="D94" t="s">
        <v>361</v>
      </c>
      <c r="F94" t="s">
        <v>353</v>
      </c>
    </row>
    <row r="95" spans="1:6">
      <c r="A95" s="132">
        <v>42037</v>
      </c>
      <c r="B95" t="s">
        <v>360</v>
      </c>
      <c r="C95">
        <v>70.98</v>
      </c>
      <c r="D95" t="s">
        <v>361</v>
      </c>
      <c r="F95" t="s">
        <v>353</v>
      </c>
    </row>
    <row r="96" spans="1:6">
      <c r="A96" s="132">
        <v>42068</v>
      </c>
      <c r="B96" t="s">
        <v>360</v>
      </c>
      <c r="C96">
        <v>70.98</v>
      </c>
      <c r="D96" t="s">
        <v>361</v>
      </c>
      <c r="F96" t="s">
        <v>353</v>
      </c>
    </row>
    <row r="97" spans="1:6">
      <c r="A97" s="132">
        <v>42082</v>
      </c>
      <c r="B97" t="s">
        <v>1338</v>
      </c>
      <c r="C97">
        <v>92.98</v>
      </c>
      <c r="D97" t="s">
        <v>361</v>
      </c>
      <c r="F97" t="s">
        <v>353</v>
      </c>
    </row>
    <row r="98" spans="1:6">
      <c r="A98" s="132">
        <v>42096</v>
      </c>
      <c r="B98" t="s">
        <v>360</v>
      </c>
      <c r="C98">
        <v>70.98</v>
      </c>
      <c r="D98" t="s">
        <v>361</v>
      </c>
      <c r="F98" t="s">
        <v>353</v>
      </c>
    </row>
    <row r="99" spans="1:6">
      <c r="A99" s="132">
        <v>42127</v>
      </c>
      <c r="B99" t="s">
        <v>360</v>
      </c>
      <c r="C99">
        <v>70.98</v>
      </c>
      <c r="D99" t="s">
        <v>361</v>
      </c>
      <c r="F99" t="s">
        <v>353</v>
      </c>
    </row>
    <row r="100" spans="1:6">
      <c r="A100" s="132">
        <v>42141</v>
      </c>
      <c r="B100" t="s">
        <v>1338</v>
      </c>
      <c r="C100">
        <v>68.64</v>
      </c>
      <c r="D100" t="s">
        <v>361</v>
      </c>
      <c r="F100" t="s">
        <v>353</v>
      </c>
    </row>
    <row r="101" spans="1:6">
      <c r="A101" s="132">
        <v>42157</v>
      </c>
      <c r="B101" t="s">
        <v>360</v>
      </c>
      <c r="C101">
        <v>12.19</v>
      </c>
      <c r="D101" t="s">
        <v>361</v>
      </c>
      <c r="F101" t="s">
        <v>353</v>
      </c>
    </row>
    <row r="102" spans="1:6">
      <c r="A102" s="132">
        <v>42158</v>
      </c>
      <c r="B102" t="s">
        <v>1338</v>
      </c>
      <c r="C102">
        <v>63.7</v>
      </c>
      <c r="D102" t="s">
        <v>361</v>
      </c>
      <c r="F102" t="s">
        <v>353</v>
      </c>
    </row>
    <row r="103" spans="1:6">
      <c r="A103" s="132">
        <v>42188</v>
      </c>
      <c r="B103" t="s">
        <v>1338</v>
      </c>
      <c r="C103">
        <v>63.7</v>
      </c>
      <c r="D103" t="s">
        <v>361</v>
      </c>
      <c r="F103" t="s">
        <v>353</v>
      </c>
    </row>
    <row r="104" spans="1:6">
      <c r="A104" s="132">
        <v>42219</v>
      </c>
      <c r="B104" t="s">
        <v>1338</v>
      </c>
      <c r="C104">
        <v>63.7</v>
      </c>
      <c r="D104" t="s">
        <v>361</v>
      </c>
      <c r="F104" t="s">
        <v>353</v>
      </c>
    </row>
    <row r="105" spans="1:6">
      <c r="A105" s="132">
        <v>42250</v>
      </c>
      <c r="B105" t="s">
        <v>1338</v>
      </c>
      <c r="C105">
        <v>63.7</v>
      </c>
      <c r="D105" t="s">
        <v>361</v>
      </c>
      <c r="F105" t="s">
        <v>353</v>
      </c>
    </row>
    <row r="106" spans="1:6">
      <c r="A106" s="132">
        <v>42280</v>
      </c>
      <c r="B106" t="s">
        <v>1338</v>
      </c>
      <c r="C106">
        <v>63.7</v>
      </c>
      <c r="D106" t="s">
        <v>361</v>
      </c>
      <c r="F106" t="s">
        <v>353</v>
      </c>
    </row>
    <row r="107" spans="1:6">
      <c r="A107" s="132">
        <v>42311</v>
      </c>
      <c r="B107" t="s">
        <v>1338</v>
      </c>
      <c r="C107">
        <v>133.74</v>
      </c>
      <c r="D107" t="s">
        <v>594</v>
      </c>
      <c r="F107" t="s">
        <v>353</v>
      </c>
    </row>
    <row r="108" spans="1:6">
      <c r="A108" s="132">
        <v>42341</v>
      </c>
      <c r="B108" t="s">
        <v>1338</v>
      </c>
      <c r="C108">
        <v>81.52</v>
      </c>
      <c r="D108" t="s">
        <v>594</v>
      </c>
      <c r="F108" t="s">
        <v>353</v>
      </c>
    </row>
    <row r="109" spans="1:6">
      <c r="A109" s="132"/>
    </row>
    <row r="110" spans="1:6">
      <c r="A110" s="2" t="s">
        <v>596</v>
      </c>
      <c r="E110">
        <f>SUM(C116:C124)</f>
        <v>230.99</v>
      </c>
    </row>
    <row r="111" spans="1:6">
      <c r="A111" s="24">
        <v>42093</v>
      </c>
      <c r="B111" t="s">
        <v>363</v>
      </c>
      <c r="C111">
        <v>23.32</v>
      </c>
      <c r="D111" t="s">
        <v>364</v>
      </c>
      <c r="F111" t="s">
        <v>365</v>
      </c>
    </row>
    <row r="112" spans="1:6">
      <c r="A112" s="24">
        <v>42094</v>
      </c>
      <c r="B112" t="s">
        <v>363</v>
      </c>
      <c r="C112">
        <v>11.36</v>
      </c>
      <c r="D112" t="s">
        <v>364</v>
      </c>
      <c r="F112" t="s">
        <v>365</v>
      </c>
    </row>
    <row r="113" spans="1:6">
      <c r="A113" s="24">
        <v>42095</v>
      </c>
      <c r="B113" t="s">
        <v>363</v>
      </c>
      <c r="C113">
        <v>14.98</v>
      </c>
      <c r="D113" t="s">
        <v>364</v>
      </c>
      <c r="F113" t="s">
        <v>365</v>
      </c>
    </row>
    <row r="114" spans="1:6">
      <c r="A114" s="24">
        <v>42107</v>
      </c>
      <c r="B114" t="s">
        <v>1357</v>
      </c>
      <c r="C114">
        <v>38.08</v>
      </c>
      <c r="D114" t="s">
        <v>364</v>
      </c>
      <c r="F114" t="s">
        <v>365</v>
      </c>
    </row>
    <row r="115" spans="1:6">
      <c r="A115" s="24">
        <v>42185</v>
      </c>
      <c r="B115" t="s">
        <v>363</v>
      </c>
      <c r="C115">
        <v>36.659999999999997</v>
      </c>
      <c r="D115" t="s">
        <v>364</v>
      </c>
      <c r="F115" t="s">
        <v>365</v>
      </c>
    </row>
    <row r="116" spans="1:6">
      <c r="A116" s="132">
        <v>42231</v>
      </c>
      <c r="B116" t="s">
        <v>363</v>
      </c>
      <c r="C116">
        <v>27.96</v>
      </c>
      <c r="D116" t="s">
        <v>364</v>
      </c>
      <c r="F116" t="s">
        <v>365</v>
      </c>
    </row>
    <row r="117" spans="1:6">
      <c r="A117" s="132">
        <v>42234</v>
      </c>
      <c r="B117" t="s">
        <v>363</v>
      </c>
      <c r="C117">
        <v>13.98</v>
      </c>
      <c r="D117" t="s">
        <v>364</v>
      </c>
      <c r="F117" t="s">
        <v>365</v>
      </c>
    </row>
    <row r="118" spans="1:6">
      <c r="A118" s="132">
        <v>42239</v>
      </c>
      <c r="B118" t="s">
        <v>363</v>
      </c>
      <c r="C118">
        <v>12.96</v>
      </c>
      <c r="D118" t="s">
        <v>364</v>
      </c>
      <c r="F118" t="s">
        <v>365</v>
      </c>
    </row>
    <row r="119" spans="1:6">
      <c r="A119" s="132">
        <v>42276</v>
      </c>
      <c r="B119" t="s">
        <v>363</v>
      </c>
      <c r="C119">
        <v>36.659999999999997</v>
      </c>
      <c r="D119" t="s">
        <v>364</v>
      </c>
      <c r="F119" t="s">
        <v>365</v>
      </c>
    </row>
    <row r="120" spans="1:6">
      <c r="A120" s="132">
        <v>42297</v>
      </c>
      <c r="B120" t="s">
        <v>1357</v>
      </c>
      <c r="C120">
        <v>23.31</v>
      </c>
      <c r="D120" t="s">
        <v>364</v>
      </c>
      <c r="F120" t="s">
        <v>365</v>
      </c>
    </row>
    <row r="121" spans="1:6">
      <c r="A121" s="132">
        <v>42361</v>
      </c>
      <c r="B121" t="s">
        <v>363</v>
      </c>
      <c r="C121">
        <v>50</v>
      </c>
      <c r="D121" t="s">
        <v>364</v>
      </c>
      <c r="F121" t="s">
        <v>365</v>
      </c>
    </row>
    <row r="122" spans="1:6">
      <c r="A122" s="132">
        <v>42367</v>
      </c>
      <c r="B122" t="s">
        <v>363</v>
      </c>
      <c r="C122">
        <v>24.91</v>
      </c>
      <c r="D122" t="s">
        <v>364</v>
      </c>
      <c r="F122" t="s">
        <v>353</v>
      </c>
    </row>
    <row r="123" spans="1:6">
      <c r="A123" s="132">
        <v>42368</v>
      </c>
      <c r="B123" t="s">
        <v>363</v>
      </c>
      <c r="C123">
        <v>4.55</v>
      </c>
      <c r="D123" t="s">
        <v>364</v>
      </c>
      <c r="F123" t="s">
        <v>353</v>
      </c>
    </row>
    <row r="124" spans="1:6">
      <c r="A124" s="132">
        <v>42368</v>
      </c>
      <c r="B124" t="s">
        <v>363</v>
      </c>
      <c r="C124">
        <v>36.659999999999997</v>
      </c>
      <c r="D124" t="s">
        <v>364</v>
      </c>
      <c r="F124" t="s">
        <v>365</v>
      </c>
    </row>
    <row r="125" spans="1:6">
      <c r="A125" s="132"/>
    </row>
    <row r="126" spans="1:6">
      <c r="A126" s="2" t="s">
        <v>366</v>
      </c>
      <c r="E126">
        <f>SUM(C127:C133)</f>
        <v>592.50000000000011</v>
      </c>
    </row>
    <row r="127" spans="1:6">
      <c r="A127" s="24">
        <v>42082</v>
      </c>
      <c r="B127" t="s">
        <v>367</v>
      </c>
      <c r="C127">
        <v>110.49</v>
      </c>
      <c r="D127" t="s">
        <v>369</v>
      </c>
      <c r="F127" t="s">
        <v>353</v>
      </c>
    </row>
    <row r="128" spans="1:6">
      <c r="A128" s="24">
        <v>42189</v>
      </c>
      <c r="B128" t="s">
        <v>367</v>
      </c>
      <c r="C128">
        <v>97.75</v>
      </c>
      <c r="D128" t="s">
        <v>1358</v>
      </c>
      <c r="F128" t="s">
        <v>353</v>
      </c>
    </row>
    <row r="129" spans="1:6">
      <c r="A129" s="132">
        <v>42200</v>
      </c>
      <c r="B129" t="s">
        <v>367</v>
      </c>
      <c r="C129">
        <v>29.4</v>
      </c>
      <c r="D129" t="s">
        <v>644</v>
      </c>
      <c r="F129" t="s">
        <v>353</v>
      </c>
    </row>
    <row r="130" spans="1:6">
      <c r="A130" s="132">
        <v>42202</v>
      </c>
      <c r="B130" t="s">
        <v>367</v>
      </c>
      <c r="C130">
        <v>53.76</v>
      </c>
      <c r="D130" t="s">
        <v>368</v>
      </c>
      <c r="F130" t="s">
        <v>353</v>
      </c>
    </row>
    <row r="131" spans="1:6">
      <c r="A131" s="132">
        <v>42244</v>
      </c>
      <c r="B131" t="s">
        <v>377</v>
      </c>
      <c r="C131">
        <v>184.77</v>
      </c>
      <c r="D131" t="s">
        <v>368</v>
      </c>
      <c r="F131" t="s">
        <v>353</v>
      </c>
    </row>
    <row r="132" spans="1:6">
      <c r="A132" s="132">
        <v>42318</v>
      </c>
      <c r="B132" t="s">
        <v>1353</v>
      </c>
      <c r="C132">
        <v>69.989999999999995</v>
      </c>
      <c r="D132" t="s">
        <v>1354</v>
      </c>
      <c r="F132" t="s">
        <v>353</v>
      </c>
    </row>
    <row r="133" spans="1:6">
      <c r="A133" s="132">
        <v>42358</v>
      </c>
      <c r="B133" t="s">
        <v>1355</v>
      </c>
      <c r="C133">
        <v>46.34</v>
      </c>
      <c r="D133" t="s">
        <v>644</v>
      </c>
      <c r="F133" t="s">
        <v>353</v>
      </c>
    </row>
    <row r="134" spans="1:6">
      <c r="A134" s="132"/>
    </row>
    <row r="135" spans="1:6">
      <c r="A135" s="2" t="s">
        <v>1349</v>
      </c>
      <c r="E135">
        <f>SUM(C137:C140)</f>
        <v>3815.75</v>
      </c>
    </row>
    <row r="136" spans="1:6">
      <c r="A136" s="22" t="s">
        <v>601</v>
      </c>
      <c r="C136" s="22"/>
      <c r="D136" s="22"/>
    </row>
    <row r="137" spans="1:6">
      <c r="A137" s="132">
        <v>42157</v>
      </c>
      <c r="B137" t="s">
        <v>370</v>
      </c>
      <c r="C137">
        <v>293.05</v>
      </c>
      <c r="D137" t="s">
        <v>1350</v>
      </c>
      <c r="F137" t="s">
        <v>353</v>
      </c>
    </row>
    <row r="138" spans="1:6">
      <c r="A138" s="132">
        <v>42287</v>
      </c>
      <c r="B138" t="s">
        <v>1351</v>
      </c>
      <c r="C138">
        <v>323.7</v>
      </c>
      <c r="D138" t="s">
        <v>1352</v>
      </c>
      <c r="F138" t="s">
        <v>353</v>
      </c>
    </row>
    <row r="139" spans="1:6">
      <c r="A139" s="132">
        <v>42087</v>
      </c>
      <c r="B139" t="s">
        <v>371</v>
      </c>
      <c r="C139">
        <v>749</v>
      </c>
      <c r="D139" t="s">
        <v>1356</v>
      </c>
      <c r="F139" t="s">
        <v>353</v>
      </c>
    </row>
    <row r="140" spans="1:6">
      <c r="A140" s="132">
        <v>42140</v>
      </c>
      <c r="B140" t="s">
        <v>1359</v>
      </c>
      <c r="C140">
        <v>2450</v>
      </c>
      <c r="D140" t="s">
        <v>1360</v>
      </c>
      <c r="F140" t="s">
        <v>353</v>
      </c>
    </row>
    <row r="143" spans="1:6">
      <c r="A143" s="2" t="s">
        <v>372</v>
      </c>
      <c r="C143">
        <v>2049.5700000000002</v>
      </c>
      <c r="D143" t="s">
        <v>373</v>
      </c>
      <c r="E143" s="343">
        <f>0.5*C143</f>
        <v>1024.7850000000001</v>
      </c>
    </row>
    <row r="144" spans="1:6">
      <c r="A144" t="s">
        <v>603</v>
      </c>
      <c r="B144" t="s">
        <v>375</v>
      </c>
      <c r="D144" t="s">
        <v>376</v>
      </c>
    </row>
    <row r="145" spans="1:6">
      <c r="A145" t="s">
        <v>603</v>
      </c>
      <c r="B145" t="s">
        <v>595</v>
      </c>
      <c r="D145" t="s">
        <v>376</v>
      </c>
    </row>
    <row r="146" spans="1:6">
      <c r="A146" t="s">
        <v>604</v>
      </c>
      <c r="B146" t="s">
        <v>401</v>
      </c>
      <c r="D146" t="s">
        <v>380</v>
      </c>
      <c r="F146" t="s">
        <v>359</v>
      </c>
    </row>
    <row r="147" spans="1:6">
      <c r="A147" t="s">
        <v>604</v>
      </c>
      <c r="B147" t="s">
        <v>375</v>
      </c>
      <c r="D147" t="s">
        <v>380</v>
      </c>
    </row>
    <row r="148" spans="1:6">
      <c r="A148" t="s">
        <v>605</v>
      </c>
      <c r="B148" t="s">
        <v>606</v>
      </c>
      <c r="D148" t="s">
        <v>607</v>
      </c>
    </row>
    <row r="149" spans="1:6">
      <c r="A149" t="s">
        <v>608</v>
      </c>
      <c r="B149" t="s">
        <v>609</v>
      </c>
      <c r="D149" t="s">
        <v>380</v>
      </c>
    </row>
    <row r="150" spans="1:6">
      <c r="A150" t="s">
        <v>608</v>
      </c>
      <c r="B150" t="s">
        <v>391</v>
      </c>
      <c r="D150" t="s">
        <v>376</v>
      </c>
    </row>
    <row r="151" spans="1:6">
      <c r="A151" s="132">
        <v>41276</v>
      </c>
      <c r="B151" t="s">
        <v>610</v>
      </c>
      <c r="D151" t="s">
        <v>376</v>
      </c>
    </row>
    <row r="152" spans="1:6">
      <c r="A152" s="132">
        <v>41457</v>
      </c>
      <c r="B152" t="s">
        <v>611</v>
      </c>
      <c r="D152" t="s">
        <v>382</v>
      </c>
    </row>
    <row r="153" spans="1:6">
      <c r="A153" s="132">
        <v>41581</v>
      </c>
      <c r="B153" t="s">
        <v>612</v>
      </c>
      <c r="D153" t="s">
        <v>613</v>
      </c>
    </row>
    <row r="154" spans="1:6">
      <c r="A154" s="132" t="s">
        <v>582</v>
      </c>
      <c r="B154" t="s">
        <v>595</v>
      </c>
      <c r="D154" t="s">
        <v>382</v>
      </c>
    </row>
    <row r="155" spans="1:6">
      <c r="A155" s="132" t="s">
        <v>614</v>
      </c>
      <c r="B155" t="s">
        <v>615</v>
      </c>
      <c r="D155" t="s">
        <v>380</v>
      </c>
    </row>
    <row r="156" spans="1:6">
      <c r="A156" s="132">
        <v>41309</v>
      </c>
      <c r="B156" t="s">
        <v>616</v>
      </c>
      <c r="D156" t="s">
        <v>380</v>
      </c>
    </row>
    <row r="157" spans="1:6">
      <c r="A157" s="132">
        <v>41398</v>
      </c>
      <c r="B157" t="s">
        <v>391</v>
      </c>
      <c r="D157" t="s">
        <v>376</v>
      </c>
    </row>
    <row r="158" spans="1:6">
      <c r="A158" s="132">
        <v>41612</v>
      </c>
      <c r="B158" t="s">
        <v>391</v>
      </c>
      <c r="D158" t="s">
        <v>376</v>
      </c>
    </row>
    <row r="159" spans="1:6">
      <c r="A159" s="132" t="s">
        <v>617</v>
      </c>
      <c r="B159" t="s">
        <v>401</v>
      </c>
      <c r="D159" t="s">
        <v>380</v>
      </c>
    </row>
    <row r="160" spans="1:6">
      <c r="A160" s="132" t="s">
        <v>618</v>
      </c>
      <c r="B160" t="s">
        <v>619</v>
      </c>
      <c r="D160" t="s">
        <v>620</v>
      </c>
    </row>
    <row r="161" spans="1:4">
      <c r="A161" s="132">
        <v>41460</v>
      </c>
      <c r="B161" t="s">
        <v>375</v>
      </c>
      <c r="D161" t="s">
        <v>380</v>
      </c>
    </row>
    <row r="162" spans="1:4">
      <c r="A162" t="s">
        <v>584</v>
      </c>
      <c r="B162" t="s">
        <v>378</v>
      </c>
      <c r="D162" t="s">
        <v>376</v>
      </c>
    </row>
    <row r="163" spans="1:4">
      <c r="A163" s="132" t="s">
        <v>389</v>
      </c>
      <c r="B163" t="s">
        <v>390</v>
      </c>
      <c r="D163" t="s">
        <v>376</v>
      </c>
    </row>
    <row r="164" spans="1:4">
      <c r="A164" s="132">
        <v>41461</v>
      </c>
      <c r="B164" t="s">
        <v>621</v>
      </c>
      <c r="D164" t="s">
        <v>382</v>
      </c>
    </row>
    <row r="165" spans="1:4">
      <c r="A165" s="132">
        <v>41523</v>
      </c>
      <c r="B165" t="s">
        <v>378</v>
      </c>
      <c r="D165" t="s">
        <v>607</v>
      </c>
    </row>
    <row r="166" spans="1:4">
      <c r="A166" s="132" t="s">
        <v>398</v>
      </c>
      <c r="B166" t="s">
        <v>391</v>
      </c>
      <c r="D166" t="s">
        <v>376</v>
      </c>
    </row>
    <row r="167" spans="1:4">
      <c r="A167" s="132">
        <v>41493</v>
      </c>
      <c r="B167" t="s">
        <v>375</v>
      </c>
      <c r="D167" t="s">
        <v>376</v>
      </c>
    </row>
    <row r="168" spans="1:4">
      <c r="A168" s="132">
        <v>41493</v>
      </c>
      <c r="B168" t="s">
        <v>622</v>
      </c>
      <c r="D168" t="s">
        <v>376</v>
      </c>
    </row>
    <row r="169" spans="1:4">
      <c r="A169" s="132">
        <v>41525</v>
      </c>
      <c r="B169" t="s">
        <v>623</v>
      </c>
      <c r="D169" t="s">
        <v>624</v>
      </c>
    </row>
    <row r="170" spans="1:4">
      <c r="A170" s="132">
        <v>41525</v>
      </c>
      <c r="B170" t="s">
        <v>625</v>
      </c>
      <c r="D170" t="s">
        <v>624</v>
      </c>
    </row>
    <row r="171" spans="1:4">
      <c r="A171" s="132">
        <v>41525</v>
      </c>
      <c r="B171" t="s">
        <v>626</v>
      </c>
      <c r="D171" t="s">
        <v>624</v>
      </c>
    </row>
    <row r="172" spans="1:4">
      <c r="A172" s="132">
        <v>41555</v>
      </c>
      <c r="B172" t="s">
        <v>627</v>
      </c>
      <c r="D172" t="s">
        <v>624</v>
      </c>
    </row>
    <row r="173" spans="1:4">
      <c r="A173" s="132">
        <v>41555</v>
      </c>
      <c r="B173" t="s">
        <v>628</v>
      </c>
      <c r="D173" t="s">
        <v>624</v>
      </c>
    </row>
    <row r="174" spans="1:4">
      <c r="A174" s="132" t="s">
        <v>629</v>
      </c>
      <c r="B174" t="s">
        <v>390</v>
      </c>
      <c r="D174" t="s">
        <v>376</v>
      </c>
    </row>
    <row r="175" spans="1:4">
      <c r="A175" s="132" t="s">
        <v>600</v>
      </c>
      <c r="B175" t="s">
        <v>630</v>
      </c>
      <c r="D175" t="s">
        <v>607</v>
      </c>
    </row>
    <row r="176" spans="1:4">
      <c r="A176" t="s">
        <v>587</v>
      </c>
      <c r="B176" t="s">
        <v>631</v>
      </c>
      <c r="D176" t="s">
        <v>380</v>
      </c>
    </row>
    <row r="177" spans="1:5">
      <c r="A177" s="132" t="s">
        <v>587</v>
      </c>
      <c r="B177" t="s">
        <v>632</v>
      </c>
      <c r="D177" t="s">
        <v>380</v>
      </c>
    </row>
    <row r="178" spans="1:5">
      <c r="A178" s="132" t="s">
        <v>587</v>
      </c>
      <c r="B178" t="s">
        <v>632</v>
      </c>
      <c r="D178" t="s">
        <v>380</v>
      </c>
    </row>
    <row r="179" spans="1:5">
      <c r="A179" s="132" t="s">
        <v>590</v>
      </c>
      <c r="B179" t="s">
        <v>633</v>
      </c>
      <c r="D179" t="s">
        <v>252</v>
      </c>
      <c r="E179" t="s">
        <v>634</v>
      </c>
    </row>
    <row r="180" spans="1:5">
      <c r="A180" s="132" t="s">
        <v>590</v>
      </c>
      <c r="B180" t="s">
        <v>635</v>
      </c>
      <c r="D180" t="s">
        <v>252</v>
      </c>
      <c r="E180" t="s">
        <v>634</v>
      </c>
    </row>
    <row r="181" spans="1:5">
      <c r="A181" s="132" t="s">
        <v>636</v>
      </c>
      <c r="B181" t="s">
        <v>637</v>
      </c>
      <c r="D181" t="s">
        <v>252</v>
      </c>
      <c r="E181" t="s">
        <v>634</v>
      </c>
    </row>
    <row r="182" spans="1:5">
      <c r="A182" s="132">
        <v>41374</v>
      </c>
      <c r="B182" t="s">
        <v>638</v>
      </c>
      <c r="D182" t="s">
        <v>613</v>
      </c>
    </row>
    <row r="183" spans="1:5">
      <c r="A183" s="132">
        <v>41435</v>
      </c>
      <c r="B183" t="s">
        <v>379</v>
      </c>
      <c r="D183" t="s">
        <v>376</v>
      </c>
    </row>
    <row r="184" spans="1:5">
      <c r="A184" s="132" t="s">
        <v>597</v>
      </c>
      <c r="B184" t="s">
        <v>632</v>
      </c>
      <c r="D184" t="s">
        <v>376</v>
      </c>
    </row>
    <row r="185" spans="1:5">
      <c r="A185" s="132" t="s">
        <v>598</v>
      </c>
      <c r="B185" t="s">
        <v>627</v>
      </c>
      <c r="D185" t="s">
        <v>380</v>
      </c>
    </row>
    <row r="186" spans="1:5">
      <c r="A186" s="132">
        <v>41285</v>
      </c>
      <c r="B186" t="s">
        <v>354</v>
      </c>
      <c r="D186" t="s">
        <v>376</v>
      </c>
    </row>
    <row r="187" spans="1:5">
      <c r="A187" s="132">
        <v>41285</v>
      </c>
      <c r="B187" t="s">
        <v>390</v>
      </c>
      <c r="D187" t="s">
        <v>376</v>
      </c>
    </row>
    <row r="188" spans="1:5">
      <c r="A188" s="132">
        <v>41285</v>
      </c>
      <c r="B188" t="s">
        <v>401</v>
      </c>
      <c r="D188" t="s">
        <v>376</v>
      </c>
    </row>
    <row r="189" spans="1:5">
      <c r="A189" s="132" t="s">
        <v>591</v>
      </c>
      <c r="B189" t="s">
        <v>639</v>
      </c>
      <c r="D189" t="s">
        <v>252</v>
      </c>
    </row>
    <row r="190" spans="1:5">
      <c r="A190" s="132" t="s">
        <v>591</v>
      </c>
      <c r="B190" t="s">
        <v>374</v>
      </c>
      <c r="D190" t="s">
        <v>252</v>
      </c>
    </row>
    <row r="191" spans="1:5">
      <c r="A191" s="132" t="s">
        <v>591</v>
      </c>
      <c r="B191" t="s">
        <v>374</v>
      </c>
      <c r="D191" t="s">
        <v>252</v>
      </c>
    </row>
    <row r="192" spans="1:5">
      <c r="A192" s="132" t="s">
        <v>592</v>
      </c>
      <c r="B192" t="s">
        <v>640</v>
      </c>
      <c r="D192" t="s">
        <v>252</v>
      </c>
    </row>
    <row r="193" spans="1:4">
      <c r="A193" s="132" t="s">
        <v>641</v>
      </c>
      <c r="B193" t="s">
        <v>642</v>
      </c>
      <c r="D193" t="s">
        <v>252</v>
      </c>
    </row>
  </sheetData>
  <sheetProtection selectLockedCells="1" selectUnlockedCells="1"/>
  <pageMargins left="0.7" right="0.7" top="0.75" bottom="0.75" header="0.51180555555555551" footer="0.51180555555555551"/>
  <pageSetup firstPageNumber="0" orientation="portrait" horizontalDpi="300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topLeftCell="A2" workbookViewId="0">
      <selection activeCell="K33" sqref="K33"/>
    </sheetView>
  </sheetViews>
  <sheetFormatPr defaultRowHeight="12.75"/>
  <cols>
    <col min="2" max="2" width="10.140625" bestFit="1" customWidth="1"/>
    <col min="5" max="5" width="15" customWidth="1"/>
  </cols>
  <sheetData>
    <row r="1" spans="1:5">
      <c r="A1" t="s">
        <v>1241</v>
      </c>
    </row>
    <row r="2" spans="1:5">
      <c r="B2" s="132">
        <v>38416</v>
      </c>
      <c r="C2" t="s">
        <v>1245</v>
      </c>
      <c r="D2" s="458"/>
      <c r="E2" s="139">
        <v>462250</v>
      </c>
    </row>
    <row r="3" spans="1:5">
      <c r="C3" t="s">
        <v>1242</v>
      </c>
      <c r="E3" s="139">
        <v>6917.01</v>
      </c>
    </row>
    <row r="4" spans="1:5" ht="13.5" thickBot="1">
      <c r="E4" s="459">
        <f>SUM(E2:E3)</f>
        <v>469167.01</v>
      </c>
    </row>
    <row r="5" spans="1:5" ht="13.5" thickTop="1"/>
    <row r="6" spans="1:5">
      <c r="B6" s="132">
        <v>42297</v>
      </c>
      <c r="C6" t="s">
        <v>1243</v>
      </c>
      <c r="E6" s="139">
        <v>432000</v>
      </c>
    </row>
    <row r="15" spans="1:5">
      <c r="A15" t="s">
        <v>1244</v>
      </c>
    </row>
    <row r="16" spans="1:5">
      <c r="B16" s="132">
        <v>41348</v>
      </c>
      <c r="C16" t="s">
        <v>1245</v>
      </c>
      <c r="E16" s="139">
        <v>316000</v>
      </c>
    </row>
    <row r="17" spans="1:5">
      <c r="C17" t="s">
        <v>1246</v>
      </c>
      <c r="E17" s="139">
        <v>3611.13</v>
      </c>
    </row>
    <row r="18" spans="1:5" ht="13.5" thickBot="1">
      <c r="E18" s="459">
        <f>SUM(E16:E17)</f>
        <v>319611.13</v>
      </c>
    </row>
    <row r="19" spans="1:5" ht="13.5" thickTop="1"/>
    <row r="29" spans="1:5">
      <c r="A29" t="s">
        <v>1247</v>
      </c>
    </row>
    <row r="30" spans="1:5">
      <c r="B30" s="132">
        <v>42252</v>
      </c>
      <c r="C30" t="s">
        <v>1245</v>
      </c>
      <c r="E30" s="139">
        <v>418000</v>
      </c>
    </row>
    <row r="31" spans="1:5">
      <c r="C31" t="s">
        <v>1246</v>
      </c>
      <c r="E31" s="139">
        <v>14690.78</v>
      </c>
    </row>
    <row r="32" spans="1:5" ht="13.5" thickBot="1">
      <c r="E32" s="436">
        <f>SUM(E30:E31)</f>
        <v>432690.78</v>
      </c>
    </row>
    <row r="33" ht="13.5" thickTop="1"/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5559"/>
  <sheetViews>
    <sheetView topLeftCell="A67" zoomScale="96" zoomScaleNormal="96" workbookViewId="0">
      <selection activeCell="A83" sqref="A83"/>
    </sheetView>
  </sheetViews>
  <sheetFormatPr defaultColWidth="9.42578125" defaultRowHeight="13.5"/>
  <cols>
    <col min="1" max="1" width="31.7109375" style="52" customWidth="1"/>
    <col min="2" max="2" width="17" style="52" customWidth="1"/>
    <col min="3" max="3" width="13.42578125" style="52" customWidth="1"/>
    <col min="4" max="4" width="12.140625" style="52" customWidth="1"/>
    <col min="5" max="5" width="12.5703125" style="52" customWidth="1"/>
    <col min="6" max="6" width="13.85546875" style="52" customWidth="1"/>
    <col min="7" max="9" width="13.5703125" style="52" customWidth="1"/>
    <col min="10" max="10" width="12.140625" style="52" customWidth="1"/>
    <col min="11" max="11" width="3.42578125" style="52" customWidth="1"/>
    <col min="12" max="12" width="13" style="52" customWidth="1"/>
    <col min="13" max="13" width="12.28515625" style="52" customWidth="1"/>
    <col min="14" max="14" width="12.140625" style="52" customWidth="1"/>
    <col min="15" max="16384" width="9.42578125" style="52"/>
  </cols>
  <sheetData>
    <row r="1" spans="1:9">
      <c r="A1" s="99" t="s">
        <v>965</v>
      </c>
    </row>
    <row r="2" spans="1:9" ht="12.75" customHeight="1">
      <c r="A2" s="99" t="s">
        <v>1022</v>
      </c>
    </row>
    <row r="3" spans="1:9" ht="12.75" customHeight="1">
      <c r="A3" s="99" t="s">
        <v>966</v>
      </c>
    </row>
    <row r="4" spans="1:9" ht="12.75" customHeight="1">
      <c r="A4" s="99" t="s">
        <v>967</v>
      </c>
    </row>
    <row r="5" spans="1:9">
      <c r="A5" s="99" t="s">
        <v>968</v>
      </c>
    </row>
    <row r="8" spans="1:9" ht="31.15" customHeight="1">
      <c r="A8" s="58" t="s">
        <v>923</v>
      </c>
      <c r="B8" s="58"/>
      <c r="D8" s="59"/>
      <c r="F8" s="60"/>
      <c r="G8" s="69" t="s">
        <v>273</v>
      </c>
      <c r="H8" s="466" t="s">
        <v>1313</v>
      </c>
      <c r="I8" s="69" t="s">
        <v>274</v>
      </c>
    </row>
    <row r="9" spans="1:9" ht="17.25" customHeight="1">
      <c r="A9" s="52" t="s">
        <v>969</v>
      </c>
      <c r="B9" s="58"/>
      <c r="D9" s="59"/>
      <c r="G9" s="423">
        <f>140000/52*12*0.72</f>
        <v>23261.538461538461</v>
      </c>
      <c r="H9" s="52">
        <f>40043.33-H12</f>
        <v>26365.600000000002</v>
      </c>
      <c r="I9" s="423">
        <f>G9/12</f>
        <v>1938.4615384615383</v>
      </c>
    </row>
    <row r="10" spans="1:9" ht="17.25" customHeight="1">
      <c r="A10" s="52" t="s">
        <v>970</v>
      </c>
      <c r="B10" s="58"/>
      <c r="D10" s="59"/>
      <c r="G10" s="423">
        <f>175000/52*40*0.72</f>
        <v>96923.076923076922</v>
      </c>
      <c r="H10" s="52">
        <v>86296.45</v>
      </c>
      <c r="I10" s="423">
        <f>G10/9</f>
        <v>10769.23076923077</v>
      </c>
    </row>
    <row r="11" spans="1:9" ht="17.25" customHeight="1">
      <c r="A11" s="52" t="s">
        <v>924</v>
      </c>
      <c r="B11" s="58"/>
      <c r="D11" s="59"/>
      <c r="G11" s="52">
        <v>15000</v>
      </c>
      <c r="H11" s="52">
        <v>20399.34</v>
      </c>
      <c r="I11" s="423">
        <f>G11/12</f>
        <v>1250</v>
      </c>
    </row>
    <row r="12" spans="1:9" ht="17.25" customHeight="1">
      <c r="A12" s="52" t="s">
        <v>971</v>
      </c>
      <c r="B12" s="58"/>
      <c r="D12" s="59"/>
      <c r="G12" s="52">
        <v>13000</v>
      </c>
      <c r="H12" s="52">
        <v>13677.73</v>
      </c>
      <c r="I12" s="52">
        <v>0</v>
      </c>
    </row>
    <row r="13" spans="1:9" ht="17.25" customHeight="1">
      <c r="B13" s="58"/>
      <c r="D13" s="59"/>
    </row>
    <row r="14" spans="1:9" ht="17.25" customHeight="1" thickBot="1">
      <c r="B14" s="58"/>
      <c r="D14" s="59"/>
      <c r="G14" s="424">
        <f>SUM(G9:G12)</f>
        <v>148184.61538461538</v>
      </c>
      <c r="H14" s="424">
        <f>SUM(H9:H12)</f>
        <v>146739.12000000002</v>
      </c>
      <c r="I14" s="424">
        <f>SUM(I9:I12)</f>
        <v>13957.692307692309</v>
      </c>
    </row>
    <row r="15" spans="1:9" ht="15" customHeight="1" thickTop="1">
      <c r="A15" s="58"/>
      <c r="B15" s="62"/>
    </row>
    <row r="16" spans="1:9" ht="15" customHeight="1">
      <c r="A16" s="58"/>
      <c r="B16" s="62"/>
      <c r="F16" s="55" t="s">
        <v>33</v>
      </c>
      <c r="H16" s="61" t="s">
        <v>34</v>
      </c>
    </row>
    <row r="17" spans="1:9" ht="15" customHeight="1">
      <c r="A17" s="58"/>
      <c r="B17" s="62"/>
      <c r="F17" s="55" t="s">
        <v>35</v>
      </c>
      <c r="G17" s="52" t="s">
        <v>36</v>
      </c>
      <c r="H17" s="63" t="s">
        <v>37</v>
      </c>
      <c r="I17" s="52" t="s">
        <v>38</v>
      </c>
    </row>
    <row r="18" spans="1:9" ht="15.95" customHeight="1">
      <c r="A18" s="58" t="s">
        <v>260</v>
      </c>
      <c r="B18" s="62"/>
      <c r="F18" s="55">
        <f>Jan!G11+Feb!G12+Mar!G12+Apr!G12+May!G12+Jun!G12+July!G12+Aug!G12+Sep!G12+Oct!G12+Nov!G12+Dec!G12</f>
        <v>750</v>
      </c>
      <c r="G18" s="52">
        <f>I18*12</f>
        <v>14400</v>
      </c>
      <c r="H18" s="64">
        <f>G18-F18</f>
        <v>13650</v>
      </c>
      <c r="I18" s="52">
        <v>1200</v>
      </c>
    </row>
    <row r="19" spans="1:9" ht="15.95" customHeight="1">
      <c r="A19" s="58"/>
      <c r="B19" s="62"/>
      <c r="F19" s="55"/>
      <c r="H19" s="64"/>
    </row>
    <row r="20" spans="1:9" ht="15.95" customHeight="1">
      <c r="A20" s="58" t="s">
        <v>232</v>
      </c>
      <c r="B20" s="62"/>
      <c r="F20" s="55">
        <f>Jan!G14+Feb!G14+Mar!G14+Apr!G14+May!G14+Jun!G14+July!G14+Aug!G14+Sep!G14+Oct!G14+Nov!G14+Dec!G14</f>
        <v>5073.42</v>
      </c>
      <c r="G20" s="52">
        <f t="shared" ref="G20:G27" si="0">I20*12</f>
        <v>9600</v>
      </c>
      <c r="H20" s="64">
        <f t="shared" ref="H20:H27" si="1">G20-F20</f>
        <v>4526.58</v>
      </c>
      <c r="I20" s="52">
        <v>800</v>
      </c>
    </row>
    <row r="21" spans="1:9" ht="15.95" customHeight="1">
      <c r="A21" s="58" t="s">
        <v>261</v>
      </c>
      <c r="B21" s="62"/>
      <c r="F21" s="55">
        <f>Jan!G15+Feb!G15+Mar!G15+Apr!G15+May!G15+Jun!G15+July!G15+Aug!G15+Sep!G15+Oct!G15+Nov!G15+Dec!G15</f>
        <v>0</v>
      </c>
      <c r="G21" s="52">
        <f t="shared" si="0"/>
        <v>2400</v>
      </c>
      <c r="H21" s="64">
        <f t="shared" si="1"/>
        <v>2400</v>
      </c>
      <c r="I21" s="52">
        <v>200</v>
      </c>
    </row>
    <row r="22" spans="1:9" ht="15.95" customHeight="1">
      <c r="A22" s="58" t="s">
        <v>290</v>
      </c>
      <c r="B22" s="62"/>
      <c r="F22" s="55">
        <f>Jan!G16+Feb!G16+Mar!G16+Apr!G16+May!G16+Jun!G16+July!G16+Aug!G16+Sep!G16+Oct!G16+Nov!G16+Dec!G16</f>
        <v>0</v>
      </c>
      <c r="G22" s="52">
        <f t="shared" si="0"/>
        <v>3600</v>
      </c>
      <c r="H22" s="64">
        <f t="shared" si="1"/>
        <v>3600</v>
      </c>
      <c r="I22" s="52">
        <v>300</v>
      </c>
    </row>
    <row r="23" spans="1:9" ht="15.95" customHeight="1">
      <c r="A23" s="58" t="s">
        <v>464</v>
      </c>
      <c r="B23" s="62"/>
      <c r="F23" s="55">
        <f>Jan!G17+Feb!G17+Mar!G17+Apr!G17+May!G17+Jun!G17+July!G17+Aug!G17+Sep!G17+Oct!G17+Nov!G17+Dec!G17</f>
        <v>0</v>
      </c>
      <c r="G23" s="52">
        <f t="shared" si="0"/>
        <v>2400</v>
      </c>
      <c r="H23" s="64">
        <f t="shared" si="1"/>
        <v>2400</v>
      </c>
      <c r="I23" s="52">
        <v>200</v>
      </c>
    </row>
    <row r="24" spans="1:9" ht="15.95" customHeight="1">
      <c r="A24" s="58" t="s">
        <v>263</v>
      </c>
      <c r="B24" s="62"/>
      <c r="F24" s="55">
        <f>Jan!G18+Feb!G18+Mar!G18+Apr!G18+May!G18+Jun!G18+July!G18+Aug!G18+Sep!G18+Oct!G18+Nov!G18+Dec!G18</f>
        <v>0</v>
      </c>
      <c r="G24" s="52">
        <f t="shared" si="0"/>
        <v>600</v>
      </c>
      <c r="H24" s="64">
        <f t="shared" si="1"/>
        <v>600</v>
      </c>
      <c r="I24" s="52">
        <v>50</v>
      </c>
    </row>
    <row r="25" spans="1:9" ht="15.95" customHeight="1">
      <c r="A25" s="58" t="s">
        <v>262</v>
      </c>
      <c r="F25" s="55">
        <f>Jan!G19+Feb!G19+Mar!G19+Apr!G19+May!G19+Jun!G19+July!G19+Aug!G19+Sep!G19+Oct!G19+Nov!G19+Dec!G19</f>
        <v>0</v>
      </c>
      <c r="G25" s="52">
        <f t="shared" si="0"/>
        <v>2400</v>
      </c>
      <c r="H25" s="64">
        <f t="shared" si="1"/>
        <v>2400</v>
      </c>
      <c r="I25" s="52">
        <v>200</v>
      </c>
    </row>
    <row r="26" spans="1:9" ht="15.95" customHeight="1">
      <c r="A26" s="58" t="s">
        <v>291</v>
      </c>
      <c r="B26" s="62"/>
      <c r="F26" s="55">
        <f>Jan!G20+Feb!G20+Mar!G20+Apr!G20+May!G20+Jun!G20+July!G20+Aug!G20+Sep!G20+Oct!G20+Nov!G20+Dec!G20</f>
        <v>0</v>
      </c>
      <c r="G26" s="52">
        <f t="shared" si="0"/>
        <v>3600</v>
      </c>
      <c r="H26" s="64">
        <f t="shared" si="1"/>
        <v>3600</v>
      </c>
      <c r="I26" s="52">
        <v>300</v>
      </c>
    </row>
    <row r="27" spans="1:9" ht="15.95" customHeight="1">
      <c r="A27" s="58" t="s">
        <v>264</v>
      </c>
      <c r="B27" s="62"/>
      <c r="F27" s="55">
        <f>Jan!G22+Feb!G22+Mar!G22+Apr!G22+May!G22+Jun!G22+July!G22+Aug!G22+Sep!G22+Oct!G22+Nov!G22+Dec!G22</f>
        <v>86900</v>
      </c>
      <c r="G27" s="52">
        <f t="shared" si="0"/>
        <v>8400</v>
      </c>
      <c r="H27" s="64">
        <f t="shared" si="1"/>
        <v>-78500</v>
      </c>
      <c r="I27" s="52">
        <v>700</v>
      </c>
    </row>
    <row r="28" spans="1:9" ht="15.95" customHeight="1">
      <c r="A28" s="58"/>
      <c r="B28" s="62"/>
      <c r="F28" s="55"/>
      <c r="H28" s="64"/>
    </row>
    <row r="29" spans="1:9" ht="15.95" customHeight="1">
      <c r="A29" s="58" t="s">
        <v>255</v>
      </c>
      <c r="B29" s="62"/>
      <c r="F29" s="55">
        <f>Jan!G25+Feb!G25+Mar!G25+Apr!G25+May!G25+Jun!G25+July!G25+Aug!G25+Sep!G25+Oct!G25+Nov!G25+Dec!G25</f>
        <v>0</v>
      </c>
      <c r="G29" s="52">
        <f>I29*12</f>
        <v>6000</v>
      </c>
      <c r="H29" s="61">
        <f>G29-F29</f>
        <v>6000</v>
      </c>
      <c r="I29" s="52">
        <v>500</v>
      </c>
    </row>
    <row r="30" spans="1:9" ht="12.75" customHeight="1">
      <c r="A30" s="58" t="s">
        <v>265</v>
      </c>
      <c r="B30" s="58">
        <f>F30</f>
        <v>0</v>
      </c>
      <c r="F30" s="55">
        <f>Jan!G26+Feb!G26+Mar!G26+Apr!G26+May!G26+Jun!G26+July!G26+Aug!G26+Sep!G26+Oct!G26+Nov!G26+Dec!G26</f>
        <v>0</v>
      </c>
      <c r="G30" s="52">
        <f>I30*12</f>
        <v>3600</v>
      </c>
      <c r="H30" s="61">
        <f>G30-F30</f>
        <v>3600</v>
      </c>
      <c r="I30" s="52">
        <v>300</v>
      </c>
    </row>
    <row r="31" spans="1:9" ht="12.75" customHeight="1">
      <c r="A31" s="58"/>
      <c r="B31" s="58"/>
      <c r="F31" s="66"/>
      <c r="G31" s="66"/>
      <c r="H31" s="68"/>
      <c r="I31" s="66"/>
    </row>
    <row r="32" spans="1:9" ht="12.75" customHeight="1" thickBot="1">
      <c r="A32" s="58"/>
      <c r="B32" s="58"/>
      <c r="F32" s="67">
        <f>SUM(F18:F30)</f>
        <v>92723.42</v>
      </c>
      <c r="G32" s="67">
        <f>SUM(G18:G30)</f>
        <v>57000</v>
      </c>
      <c r="H32" s="67">
        <f>SUM(H18:H30)</f>
        <v>-35723.42</v>
      </c>
      <c r="I32" s="67">
        <f>SUM(I18:I30)</f>
        <v>4750</v>
      </c>
    </row>
    <row r="33" spans="1:14" ht="12.75" customHeight="1" thickTop="1">
      <c r="A33" s="58" t="s">
        <v>479</v>
      </c>
      <c r="B33" s="268">
        <f>G14-G32-H36</f>
        <v>-77415.384615384624</v>
      </c>
      <c r="H33" s="61"/>
      <c r="L33" s="52">
        <v>2014</v>
      </c>
      <c r="M33" s="52" t="s">
        <v>1310</v>
      </c>
      <c r="N33" s="52">
        <v>2012</v>
      </c>
    </row>
    <row r="34" spans="1:14" ht="12.75" customHeight="1">
      <c r="A34" s="57" t="s">
        <v>32</v>
      </c>
      <c r="B34" s="58"/>
      <c r="G34" s="52">
        <f>Jan!G46+Feb!G46+Mar!G46+Apr!G46+May!G46+Jun!G46+July!G46+Aug!G46+Sep!G46+Oct!G46+Nov!G46+Dec!G46</f>
        <v>525965.24999999988</v>
      </c>
      <c r="H34" s="61"/>
    </row>
    <row r="35" spans="1:14" ht="12.75" customHeight="1">
      <c r="B35" s="52" t="s">
        <v>645</v>
      </c>
      <c r="C35" s="52" t="s">
        <v>646</v>
      </c>
      <c r="D35" s="344" t="s">
        <v>647</v>
      </c>
      <c r="G35" s="52" t="s">
        <v>561</v>
      </c>
      <c r="H35" s="52" t="s">
        <v>281</v>
      </c>
      <c r="I35" s="61"/>
      <c r="J35" s="52" t="s">
        <v>562</v>
      </c>
    </row>
    <row r="36" spans="1:14" ht="12.75" customHeight="1" thickBot="1">
      <c r="B36" s="52">
        <f>B37+B66+B145</f>
        <v>525762.22</v>
      </c>
      <c r="C36" s="52">
        <f>C37+C66+C145</f>
        <v>168600</v>
      </c>
      <c r="D36" s="52">
        <f>D37+D66+D145</f>
        <v>-357162.22</v>
      </c>
      <c r="G36" s="60">
        <f>SUM(G39:G160)</f>
        <v>525762.22</v>
      </c>
      <c r="H36" s="60">
        <f>SUM(H39:H160)</f>
        <v>168600</v>
      </c>
      <c r="I36" s="60">
        <f>SUM(I39:I160)</f>
        <v>-357162.22</v>
      </c>
      <c r="J36" s="60">
        <f>SUM(J39:J160)</f>
        <v>14050</v>
      </c>
      <c r="L36" s="52">
        <v>72165.460000000036</v>
      </c>
      <c r="M36" s="52">
        <v>68626.840000000026</v>
      </c>
      <c r="N36" s="52">
        <v>42001.119999999995</v>
      </c>
    </row>
    <row r="37" spans="1:14" ht="12.75" customHeight="1" thickBot="1">
      <c r="A37" s="99" t="s">
        <v>434</v>
      </c>
      <c r="B37" s="367">
        <f>B38+B51+B55+B59+G64</f>
        <v>21222.81</v>
      </c>
      <c r="C37" s="367">
        <f>C38+C51+C55+C59+H64</f>
        <v>16128</v>
      </c>
      <c r="D37" s="366">
        <f>D38+D51+D55+D59+I64</f>
        <v>-5094.8100000000004</v>
      </c>
      <c r="I37" s="61"/>
    </row>
    <row r="38" spans="1:14" ht="12.75" customHeight="1">
      <c r="A38" s="58" t="s">
        <v>419</v>
      </c>
      <c r="B38" s="58">
        <f>SUM(G39:G47)</f>
        <v>18817.07</v>
      </c>
      <c r="C38" s="58">
        <f>SUM(H39:H47)</f>
        <v>10368</v>
      </c>
      <c r="D38" s="58">
        <f>SUM(I39:I47)</f>
        <v>-8449.07</v>
      </c>
      <c r="I38" s="61"/>
    </row>
    <row r="39" spans="1:14" ht="12.75" customHeight="1">
      <c r="B39" s="52" t="s">
        <v>327</v>
      </c>
      <c r="G39" s="52">
        <f>Jan!G49+Feb!G49+Mar!G49+Apr!G49+May!G49+Jun!G49+July!G49+Aug!G49+Sep!G49+Oct!G49+Nov!G49+Dec!G49</f>
        <v>0</v>
      </c>
      <c r="H39" s="52">
        <f t="shared" ref="H39:H47" si="2">J39*12</f>
        <v>0</v>
      </c>
      <c r="I39" s="61">
        <f>H39-G39</f>
        <v>0</v>
      </c>
      <c r="J39" s="52">
        <v>0</v>
      </c>
      <c r="L39" s="52">
        <v>0</v>
      </c>
      <c r="M39" s="52">
        <v>2426.06</v>
      </c>
    </row>
    <row r="40" spans="1:14" ht="12.75" customHeight="1">
      <c r="A40" s="58"/>
      <c r="B40" s="52" t="s">
        <v>421</v>
      </c>
      <c r="G40" s="52">
        <f>Jan!G50+Feb!G50+Mar!G50+Apr!G50+May!G50+Jun!G50+July!G50+Aug!G50+Sep!G50+Oct!G50+Nov!G50+Dec!G50</f>
        <v>1509.63</v>
      </c>
      <c r="H40" s="52">
        <f t="shared" si="2"/>
        <v>1200</v>
      </c>
      <c r="I40" s="61">
        <f t="shared" ref="I40:I46" si="3">H40-G40</f>
        <v>-309.63000000000011</v>
      </c>
      <c r="J40" s="52">
        <v>100</v>
      </c>
      <c r="L40" s="52">
        <v>0</v>
      </c>
      <c r="M40" s="52">
        <v>15161.570000000002</v>
      </c>
    </row>
    <row r="41" spans="1:14" ht="12.75" customHeight="1">
      <c r="A41" s="58"/>
      <c r="B41" s="52" t="s">
        <v>422</v>
      </c>
      <c r="G41" s="52">
        <f>Jan!G51+Feb!G51+Mar!G51+Apr!G51+May!G51+Jun!G51+July!G51+Aug!G51+Sep!G51+Oct!G51+Nov!G51+Dec!G51</f>
        <v>1325</v>
      </c>
      <c r="H41" s="52">
        <f t="shared" si="2"/>
        <v>1200</v>
      </c>
      <c r="I41" s="61">
        <f t="shared" si="3"/>
        <v>-125</v>
      </c>
      <c r="J41" s="52">
        <v>100</v>
      </c>
      <c r="L41" s="52">
        <v>9.64</v>
      </c>
      <c r="M41" s="52">
        <v>5165.3999999999996</v>
      </c>
    </row>
    <row r="42" spans="1:14" ht="12.75" customHeight="1">
      <c r="A42" s="58"/>
      <c r="B42" s="52" t="s">
        <v>420</v>
      </c>
      <c r="G42" s="52">
        <f>Jan!G52+Feb!G52+Mar!G52+Apr!G52+May!G52+Jun!G52+July!G52+Aug!G52+Sep!G52+Oct!G52+Nov!G52+Dec!G52</f>
        <v>0</v>
      </c>
      <c r="H42" s="52">
        <f t="shared" si="2"/>
        <v>1200</v>
      </c>
      <c r="I42" s="61">
        <f t="shared" si="3"/>
        <v>1200</v>
      </c>
      <c r="J42" s="52">
        <v>100</v>
      </c>
      <c r="L42" s="52">
        <v>0</v>
      </c>
    </row>
    <row r="43" spans="1:14" ht="12.75" customHeight="1">
      <c r="A43" s="58"/>
      <c r="B43" s="52" t="s">
        <v>804</v>
      </c>
      <c r="G43" s="52">
        <f>Jan!G53+Feb!G53+Mar!G53+Apr!G53+May!G53+Jun!G53+July!G53+Aug!G53+Sep!G53+Oct!G53+Nov!G53+Dec!G53</f>
        <v>8170.84</v>
      </c>
      <c r="H43" s="52">
        <f t="shared" si="2"/>
        <v>6768</v>
      </c>
      <c r="I43" s="61">
        <f t="shared" si="3"/>
        <v>-1402.8400000000001</v>
      </c>
      <c r="J43" s="52">
        <v>564</v>
      </c>
      <c r="L43" s="52">
        <v>6647.52</v>
      </c>
    </row>
    <row r="44" spans="1:14" ht="12.75" customHeight="1">
      <c r="A44" s="58"/>
      <c r="B44" s="52" t="s">
        <v>429</v>
      </c>
      <c r="G44" s="52">
        <f>Jan!G54+Feb!G54+Mar!G54+Apr!G54+May!G54+Jun!G54+July!G54+Aug!G54+Sep!G54+Oct!G54+Nov!G54+Dec!G54</f>
        <v>628</v>
      </c>
      <c r="H44" s="52">
        <f t="shared" si="2"/>
        <v>720</v>
      </c>
      <c r="I44" s="61">
        <f t="shared" si="3"/>
        <v>92</v>
      </c>
      <c r="J44" s="52">
        <v>60</v>
      </c>
      <c r="L44" s="52">
        <v>680</v>
      </c>
    </row>
    <row r="45" spans="1:14" ht="12.75" customHeight="1">
      <c r="A45" s="58"/>
      <c r="B45" s="52" t="s">
        <v>328</v>
      </c>
      <c r="G45" s="52">
        <f>Jan!G55+Feb!G55+Mar!G55+Apr!G55+May!G55+Jun!G55+July!G55+Aug!G55+Sep!G55+Oct!G55+Nov!G55+Dec!G55</f>
        <v>29870.04</v>
      </c>
      <c r="H45" s="52">
        <f t="shared" si="2"/>
        <v>20249.88</v>
      </c>
      <c r="I45" s="61">
        <f t="shared" si="3"/>
        <v>-9620.16</v>
      </c>
      <c r="J45" s="52">
        <f>1636.68+50.81</f>
        <v>1687.49</v>
      </c>
      <c r="L45" s="52">
        <v>20303.160000000003</v>
      </c>
      <c r="M45" s="52">
        <v>13144.250000000002</v>
      </c>
    </row>
    <row r="46" spans="1:14" ht="12.75" customHeight="1">
      <c r="A46" s="58"/>
      <c r="B46" s="52" t="s">
        <v>384</v>
      </c>
      <c r="G46" s="52">
        <f>Jan!G56+Feb!G56+Mar!G56+Apr!G56+May!G56+Jun!G56+July!G56+Aug!G56+Sep!G56+Oct!G56+Nov!G56+Dec!G56</f>
        <v>4673.5599999999995</v>
      </c>
      <c r="H46" s="52">
        <f t="shared" si="2"/>
        <v>3750.12</v>
      </c>
      <c r="I46" s="61">
        <f t="shared" si="3"/>
        <v>-923.4399999999996</v>
      </c>
      <c r="J46" s="52">
        <v>312.51</v>
      </c>
      <c r="L46" s="52">
        <v>3696.8399999999992</v>
      </c>
      <c r="M46" s="52">
        <v>2500.08</v>
      </c>
    </row>
    <row r="47" spans="1:14" ht="12.75" customHeight="1">
      <c r="A47" s="58"/>
      <c r="B47" s="52" t="s">
        <v>350</v>
      </c>
      <c r="G47" s="52">
        <f>Jan!G57+Feb!G57+Mar!G57+Apr!G57+May!G57+Jun!G57+July!G57+Aug!G57+Sep!G57+Oct!G57+Nov!G57+Dec!G57</f>
        <v>-27360</v>
      </c>
      <c r="H47" s="52">
        <f t="shared" si="2"/>
        <v>-24720</v>
      </c>
      <c r="I47" s="61">
        <f>H47-G47</f>
        <v>2640</v>
      </c>
      <c r="J47" s="52">
        <v>-2060</v>
      </c>
      <c r="L47" s="52">
        <v>-24360</v>
      </c>
      <c r="M47" s="52">
        <v>-11000</v>
      </c>
    </row>
    <row r="48" spans="1:14" ht="12.75" customHeight="1">
      <c r="I48" s="61"/>
    </row>
    <row r="49" spans="1:14" ht="12.75" customHeight="1">
      <c r="I49" s="61"/>
    </row>
    <row r="50" spans="1:14" ht="12.75" customHeight="1">
      <c r="A50" s="58" t="s">
        <v>427</v>
      </c>
      <c r="I50" s="61"/>
    </row>
    <row r="51" spans="1:14" ht="12.75" customHeight="1">
      <c r="A51" s="58"/>
      <c r="B51" s="58">
        <f>SUM(G52:G53)</f>
        <v>1601.3000000000002</v>
      </c>
      <c r="C51" s="58">
        <f>SUM(H52:H53)</f>
        <v>2040</v>
      </c>
      <c r="D51" s="58">
        <f>C51-B51</f>
        <v>438.69999999999982</v>
      </c>
      <c r="I51" s="61"/>
    </row>
    <row r="52" spans="1:14" ht="12.75" customHeight="1">
      <c r="A52" s="58"/>
      <c r="B52" s="52" t="s">
        <v>431</v>
      </c>
      <c r="G52" s="52">
        <f>Jan!G62+Feb!G62+Mar!G62+Apr!G62+May!G62+Jun!G62+July!G62+Aug!G62+Sep!G62+Oct!G62+Nov!G62+Dec!G62</f>
        <v>499.80000000000007</v>
      </c>
      <c r="H52" s="52">
        <f>J52*12</f>
        <v>840</v>
      </c>
      <c r="I52" s="61">
        <f>H52-G52</f>
        <v>340.19999999999993</v>
      </c>
      <c r="J52" s="52">
        <v>70</v>
      </c>
      <c r="L52" s="52">
        <v>825.85999999999979</v>
      </c>
      <c r="M52" s="52">
        <v>791.69000000000028</v>
      </c>
      <c r="N52" s="52">
        <v>702.20000000000016</v>
      </c>
    </row>
    <row r="53" spans="1:14" ht="12.75" customHeight="1">
      <c r="A53" s="58"/>
      <c r="B53" s="52" t="s">
        <v>432</v>
      </c>
      <c r="D53" s="65"/>
      <c r="G53" s="52">
        <f>Jan!G63+Feb!G63+Mar!G63+Apr!G63+May!G63+Jun!G63+July!G63+Aug!G63+Sep!G63+Oct!G63+Nov!G63+Dec!G63</f>
        <v>1101.5</v>
      </c>
      <c r="H53" s="52">
        <f>J53*12</f>
        <v>1200</v>
      </c>
      <c r="I53" s="61">
        <f>H53-G53</f>
        <v>98.5</v>
      </c>
      <c r="J53" s="52">
        <v>100</v>
      </c>
      <c r="L53" s="52">
        <v>1167.06</v>
      </c>
      <c r="M53" s="52">
        <v>881.24000000000012</v>
      </c>
      <c r="N53" s="52">
        <v>966.77</v>
      </c>
    </row>
    <row r="54" spans="1:14" ht="12.75" customHeight="1">
      <c r="A54" s="58"/>
      <c r="I54" s="61"/>
    </row>
    <row r="55" spans="1:14" ht="12.75" customHeight="1">
      <c r="A55" s="58" t="s">
        <v>428</v>
      </c>
      <c r="B55" s="58">
        <f>SUM(G56:G57)</f>
        <v>-500.68999999999983</v>
      </c>
      <c r="C55" s="58">
        <f>SUM(H56:H57)</f>
        <v>2400</v>
      </c>
      <c r="D55" s="58">
        <f>C55-B55</f>
        <v>2900.6899999999996</v>
      </c>
      <c r="I55" s="61"/>
    </row>
    <row r="56" spans="1:14" ht="12.75" customHeight="1">
      <c r="B56" s="52" t="s">
        <v>55</v>
      </c>
      <c r="G56" s="52">
        <f>Jan!G66+Feb!G66+Mar!G66+Apr!G66+May!G66+Jun!G66+July!G66+Aug!G66+Sep!G66+Oct!G66+Nov!G66+Dec!G66</f>
        <v>-1202.4499999999998</v>
      </c>
      <c r="H56" s="52">
        <f>J56*12</f>
        <v>720</v>
      </c>
      <c r="I56" s="61">
        <f>H56-G56</f>
        <v>1922.4499999999998</v>
      </c>
      <c r="J56" s="52">
        <v>60</v>
      </c>
      <c r="L56" s="52">
        <v>593.53999999999985</v>
      </c>
      <c r="M56" s="52">
        <v>686.0200000000001</v>
      </c>
      <c r="N56" s="52">
        <v>643.19000000000005</v>
      </c>
    </row>
    <row r="57" spans="1:14" ht="12.75" customHeight="1">
      <c r="B57" s="52" t="s">
        <v>56</v>
      </c>
      <c r="D57" s="52" t="s">
        <v>57</v>
      </c>
      <c r="G57" s="52">
        <f>Jan!G67+Feb!G67+Mar!G67+Apr!G67+May!G67+Jun!G67+July!G67+Aug!G67+Sep!G67+Oct!G67+Nov!G67+Dec!G67</f>
        <v>701.76</v>
      </c>
      <c r="H57" s="52">
        <f>J57*12</f>
        <v>1680</v>
      </c>
      <c r="I57" s="61">
        <f>H57-G57</f>
        <v>978.24</v>
      </c>
      <c r="J57" s="52">
        <v>140</v>
      </c>
      <c r="L57" s="52">
        <v>1595.01</v>
      </c>
      <c r="M57" s="52">
        <v>1474.65</v>
      </c>
      <c r="N57" s="52">
        <v>1518.64</v>
      </c>
    </row>
    <row r="58" spans="1:14" ht="12.75" customHeight="1">
      <c r="I58" s="61"/>
    </row>
    <row r="59" spans="1:14" ht="12.75" customHeight="1">
      <c r="A59" s="58" t="s">
        <v>423</v>
      </c>
      <c r="B59" s="58">
        <f>SUM(G60:G62)</f>
        <v>398.07000000000005</v>
      </c>
      <c r="C59" s="58">
        <f>SUM(H60:H62)</f>
        <v>900</v>
      </c>
      <c r="D59" s="58">
        <f>C59-B59</f>
        <v>501.92999999999995</v>
      </c>
      <c r="I59" s="61"/>
    </row>
    <row r="60" spans="1:14" ht="12.75" customHeight="1">
      <c r="B60" s="52" t="s">
        <v>424</v>
      </c>
      <c r="G60" s="52">
        <f>Jan!G70+Feb!G70+Mar!G70+Apr!G70+May!G70+Jun!G70+July!G70+Aug!G70+Sep!G70+Oct!G70+Nov!G70+Dec!G70</f>
        <v>107.67000000000002</v>
      </c>
      <c r="H60" s="52">
        <f>J60*12</f>
        <v>300</v>
      </c>
      <c r="I60" s="61">
        <f>H60-G60</f>
        <v>192.32999999999998</v>
      </c>
      <c r="J60" s="52">
        <v>25</v>
      </c>
      <c r="L60" s="52">
        <v>264.10000000000002</v>
      </c>
      <c r="M60" s="52">
        <v>242.58</v>
      </c>
      <c r="N60" s="52">
        <v>206.46</v>
      </c>
    </row>
    <row r="61" spans="1:14" ht="12.75" customHeight="1">
      <c r="A61" s="58"/>
      <c r="B61" s="52" t="s">
        <v>425</v>
      </c>
      <c r="E61" s="52" t="s">
        <v>682</v>
      </c>
      <c r="G61" s="52">
        <f>Jan!G71+Feb!G71+Mar!G71+Apr!G71+May!G71+Jun!G71+July!G71+Aug!G71+Sep!G71+Oct!G71+Nov!G71+Dec!G71</f>
        <v>109.49</v>
      </c>
      <c r="H61" s="52">
        <f>J61*12</f>
        <v>360</v>
      </c>
      <c r="I61" s="61">
        <f>H61-G61</f>
        <v>250.51</v>
      </c>
      <c r="J61" s="52">
        <v>30</v>
      </c>
      <c r="L61" s="52">
        <v>1439.84</v>
      </c>
      <c r="M61" s="52">
        <v>337.26000000000005</v>
      </c>
      <c r="N61" s="52">
        <v>864.1400000000001</v>
      </c>
    </row>
    <row r="62" spans="1:14" ht="12.75" customHeight="1">
      <c r="A62" s="58"/>
      <c r="B62" s="52" t="s">
        <v>430</v>
      </c>
      <c r="G62" s="52">
        <f>Jan!G72+Feb!G72+Mar!G72+Apr!G72+May!G72+Jun!G72+July!G72+Aug!G72+Sep!G72+Oct!G72+Nov!G72+Dec!G72</f>
        <v>180.91</v>
      </c>
      <c r="H62" s="52">
        <f>J62*12</f>
        <v>240</v>
      </c>
      <c r="I62" s="61">
        <f>H62-G62</f>
        <v>59.09</v>
      </c>
      <c r="J62" s="52">
        <v>20</v>
      </c>
      <c r="L62" s="52">
        <v>157.54</v>
      </c>
      <c r="M62" s="52">
        <v>237.78</v>
      </c>
      <c r="N62" s="52">
        <v>165.09000000000003</v>
      </c>
    </row>
    <row r="63" spans="1:14" ht="12.75" customHeight="1">
      <c r="A63" s="58"/>
      <c r="I63" s="61"/>
    </row>
    <row r="64" spans="1:14" ht="12.75" customHeight="1">
      <c r="A64" s="58" t="s">
        <v>426</v>
      </c>
      <c r="B64" s="52" t="s">
        <v>58</v>
      </c>
      <c r="G64" s="52">
        <f>Jan!G74+Feb!G74+Mar!G74+Apr!G74+May!G74+Jun!G74+July!G74+Aug!G74+Sep!G74+Oct!G74+Nov!G74+Dec!G74</f>
        <v>907.06000000000006</v>
      </c>
      <c r="H64" s="52">
        <f>J64*12</f>
        <v>420</v>
      </c>
      <c r="I64" s="61">
        <f>H64-G64</f>
        <v>-487.06000000000006</v>
      </c>
      <c r="J64" s="52">
        <v>35</v>
      </c>
      <c r="L64" s="52">
        <v>245.68999999999997</v>
      </c>
      <c r="M64" s="52">
        <v>418.22</v>
      </c>
      <c r="N64" s="52">
        <v>611.22</v>
      </c>
    </row>
    <row r="65" spans="1:12" ht="12.75" customHeight="1" thickBot="1">
      <c r="A65" s="58"/>
      <c r="I65" s="61"/>
    </row>
    <row r="66" spans="1:12" ht="12.75" customHeight="1" thickBot="1">
      <c r="A66" s="99" t="s">
        <v>433</v>
      </c>
      <c r="B66" s="366">
        <f>B68+B80+B86+B91+B100+B105+B110+B115+B128+B131+B136+B139</f>
        <v>501497.01999999996</v>
      </c>
      <c r="C66" s="366">
        <f>C68+C80+C86+C91+C100+C105+C110+C115+C128+C131+C136+C139</f>
        <v>145152</v>
      </c>
      <c r="D66" s="366">
        <f>D68+D80+D86+D91+D100+D105+D110+D115+D128+D131+D136+D139</f>
        <v>-356345.01999999996</v>
      </c>
      <c r="I66" s="61"/>
    </row>
    <row r="67" spans="1:12" ht="12.75" customHeight="1">
      <c r="A67" s="99"/>
      <c r="B67" s="381"/>
      <c r="C67" s="381"/>
      <c r="D67" s="381"/>
      <c r="I67" s="61"/>
    </row>
    <row r="68" spans="1:12" ht="12.75" customHeight="1">
      <c r="A68" s="58" t="s">
        <v>715</v>
      </c>
      <c r="B68" s="58">
        <f>SUM(G69:G78)</f>
        <v>469482.88999999996</v>
      </c>
      <c r="C68" s="58">
        <f>SUM(H69:H78)</f>
        <v>106620</v>
      </c>
      <c r="D68" s="58">
        <f>C68-B68</f>
        <v>-362862.88999999996</v>
      </c>
      <c r="I68" s="61"/>
    </row>
    <row r="69" spans="1:12" ht="12.75" customHeight="1">
      <c r="A69" s="58"/>
      <c r="B69" s="52" t="s">
        <v>798</v>
      </c>
      <c r="G69" s="52">
        <f>Jan!G79+Feb!G79+Mar!G79+Apr!G79+May!G79+Jun!G79+July!G79+Aug!G79+Sep!G79+Oct!G79+Nov!G79+Dec!G79</f>
        <v>27081.089999999997</v>
      </c>
      <c r="H69" s="52">
        <f>J69*12</f>
        <v>30000</v>
      </c>
      <c r="I69" s="61">
        <f t="shared" ref="I69:I78" si="4">H69-G69</f>
        <v>2918.9100000000035</v>
      </c>
      <c r="J69" s="52">
        <v>2500</v>
      </c>
      <c r="L69" s="52">
        <v>4945.42</v>
      </c>
    </row>
    <row r="70" spans="1:12" ht="12.75" customHeight="1">
      <c r="A70" s="465" t="s">
        <v>1312</v>
      </c>
      <c r="B70" s="52" t="s">
        <v>801</v>
      </c>
      <c r="G70" s="52">
        <f>Jan!G80+Feb!G80+Mar!G80+Apr!G80+May!G80+Jun!G80+July!G80+Aug!G80+Sep!G80+Oct!G80+Nov!G80+Dec!G80</f>
        <v>322980.62</v>
      </c>
      <c r="H70" s="52">
        <f t="shared" ref="H70:H78" si="5">J70*12</f>
        <v>0</v>
      </c>
      <c r="I70" s="61">
        <f t="shared" si="4"/>
        <v>-322980.62</v>
      </c>
      <c r="J70" s="52">
        <v>0</v>
      </c>
      <c r="L70" s="52">
        <v>16300.760000000002</v>
      </c>
    </row>
    <row r="71" spans="1:12" ht="12.75" customHeight="1">
      <c r="A71" s="58"/>
      <c r="B71" s="54" t="s">
        <v>421</v>
      </c>
      <c r="C71" s="54"/>
      <c r="G71" s="52">
        <f>Jan!G81+Feb!G81+Mar!G81+Apr!G81+May!G81+Jun!G81+July!G81+Aug!G81+Sep!G81+Oct!G81+Nov!G81+Dec!G81</f>
        <v>103702.45000000003</v>
      </c>
      <c r="H71" s="52">
        <f t="shared" si="5"/>
        <v>60000</v>
      </c>
      <c r="I71" s="61">
        <f t="shared" si="4"/>
        <v>-43702.450000000026</v>
      </c>
      <c r="J71" s="52">
        <v>5000</v>
      </c>
      <c r="L71" s="52">
        <v>3080.19</v>
      </c>
    </row>
    <row r="72" spans="1:12" ht="12.75" customHeight="1">
      <c r="A72" s="58"/>
      <c r="B72" s="52" t="s">
        <v>888</v>
      </c>
      <c r="C72" s="54"/>
      <c r="G72" s="52">
        <f>Jan!G82+Feb!G82+Mar!G82+Apr!G82+May!G82+Jun!G82+July!G82+Aug!G82+Sep!G82+Oct!G82+Nov!G82+Dec!G82</f>
        <v>11622.75</v>
      </c>
      <c r="H72" s="52">
        <f t="shared" si="5"/>
        <v>12000</v>
      </c>
      <c r="I72" s="61">
        <f t="shared" si="4"/>
        <v>377.25</v>
      </c>
      <c r="J72" s="52">
        <v>1000</v>
      </c>
    </row>
    <row r="73" spans="1:12" ht="12.75" customHeight="1">
      <c r="A73" s="58"/>
      <c r="B73" s="52" t="s">
        <v>889</v>
      </c>
      <c r="C73" s="54"/>
      <c r="G73" s="52">
        <f>Jan!G83+Feb!G83+Mar!G83+Apr!G83+May!G83+Jun!G83+July!G83+Aug!G83+Sep!G83+Oct!G83+Nov!G83+Dec!G83</f>
        <v>517.24</v>
      </c>
      <c r="H73" s="52">
        <f t="shared" si="5"/>
        <v>600</v>
      </c>
      <c r="I73" s="61">
        <f t="shared" si="4"/>
        <v>82.759999999999991</v>
      </c>
      <c r="J73" s="52">
        <v>50</v>
      </c>
    </row>
    <row r="74" spans="1:12" ht="12.75" customHeight="1">
      <c r="A74" s="58"/>
      <c r="B74" s="52" t="s">
        <v>26</v>
      </c>
      <c r="G74" s="52">
        <f>Jan!G84+Feb!G84+Mar!G84+Apr!G84+May!G84+Jun!G84+July!G84+Aug!G84+Sep!G84+Oct!G84+Nov!G84+Dec!G84</f>
        <v>958.68</v>
      </c>
      <c r="H74" s="52">
        <f t="shared" si="5"/>
        <v>1200</v>
      </c>
      <c r="I74" s="61">
        <f t="shared" si="4"/>
        <v>241.32000000000005</v>
      </c>
      <c r="J74" s="52">
        <v>100</v>
      </c>
    </row>
    <row r="75" spans="1:12" ht="12.75" customHeight="1">
      <c r="A75" s="58"/>
      <c r="B75" s="52" t="s">
        <v>799</v>
      </c>
      <c r="C75" s="52" t="s">
        <v>810</v>
      </c>
      <c r="G75" s="52">
        <f>Jan!G85+Feb!G85+Mar!G85+Apr!G85+May!G85+Jun!G85+July!G85+Aug!G85+Sep!G85+Oct!G85+Nov!G85+Dec!G85</f>
        <v>912.32000000000016</v>
      </c>
      <c r="H75" s="52">
        <f t="shared" si="5"/>
        <v>840</v>
      </c>
      <c r="I75" s="61">
        <f t="shared" si="4"/>
        <v>-72.320000000000164</v>
      </c>
      <c r="J75" s="52">
        <v>70</v>
      </c>
    </row>
    <row r="76" spans="1:12" ht="12.75" customHeight="1">
      <c r="A76" s="58"/>
      <c r="B76" s="52" t="s">
        <v>799</v>
      </c>
      <c r="C76" s="52" t="s">
        <v>811</v>
      </c>
      <c r="G76" s="52">
        <f>Jan!G86+Feb!G86+Mar!G86+Apr!G86+May!G86+Jun!G86+July!G86+Aug!G86+Sep!G86+Oct!G86+Nov!G86+Dec!G86</f>
        <v>275.25</v>
      </c>
      <c r="H76" s="52">
        <f t="shared" si="5"/>
        <v>300</v>
      </c>
      <c r="I76" s="61">
        <f t="shared" si="4"/>
        <v>24.75</v>
      </c>
      <c r="J76" s="52">
        <v>25</v>
      </c>
    </row>
    <row r="77" spans="1:12" ht="12.75" customHeight="1">
      <c r="A77" s="58"/>
      <c r="B77" s="52" t="s">
        <v>800</v>
      </c>
      <c r="G77" s="52">
        <f>Jan!G87+Feb!G87+Mar!G87+Apr!G87+May!G87+Jun!G87+July!G87+Aug!G87+Sep!G87+Oct!G87+Nov!G87+Dec!G87</f>
        <v>737.1099999999999</v>
      </c>
      <c r="H77" s="52">
        <f t="shared" si="5"/>
        <v>480</v>
      </c>
      <c r="I77" s="61">
        <f t="shared" si="4"/>
        <v>-257.1099999999999</v>
      </c>
      <c r="J77" s="52">
        <v>40</v>
      </c>
    </row>
    <row r="78" spans="1:12" ht="12.75" customHeight="1">
      <c r="A78" s="58"/>
      <c r="B78" s="52" t="s">
        <v>802</v>
      </c>
      <c r="G78" s="52">
        <f>Jan!G88+Feb!G88+Mar!G88+Apr!G88+May!G88+Jun!G88+July!G88+Aug!G88+Sep!G88+Oct!G88+Nov!G88+Dec!G88</f>
        <v>695.37999999999988</v>
      </c>
      <c r="H78" s="52">
        <f t="shared" si="5"/>
        <v>1200</v>
      </c>
      <c r="I78" s="61">
        <f t="shared" si="4"/>
        <v>504.62000000000012</v>
      </c>
      <c r="J78" s="52">
        <v>100</v>
      </c>
    </row>
    <row r="79" spans="1:12" ht="12.75" customHeight="1">
      <c r="A79" s="58"/>
      <c r="I79" s="61"/>
    </row>
    <row r="80" spans="1:12" ht="12.75" customHeight="1">
      <c r="A80" s="58" t="s">
        <v>39</v>
      </c>
      <c r="B80" s="58">
        <f>SUM(G81:G84)</f>
        <v>291.36999999999995</v>
      </c>
      <c r="C80" s="58">
        <f>SUM(H81:H84)</f>
        <v>4320</v>
      </c>
      <c r="D80" s="58">
        <f>C80-B80</f>
        <v>4028.63</v>
      </c>
      <c r="I80" s="61"/>
    </row>
    <row r="81" spans="1:14" ht="12.75" customHeight="1">
      <c r="B81" s="52" t="s">
        <v>26</v>
      </c>
      <c r="C81" s="52" t="s">
        <v>27</v>
      </c>
      <c r="G81" s="52">
        <f>Jan!G91+Feb!G91+Mar!G91+Apr!G91+May!G91+Jun!G91+July!G91+Aug!G91+Sep!G91+Oct!G91+Nov!G91+Dec!G91</f>
        <v>643.46</v>
      </c>
      <c r="H81" s="52">
        <f>J81*12</f>
        <v>1200</v>
      </c>
      <c r="I81" s="61">
        <f>H81-G81</f>
        <v>556.54</v>
      </c>
      <c r="J81" s="52">
        <v>100</v>
      </c>
      <c r="L81" s="52">
        <v>1377.3600000000001</v>
      </c>
      <c r="M81" s="52">
        <v>1451.15</v>
      </c>
      <c r="N81" s="52">
        <v>1206.6699999999998</v>
      </c>
    </row>
    <row r="82" spans="1:14" ht="12.75" customHeight="1">
      <c r="A82" s="52" t="s">
        <v>1316</v>
      </c>
      <c r="B82" s="52" t="s">
        <v>28</v>
      </c>
      <c r="C82" s="52" t="s">
        <v>29</v>
      </c>
      <c r="G82" s="52">
        <f>Jan!G92+Feb!G92+Mar!G92+Apr!G92+May!G92+Jun!G92+July!G92+Aug!G92+Sep!G92+Oct!G92+Nov!G92+Dec!G92</f>
        <v>154.32999999999998</v>
      </c>
      <c r="H82" s="52">
        <f>J82*12</f>
        <v>480</v>
      </c>
      <c r="I82" s="61">
        <f>H82-G82</f>
        <v>325.67</v>
      </c>
      <c r="J82" s="52">
        <v>40</v>
      </c>
      <c r="L82" s="52">
        <v>343.25</v>
      </c>
      <c r="M82" s="52">
        <v>528</v>
      </c>
      <c r="N82" s="52">
        <v>736.3</v>
      </c>
    </row>
    <row r="83" spans="1:14" ht="12.75" customHeight="1">
      <c r="B83" s="52" t="s">
        <v>40</v>
      </c>
      <c r="C83" s="52" t="s">
        <v>41</v>
      </c>
      <c r="D83" s="52" t="s">
        <v>321</v>
      </c>
      <c r="G83" s="52">
        <f>Jan!G93+Feb!G93+Mar!G93+Apr!G93+May!G93+Jun!G93+July!G93+Aug!G93+Sep!G93+Oct!G93+Nov!G93+Dec!G93</f>
        <v>0</v>
      </c>
      <c r="H83" s="52">
        <f>J83*12</f>
        <v>1200</v>
      </c>
      <c r="I83" s="61">
        <f>H83-G83</f>
        <v>1200</v>
      </c>
      <c r="J83" s="52">
        <v>100</v>
      </c>
      <c r="L83" s="52">
        <v>1185</v>
      </c>
      <c r="M83" s="52">
        <v>1225</v>
      </c>
      <c r="N83" s="52">
        <v>529.98</v>
      </c>
    </row>
    <row r="84" spans="1:14" ht="12.75" customHeight="1">
      <c r="B84" s="52" t="s">
        <v>42</v>
      </c>
      <c r="C84" s="52" t="s">
        <v>43</v>
      </c>
      <c r="D84" s="52" t="s">
        <v>435</v>
      </c>
      <c r="G84" s="52">
        <f>Jan!G94+Feb!G94+Mar!G94+Apr!G94+May!G94+Jun!G94+July!G94+Aug!G94+Sep!G94+Oct!G94+Nov!G94+Dec!G94</f>
        <v>-506.42</v>
      </c>
      <c r="H84" s="52">
        <f>J84*12</f>
        <v>1440</v>
      </c>
      <c r="I84" s="61">
        <f>H84-G84</f>
        <v>1946.42</v>
      </c>
      <c r="J84" s="52">
        <v>120</v>
      </c>
      <c r="L84" s="52">
        <v>1413.65</v>
      </c>
      <c r="M84" s="52">
        <v>1389.7199999999998</v>
      </c>
      <c r="N84" s="52">
        <v>1687.67</v>
      </c>
    </row>
    <row r="85" spans="1:14" ht="12.75" customHeight="1">
      <c r="I85" s="61"/>
    </row>
    <row r="86" spans="1:14" ht="12.75" customHeight="1">
      <c r="A86" s="58" t="s">
        <v>45</v>
      </c>
      <c r="B86" s="58">
        <f>SUM(G87:G89)</f>
        <v>2020.82</v>
      </c>
      <c r="C86" s="58">
        <f>SUM(H87:H89)</f>
        <v>2076</v>
      </c>
      <c r="D86" s="58">
        <f>C86-B86</f>
        <v>55.180000000000064</v>
      </c>
      <c r="I86" s="61"/>
    </row>
    <row r="87" spans="1:14" ht="12.75" customHeight="1">
      <c r="B87" s="52" t="s">
        <v>46</v>
      </c>
      <c r="D87" s="52" t="s">
        <v>862</v>
      </c>
      <c r="G87" s="52">
        <f>Jan!G97+Feb!G97+Mar!G97+Apr!G97+May!G97+Jun!G97+July!G97+Aug!G97+Sep!G97+Oct!G97+Nov!G97+Dec!G97</f>
        <v>730</v>
      </c>
      <c r="H87" s="52">
        <f>J87*12</f>
        <v>780</v>
      </c>
      <c r="I87" s="61">
        <f>H87-G87</f>
        <v>50</v>
      </c>
      <c r="J87" s="52">
        <v>65</v>
      </c>
      <c r="L87" s="52">
        <v>902</v>
      </c>
      <c r="M87" s="52">
        <v>716</v>
      </c>
      <c r="N87" s="52">
        <v>659</v>
      </c>
    </row>
    <row r="88" spans="1:14" ht="12.75" customHeight="1">
      <c r="B88" s="52" t="s">
        <v>47</v>
      </c>
      <c r="D88" s="52" t="s">
        <v>863</v>
      </c>
      <c r="G88" s="52">
        <f>Jan!G98+Feb!G98+Mar!G98+Apr!G98+May!G98+Jun!G98+July!G98+Aug!G98+Sep!G98+Oct!G98+Nov!G98+Dec!G98</f>
        <v>858</v>
      </c>
      <c r="H88" s="52">
        <f>J88*12</f>
        <v>864</v>
      </c>
      <c r="I88" s="61">
        <f>H88-G88</f>
        <v>6</v>
      </c>
      <c r="J88" s="52">
        <v>72</v>
      </c>
      <c r="L88" s="52">
        <v>0</v>
      </c>
      <c r="M88" s="52">
        <v>1775</v>
      </c>
      <c r="N88" s="52">
        <v>1014</v>
      </c>
    </row>
    <row r="89" spans="1:14" ht="12.75" customHeight="1">
      <c r="B89" s="52" t="s">
        <v>48</v>
      </c>
      <c r="D89" s="52" t="s">
        <v>864</v>
      </c>
      <c r="G89" s="52">
        <f>Jan!G99+Feb!G99+Mar!G99+Apr!G99+May!G99+Jun!G99+July!G99+Aug!G99+Sep!G99+Oct!G99+Nov!G99+Dec!G99</f>
        <v>432.82</v>
      </c>
      <c r="H89" s="52">
        <f>J89*12</f>
        <v>432</v>
      </c>
      <c r="I89" s="61">
        <f>H89-G89</f>
        <v>-0.81999999999999318</v>
      </c>
      <c r="J89" s="52">
        <v>36</v>
      </c>
      <c r="L89" s="52">
        <v>432.82</v>
      </c>
      <c r="M89" s="52">
        <v>432.82</v>
      </c>
      <c r="N89" s="52">
        <v>432.82</v>
      </c>
    </row>
    <row r="90" spans="1:14" ht="12.75" customHeight="1">
      <c r="G90" s="52">
        <f>Jan!G100+Feb!G100+Mar!G100+Apr!G100+May!G100+Jun!G100+July!G100+Aug!G100+Sep!G100+Oct!G100+Nov!G100+Dec!G100</f>
        <v>0</v>
      </c>
      <c r="I90" s="61"/>
    </row>
    <row r="91" spans="1:14" ht="12.75" customHeight="1">
      <c r="A91" s="58" t="s">
        <v>49</v>
      </c>
      <c r="B91" s="58">
        <f>SUM(G92:G98)</f>
        <v>6461.9999999999991</v>
      </c>
      <c r="C91" s="58">
        <f>SUM(H92:H98)</f>
        <v>2136</v>
      </c>
      <c r="D91" s="58">
        <f>C91-B91</f>
        <v>-4325.9999999999991</v>
      </c>
      <c r="G91" s="52">
        <f>Jan!G101+Feb!G101+Mar!G101+Apr!G101+May!G101+Jun!G101+July!G101+Aug!G101+Sep!G101+Oct!G101+Nov!G101+Dec!G101</f>
        <v>0</v>
      </c>
      <c r="I91" s="61"/>
    </row>
    <row r="92" spans="1:14" ht="12.75" customHeight="1">
      <c r="B92" s="52" t="s">
        <v>438</v>
      </c>
      <c r="G92" s="52">
        <f>Jan!G102+Feb!G102+Mar!G102+Apr!G102+May!G102+Jun!G102+July!G102+Aug!G102+Sep!G102+Oct!G102+Nov!G102+Dec!G102</f>
        <v>3510.5199999999995</v>
      </c>
      <c r="H92" s="52">
        <f t="shared" ref="H92:H97" si="6">J92*12</f>
        <v>240</v>
      </c>
      <c r="I92" s="61">
        <f t="shared" ref="I92:I98" si="7">H92-G92</f>
        <v>-3270.5199999999995</v>
      </c>
      <c r="J92" s="52">
        <v>20</v>
      </c>
      <c r="L92" s="52">
        <v>178.67000000000002</v>
      </c>
      <c r="M92" s="52">
        <v>232.04999999999998</v>
      </c>
      <c r="N92" s="52">
        <v>91.57000000000005</v>
      </c>
    </row>
    <row r="93" spans="1:14" ht="12.75" customHeight="1">
      <c r="B93" s="52" t="s">
        <v>439</v>
      </c>
      <c r="G93" s="52">
        <f>Jan!G103+Feb!G103+Mar!G103+Apr!G103+May!G103+Jun!G103+July!G103+Aug!G103+Sep!G103+Oct!G103+Nov!G103+Dec!G103</f>
        <v>121.95</v>
      </c>
      <c r="H93" s="52">
        <f t="shared" si="6"/>
        <v>60</v>
      </c>
      <c r="I93" s="61">
        <f t="shared" si="7"/>
        <v>-61.95</v>
      </c>
      <c r="J93" s="52">
        <v>5</v>
      </c>
      <c r="L93" s="52">
        <v>28.4</v>
      </c>
      <c r="M93" s="52">
        <v>41.1</v>
      </c>
      <c r="N93" s="52">
        <v>70.11</v>
      </c>
    </row>
    <row r="94" spans="1:14" ht="12.75" customHeight="1">
      <c r="B94" s="52" t="s">
        <v>303</v>
      </c>
      <c r="G94" s="52">
        <f>Jan!G104+Feb!G104+Mar!G104+Apr!G104+May!G104+Jun!G104+July!G104+Aug!G104+Sep!G104+Oct!G104+Nov!G104+Dec!G104</f>
        <v>859.83</v>
      </c>
      <c r="H94" s="52">
        <f t="shared" si="6"/>
        <v>780</v>
      </c>
      <c r="I94" s="61">
        <f t="shared" si="7"/>
        <v>-79.830000000000041</v>
      </c>
      <c r="J94" s="52">
        <v>65</v>
      </c>
      <c r="L94" s="52">
        <v>517.47</v>
      </c>
      <c r="M94" s="52">
        <v>774.06000000000006</v>
      </c>
    </row>
    <row r="95" spans="1:14" ht="12.75" customHeight="1">
      <c r="B95" s="52" t="s">
        <v>259</v>
      </c>
      <c r="G95" s="52">
        <f>Jan!G105+Feb!G105+Mar!G105+Apr!G105+May!G105+Jun!G105+July!G105+Aug!G105+Sep!G105+Oct!G105+Nov!G105+Dec!G105</f>
        <v>0</v>
      </c>
      <c r="H95" s="52">
        <f t="shared" si="6"/>
        <v>180</v>
      </c>
      <c r="I95" s="61">
        <f t="shared" si="7"/>
        <v>180</v>
      </c>
      <c r="J95" s="52">
        <v>15</v>
      </c>
      <c r="L95" s="52">
        <v>112.69</v>
      </c>
      <c r="M95" s="52">
        <v>157.11000000000001</v>
      </c>
      <c r="N95" s="52">
        <v>3903.78</v>
      </c>
    </row>
    <row r="96" spans="1:14" ht="12.75" customHeight="1">
      <c r="B96" s="52" t="s">
        <v>299</v>
      </c>
      <c r="G96" s="52">
        <f>Jan!G106+Feb!G106+Mar!G106+Apr!G106+May!G106+Jun!G106+July!G106+Aug!G106+Sep!G106+Oct!G106+Nov!G106+Dec!G106</f>
        <v>1552.71</v>
      </c>
      <c r="H96" s="52">
        <f t="shared" si="6"/>
        <v>420</v>
      </c>
      <c r="I96" s="61">
        <f t="shared" si="7"/>
        <v>-1132.71</v>
      </c>
      <c r="J96" s="52">
        <v>35</v>
      </c>
      <c r="L96" s="52">
        <v>858</v>
      </c>
      <c r="M96" s="52">
        <v>411.82000000000005</v>
      </c>
      <c r="N96" s="52">
        <v>503.77</v>
      </c>
    </row>
    <row r="97" spans="1:14" ht="12.75" customHeight="1">
      <c r="B97" s="52" t="s">
        <v>440</v>
      </c>
      <c r="G97" s="52">
        <f>Jan!G107+Feb!G107+Mar!G107+Apr!G107+May!G107+Jun!G107+July!G107+Aug!G107+Sep!G107+Oct!G107+Nov!G107+Dec!G107</f>
        <v>271</v>
      </c>
      <c r="H97" s="52">
        <f t="shared" si="6"/>
        <v>312</v>
      </c>
      <c r="I97" s="61">
        <f t="shared" si="7"/>
        <v>41</v>
      </c>
      <c r="J97" s="52">
        <v>26</v>
      </c>
      <c r="L97" s="52">
        <v>0</v>
      </c>
      <c r="M97" s="52">
        <v>0</v>
      </c>
    </row>
    <row r="98" spans="1:14" ht="12.75" customHeight="1">
      <c r="B98" s="52" t="s">
        <v>441</v>
      </c>
      <c r="G98" s="52">
        <f>Jan!G108+Feb!G108+Mar!G108+Apr!G108+May!G108+Jun!G108+July!G108+Aug!G108+Sep!G108+Oct!G108+Nov!G108+Dec!G108</f>
        <v>145.99</v>
      </c>
      <c r="H98" s="52">
        <f>J98*12</f>
        <v>144</v>
      </c>
      <c r="I98" s="61">
        <f t="shared" si="7"/>
        <v>-1.9900000000000091</v>
      </c>
      <c r="J98" s="52">
        <v>12</v>
      </c>
      <c r="L98" s="52">
        <v>36.979999999999997</v>
      </c>
      <c r="M98" s="52">
        <v>125.99</v>
      </c>
    </row>
    <row r="99" spans="1:14" ht="12.75" customHeight="1">
      <c r="G99" s="52">
        <f>Jan!G109+Feb!G109+Mar!G109+Apr!G109+May!G109+Jun!G109+July!G109+Aug!G109+Sep!G109+Oct!G109+Nov!G109+Dec!G109</f>
        <v>0</v>
      </c>
      <c r="I99" s="61"/>
    </row>
    <row r="100" spans="1:14" ht="12.75" customHeight="1">
      <c r="A100" s="58" t="s">
        <v>236</v>
      </c>
      <c r="B100" s="58">
        <f>SUM(G101:G103)</f>
        <v>706.96</v>
      </c>
      <c r="C100" s="58">
        <f>SUM(H101:H103)</f>
        <v>5640</v>
      </c>
      <c r="D100" s="58">
        <f>C100-B100</f>
        <v>4933.04</v>
      </c>
      <c r="G100" s="52">
        <f>Jan!G110+Feb!G110+Mar!G110+Apr!G110+May!G110+Jun!G110+July!G110+Aug!G110+Sep!G110+Oct!G110+Nov!G110+Dec!G110</f>
        <v>0</v>
      </c>
      <c r="I100" s="61"/>
    </row>
    <row r="101" spans="1:14" ht="12.75" customHeight="1">
      <c r="B101" s="52" t="s">
        <v>482</v>
      </c>
      <c r="G101" s="52">
        <f>Jan!G111+Feb!G111+Mar!G111+Apr!G111+May!G111+Jun!G111+July!G111+Aug!G111+Sep!G111+Oct!G111+Nov!G111+Dec!G111</f>
        <v>9.94</v>
      </c>
      <c r="H101" s="52">
        <f>J101*12</f>
        <v>720</v>
      </c>
      <c r="I101" s="61">
        <f>H101-G101</f>
        <v>710.06</v>
      </c>
      <c r="J101" s="52">
        <v>60</v>
      </c>
      <c r="L101" s="52">
        <v>391.36</v>
      </c>
      <c r="M101" s="52">
        <v>453</v>
      </c>
      <c r="N101" s="52">
        <v>307.94000000000005</v>
      </c>
    </row>
    <row r="102" spans="1:14" ht="12.75" customHeight="1">
      <c r="B102" s="99" t="s">
        <v>866</v>
      </c>
      <c r="G102" s="52">
        <f>Jan!G112+Feb!G112+Mar!G112+Apr!G112+May!G112+Jun!G112+July!G112+Aug!G112+Sep!G112+Oct!G112+Nov!G112+Dec!G112</f>
        <v>620.16999999999996</v>
      </c>
      <c r="H102" s="52">
        <f>J102*12</f>
        <v>4800</v>
      </c>
      <c r="I102" s="61">
        <f>H102-G102</f>
        <v>4179.83</v>
      </c>
      <c r="J102" s="52">
        <v>400</v>
      </c>
      <c r="L102" s="52">
        <v>61.19</v>
      </c>
      <c r="M102" s="52">
        <v>188.45999999999998</v>
      </c>
      <c r="N102" s="52">
        <v>366.81</v>
      </c>
    </row>
    <row r="103" spans="1:14" ht="12.75" customHeight="1">
      <c r="B103" s="52" t="s">
        <v>258</v>
      </c>
      <c r="G103" s="52">
        <f>Jan!G113+Feb!G113+Mar!G113+Apr!G113+May!G113+Jun!G113+July!G113+Aug!G113+Sep!G113+Oct!G113+Nov!G113+Dec!G113</f>
        <v>76.849999999999994</v>
      </c>
      <c r="H103" s="52">
        <f>J103*12</f>
        <v>120</v>
      </c>
      <c r="I103" s="61">
        <f>H103-G103</f>
        <v>43.150000000000006</v>
      </c>
      <c r="J103" s="52">
        <v>10</v>
      </c>
      <c r="L103" s="52">
        <v>0</v>
      </c>
      <c r="M103" s="52">
        <v>95.65</v>
      </c>
      <c r="N103" s="52">
        <v>511.8</v>
      </c>
    </row>
    <row r="104" spans="1:14" ht="12.75" customHeight="1">
      <c r="G104" s="52">
        <f>Jan!G114+Feb!G114+Mar!G114+Apr!G114+May!G114+Jun!G114+July!G114+Aug!G114+Sep!G114+Oct!G114+Nov!G114+Dec!G114</f>
        <v>0</v>
      </c>
      <c r="I104" s="61"/>
    </row>
    <row r="105" spans="1:14" ht="12.75" customHeight="1">
      <c r="A105" s="58" t="s">
        <v>53</v>
      </c>
      <c r="B105" s="58">
        <f>SUM(G106:G108)</f>
        <v>4187.43</v>
      </c>
      <c r="C105" s="58">
        <f>SUM(H106:H108)</f>
        <v>2940</v>
      </c>
      <c r="D105" s="58">
        <f>C105-B105</f>
        <v>-1247.4300000000003</v>
      </c>
      <c r="G105" s="52">
        <f>Jan!G115+Feb!G115+Mar!G115+Apr!G115+May!G115+Jun!G115+July!G115+Aug!G115+Sep!G115+Oct!G115+Nov!G115+Dec!G115</f>
        <v>0</v>
      </c>
      <c r="I105" s="61"/>
    </row>
    <row r="106" spans="1:14" ht="12.75" customHeight="1">
      <c r="B106" s="52" t="s">
        <v>443</v>
      </c>
      <c r="G106" s="52">
        <f>Jan!G116+Feb!G116+Mar!G116+Apr!G116+May!G116+Jun!G116+July!G116+Aug!G116+Sep!G116+Oct!G116+Nov!G116+Dec!G116</f>
        <v>2878.3500000000004</v>
      </c>
      <c r="H106" s="52">
        <f>J106*12</f>
        <v>1080</v>
      </c>
      <c r="I106" s="61">
        <f>H106-G106</f>
        <v>-1798.3500000000004</v>
      </c>
      <c r="J106" s="52">
        <v>90</v>
      </c>
      <c r="L106" s="52">
        <v>522.22</v>
      </c>
      <c r="M106" s="52">
        <v>1046.3800000000001</v>
      </c>
      <c r="N106" s="52">
        <v>384.87</v>
      </c>
    </row>
    <row r="107" spans="1:14" ht="12.75" customHeight="1">
      <c r="B107" s="52" t="s">
        <v>865</v>
      </c>
      <c r="G107" s="52">
        <f>Jan!G117+Feb!G117+Mar!G117+Apr!G117+May!G117+Jun!G117+July!G117+Aug!G117+Sep!G117+Oct!G117+Nov!G117+Dec!G117</f>
        <v>233.4</v>
      </c>
      <c r="H107" s="52">
        <f>J107*12</f>
        <v>300</v>
      </c>
      <c r="I107" s="61">
        <f>H107-G107</f>
        <v>66.599999999999994</v>
      </c>
      <c r="J107" s="52">
        <v>25</v>
      </c>
      <c r="L107" s="52">
        <v>233.39999999999998</v>
      </c>
      <c r="M107" s="52">
        <v>283.39999999999998</v>
      </c>
      <c r="N107" s="52">
        <v>233.39999999999998</v>
      </c>
    </row>
    <row r="108" spans="1:14" ht="12.75" customHeight="1">
      <c r="B108" s="54" t="s">
        <v>444</v>
      </c>
      <c r="G108" s="52">
        <f>Jan!G118+Feb!G118+Mar!G118+Apr!G118+May!G118+Jun!G118+July!G118+Aug!G118+Sep!G118+Oct!G118+Nov!G118+Dec!G118</f>
        <v>1075.6799999999998</v>
      </c>
      <c r="H108" s="52">
        <f>J108*12</f>
        <v>1560</v>
      </c>
      <c r="I108" s="61">
        <f>H108-G108</f>
        <v>484.32000000000016</v>
      </c>
      <c r="J108" s="52">
        <v>130</v>
      </c>
      <c r="L108" s="52">
        <v>1660.83</v>
      </c>
      <c r="M108" s="52">
        <v>1372.9299999999996</v>
      </c>
      <c r="N108" s="52">
        <v>870.99</v>
      </c>
    </row>
    <row r="109" spans="1:14" ht="12.75" customHeight="1">
      <c r="I109" s="61"/>
    </row>
    <row r="110" spans="1:14">
      <c r="A110" s="58" t="s">
        <v>59</v>
      </c>
      <c r="B110" s="58">
        <f>SUM(G111:G113)</f>
        <v>5064.1400000000003</v>
      </c>
      <c r="C110" s="58">
        <f>SUM(H111:H113)</f>
        <v>4980</v>
      </c>
      <c r="D110" s="58">
        <f>C110-B110</f>
        <v>-84.140000000000327</v>
      </c>
      <c r="I110" s="61"/>
    </row>
    <row r="111" spans="1:14">
      <c r="B111" s="52" t="s">
        <v>484</v>
      </c>
      <c r="D111" s="52" t="s">
        <v>60</v>
      </c>
      <c r="G111" s="52">
        <f>Jan!G121+Feb!G121+Mar!G121+Apr!G121+May!G121+Jun!G121+July!G121+Aug!G121+Sep!G121+Oct!G121+Nov!G121+Dec!G121</f>
        <v>984.8</v>
      </c>
      <c r="H111" s="52">
        <f>J111*12</f>
        <v>1800</v>
      </c>
      <c r="I111" s="61">
        <f>H111-G111</f>
        <v>815.2</v>
      </c>
      <c r="J111" s="52">
        <v>150</v>
      </c>
      <c r="L111" s="52">
        <v>170.34999999999997</v>
      </c>
      <c r="M111" s="52">
        <v>1624.55</v>
      </c>
      <c r="N111" s="52">
        <v>1417.42</v>
      </c>
    </row>
    <row r="112" spans="1:14">
      <c r="A112" s="58"/>
      <c r="B112" s="52" t="s">
        <v>483</v>
      </c>
      <c r="G112" s="52">
        <f>Jan!G122+Feb!G122+Mar!G122+Apr!G122+May!G122+Jun!G122+July!G122+Aug!G122+Sep!G122+Oct!G122+Nov!G122+Dec!G122</f>
        <v>510</v>
      </c>
      <c r="H112" s="52">
        <f>J112*12</f>
        <v>2580</v>
      </c>
      <c r="I112" s="61">
        <f>H112-G112</f>
        <v>2070</v>
      </c>
      <c r="J112" s="52">
        <v>215</v>
      </c>
      <c r="L112" s="52">
        <v>2269.9499999999998</v>
      </c>
      <c r="M112" s="52">
        <v>2509.73</v>
      </c>
      <c r="N112" s="52">
        <v>2405.66</v>
      </c>
    </row>
    <row r="113" spans="1:14">
      <c r="A113" s="58"/>
      <c r="B113" s="52" t="s">
        <v>468</v>
      </c>
      <c r="G113" s="52">
        <f>Jan!G123+Feb!G123+Mar!G123+Apr!G123+May!G123+Jun!G123+July!G123+Aug!G123+Sep!G123+Oct!G123+Nov!G123+Dec!G123</f>
        <v>3569.34</v>
      </c>
      <c r="H113" s="52">
        <f>J113*12</f>
        <v>600</v>
      </c>
      <c r="I113" s="61">
        <f>H113-G113</f>
        <v>-2969.34</v>
      </c>
      <c r="J113" s="52">
        <v>50</v>
      </c>
      <c r="L113" s="52">
        <v>524.41</v>
      </c>
      <c r="M113" s="52">
        <v>625.98</v>
      </c>
      <c r="N113" s="52">
        <v>182</v>
      </c>
    </row>
    <row r="114" spans="1:14">
      <c r="A114" s="58"/>
      <c r="I114" s="61"/>
    </row>
    <row r="115" spans="1:14">
      <c r="A115" s="58" t="s">
        <v>50</v>
      </c>
      <c r="B115" s="58">
        <f>SUM(G116:G126)</f>
        <v>10151.800000000001</v>
      </c>
      <c r="C115" s="58">
        <f>SUM(H116:H126)</f>
        <v>8880</v>
      </c>
      <c r="D115" s="58">
        <f>C115-B115</f>
        <v>-1271.8000000000011</v>
      </c>
      <c r="I115" s="61"/>
    </row>
    <row r="116" spans="1:14">
      <c r="B116" s="52" t="s">
        <v>51</v>
      </c>
      <c r="G116" s="52">
        <f>Jan!G126+Feb!G126+Mar!G126+Apr!G126+May!G126+Jun!G126+July!G126+Aug!G126+Sep!G126+Oct!G126+Nov!G126+Dec!G126</f>
        <v>2450.1</v>
      </c>
      <c r="H116" s="52">
        <f>J116*12</f>
        <v>1200</v>
      </c>
      <c r="I116" s="61">
        <f t="shared" ref="I116:I126" si="8">H116-G116</f>
        <v>-1250.0999999999999</v>
      </c>
      <c r="J116" s="52">
        <v>100</v>
      </c>
      <c r="L116" s="52">
        <v>2249.84</v>
      </c>
      <c r="M116" s="52">
        <v>1060</v>
      </c>
      <c r="N116" s="52">
        <v>1306.56</v>
      </c>
    </row>
    <row r="117" spans="1:14" ht="14.25" thickBot="1">
      <c r="B117" s="52" t="s">
        <v>453</v>
      </c>
      <c r="G117" s="52">
        <f>Jan!G127+Feb!G127+Mar!G127+Apr!G127+May!G127+Jun!G127+July!G127+Aug!G127+Sep!G127+Oct!G127+Nov!G127+Dec!G127</f>
        <v>5774.87</v>
      </c>
      <c r="H117" s="52">
        <f>J117*12</f>
        <v>6000</v>
      </c>
      <c r="I117" s="61">
        <f t="shared" si="8"/>
        <v>225.13000000000011</v>
      </c>
      <c r="J117" s="52">
        <v>500</v>
      </c>
      <c r="L117" s="52">
        <v>5771.0500000000011</v>
      </c>
      <c r="M117" s="52">
        <v>6298.27</v>
      </c>
      <c r="N117" s="52">
        <v>5525.51</v>
      </c>
    </row>
    <row r="118" spans="1:14" ht="14.25" thickBot="1">
      <c r="C118" s="52" t="s">
        <v>446</v>
      </c>
      <c r="E118" s="88">
        <f>Jan!E128+Feb!E128+Mar!E128+Apr!E128+May!E128+Jun!E128+July!E128+Aug!E128+Sep!E128+Oct!E128+Nov!E128+Dec!E128</f>
        <v>19.8</v>
      </c>
      <c r="I118" s="61"/>
      <c r="M118" s="52">
        <v>122.21</v>
      </c>
      <c r="N118" s="52">
        <v>242.33999999999997</v>
      </c>
    </row>
    <row r="119" spans="1:14" ht="14.25" thickBot="1">
      <c r="C119" s="52" t="s">
        <v>447</v>
      </c>
      <c r="E119" s="88">
        <f>Jan!E129+Feb!E129+Mar!E129+Apr!E129+May!E129+Jun!E129+July!E129+Aug!E129+Sep!E129+Oct!E129+Nov!E129+Dec!E129</f>
        <v>73.319999999999993</v>
      </c>
      <c r="I119" s="61"/>
    </row>
    <row r="120" spans="1:14">
      <c r="B120" s="52" t="s">
        <v>300</v>
      </c>
      <c r="G120" s="52">
        <f>Jan!G130+Feb!G130+Mar!G130+Apr!G130+May!G130+Jun!G130+July!G130+Aug!G130+Sep!G130+Oct!G130+Nov!G130+Dec!G130</f>
        <v>1355.3000000000002</v>
      </c>
      <c r="H120" s="52">
        <f t="shared" ref="H120:H126" si="9">J120*12</f>
        <v>600</v>
      </c>
      <c r="I120" s="61">
        <f t="shared" si="8"/>
        <v>-755.30000000000018</v>
      </c>
      <c r="J120" s="52">
        <v>50</v>
      </c>
      <c r="L120" s="52">
        <v>637.68999999999994</v>
      </c>
      <c r="M120" s="52">
        <v>504.00000000000006</v>
      </c>
      <c r="N120" s="52">
        <v>904.73</v>
      </c>
    </row>
    <row r="121" spans="1:14" ht="14.25" thickBot="1">
      <c r="B121" s="52" t="s">
        <v>52</v>
      </c>
      <c r="G121" s="52">
        <f>Jan!G131+Feb!G131+Mar!G131+Apr!G131+May!G131+Jun!G131+July!G131+Aug!G131+Sep!G131+Oct!G131+Nov!G131+Dec!G131</f>
        <v>485.68999999999994</v>
      </c>
      <c r="H121" s="52">
        <f t="shared" si="9"/>
        <v>840</v>
      </c>
      <c r="I121" s="61">
        <f t="shared" si="8"/>
        <v>354.31000000000006</v>
      </c>
      <c r="J121" s="52">
        <v>70</v>
      </c>
      <c r="L121" s="52">
        <v>796.0200000000001</v>
      </c>
      <c r="M121" s="52">
        <v>1002.4400000000002</v>
      </c>
      <c r="N121" s="52">
        <v>647.05999999999983</v>
      </c>
    </row>
    <row r="122" spans="1:14" ht="14.25" thickBot="1">
      <c r="C122" s="259" t="s">
        <v>448</v>
      </c>
      <c r="D122" s="260"/>
      <c r="E122" s="88">
        <f>Jan!E132+Feb!E132+Mar!E132+Apr!E132+May!E132+Jun!E132+July!E132+Aug!E132+Sep!E132+Oct!E132+Nov!E132+Dec!E132</f>
        <v>364.63</v>
      </c>
      <c r="I122" s="61"/>
    </row>
    <row r="123" spans="1:14" ht="14.25" thickBot="1">
      <c r="C123" s="259" t="s">
        <v>449</v>
      </c>
      <c r="D123" s="260"/>
      <c r="E123" s="88">
        <f>Jan!E133+Feb!E133+Mar!E133+Apr!E133+May!E133+Jun!E133+July!E133+Aug!E133+Sep!E133+Oct!E133+Nov!E133+Dec!E133</f>
        <v>0</v>
      </c>
      <c r="I123" s="61"/>
    </row>
    <row r="124" spans="1:14" ht="14.25" thickBot="1">
      <c r="C124" s="259" t="s">
        <v>450</v>
      </c>
      <c r="D124" s="260"/>
      <c r="E124" s="88">
        <f>Jan!E134+Feb!E134+Mar!E134+Apr!E134+May!E134+Jun!E134+July!E134+Aug!E134+Sep!E134+Oct!E134+Nov!E134+Dec!E134</f>
        <v>52.94</v>
      </c>
      <c r="I124" s="61"/>
    </row>
    <row r="125" spans="1:14" ht="14.25" thickBot="1">
      <c r="C125" s="259" t="s">
        <v>451</v>
      </c>
      <c r="D125" s="260"/>
      <c r="E125" s="88">
        <f>Jan!E135+Feb!E135+Mar!E135+Apr!E135+May!E135+Jun!E135+July!E135+Aug!E135+Sep!E135+Oct!E135+Nov!E135+Dec!E135</f>
        <v>62.679999999999993</v>
      </c>
      <c r="I125" s="61"/>
    </row>
    <row r="126" spans="1:14">
      <c r="B126" s="52" t="s">
        <v>452</v>
      </c>
      <c r="G126" s="52">
        <f>Jan!G136+Feb!G136+Mar!G136+Apr!G136+May!G136+Jun!G136+July!G136+Aug!G136+Sep!G136+Oct!G136+Nov!G136+Dec!G136</f>
        <v>85.84</v>
      </c>
      <c r="H126" s="52">
        <f t="shared" si="9"/>
        <v>240</v>
      </c>
      <c r="I126" s="61">
        <f t="shared" si="8"/>
        <v>154.16</v>
      </c>
      <c r="J126" s="52">
        <v>20</v>
      </c>
      <c r="L126" s="52">
        <v>212.11</v>
      </c>
      <c r="M126" s="52">
        <v>102.61</v>
      </c>
      <c r="N126" s="52">
        <v>42.870000000000005</v>
      </c>
    </row>
    <row r="127" spans="1:14">
      <c r="I127" s="61"/>
    </row>
    <row r="128" spans="1:14">
      <c r="A128" s="58" t="s">
        <v>65</v>
      </c>
      <c r="B128" s="58">
        <f>G129</f>
        <v>361.91999999999996</v>
      </c>
      <c r="C128" s="58">
        <f>H129</f>
        <v>1680</v>
      </c>
      <c r="D128" s="58">
        <f>I129</f>
        <v>1318.08</v>
      </c>
      <c r="I128" s="61"/>
    </row>
    <row r="129" spans="1:14">
      <c r="B129" s="52" t="s">
        <v>66</v>
      </c>
      <c r="G129" s="52">
        <f>Jan!G139+Feb!G139+Mar!G139+Apr!G139+May!G139+Jun!G139+July!G139+Aug!G139+Sep!G139+Oct!G139+Nov!G139+Dec!G139</f>
        <v>361.91999999999996</v>
      </c>
      <c r="H129" s="52">
        <f>J129*12</f>
        <v>1680</v>
      </c>
      <c r="I129" s="61">
        <f>H129-G129</f>
        <v>1318.08</v>
      </c>
      <c r="J129" s="52">
        <v>140</v>
      </c>
      <c r="L129" s="52">
        <v>1089.51</v>
      </c>
      <c r="M129" s="52">
        <v>1628.03</v>
      </c>
      <c r="N129" s="52">
        <v>1767.4999999999998</v>
      </c>
    </row>
    <row r="130" spans="1:14">
      <c r="I130" s="61"/>
    </row>
    <row r="131" spans="1:14">
      <c r="A131" s="58" t="s">
        <v>271</v>
      </c>
      <c r="B131" s="58">
        <f>SUM(G132:G134)</f>
        <v>1883.57</v>
      </c>
      <c r="C131" s="58">
        <f>SUM(H132:H134)</f>
        <v>2760</v>
      </c>
      <c r="D131" s="58">
        <f>C131-B131</f>
        <v>876.43000000000006</v>
      </c>
      <c r="I131" s="61"/>
    </row>
    <row r="132" spans="1:14">
      <c r="B132" s="52" t="s">
        <v>266</v>
      </c>
      <c r="G132" s="52">
        <f>Jan!G142+Feb!G142+Mar!G142+Apr!G142+May!G142+Jun!G142+July!G142+Aug!G142+Sep!G142+Oct!G142+Nov!G142+Dec!G142</f>
        <v>1495.97</v>
      </c>
      <c r="H132" s="52">
        <f>J132*12</f>
        <v>1200</v>
      </c>
      <c r="I132" s="61">
        <f>H132-G132</f>
        <v>-295.97000000000003</v>
      </c>
      <c r="J132" s="52">
        <v>100</v>
      </c>
      <c r="L132" s="52">
        <v>1173.73</v>
      </c>
      <c r="M132" s="52">
        <v>2021.81</v>
      </c>
      <c r="N132" s="52">
        <v>1731.68</v>
      </c>
    </row>
    <row r="133" spans="1:14">
      <c r="B133" s="52" t="s">
        <v>454</v>
      </c>
      <c r="G133" s="52">
        <f>Jan!G143+Feb!G143+Mar!G143+Apr!G143+May!G143+Jun!G143+July!G143+Aug!G143+Sep!G143+Oct!G143+Nov!G143+Dec!G143</f>
        <v>387.59999999999997</v>
      </c>
      <c r="H133" s="52">
        <f>J133*12</f>
        <v>1200</v>
      </c>
      <c r="I133" s="61">
        <f>H133-G133</f>
        <v>812.40000000000009</v>
      </c>
      <c r="J133" s="52">
        <v>100</v>
      </c>
      <c r="L133" s="52">
        <v>0</v>
      </c>
    </row>
    <row r="134" spans="1:14">
      <c r="B134" s="52" t="s">
        <v>455</v>
      </c>
      <c r="G134" s="52">
        <f>Jan!G144+Feb!G144+Mar!G144+Apr!G144+May!G144+Jun!G144+July!G144+Aug!G144+Sep!G144+Oct!G144+Nov!G144+Dec!G144</f>
        <v>0</v>
      </c>
      <c r="H134" s="52">
        <f>J134*12</f>
        <v>360</v>
      </c>
      <c r="I134" s="61">
        <f>H134-G134</f>
        <v>360</v>
      </c>
      <c r="J134" s="52">
        <v>30</v>
      </c>
      <c r="L134" s="52">
        <v>8.9700000000000006</v>
      </c>
      <c r="M134" s="52">
        <v>223.28</v>
      </c>
    </row>
    <row r="135" spans="1:14">
      <c r="I135" s="61"/>
    </row>
    <row r="136" spans="1:14">
      <c r="A136" s="58" t="s">
        <v>67</v>
      </c>
      <c r="B136" s="58">
        <f>G137</f>
        <v>77.169999999999987</v>
      </c>
      <c r="C136" s="58">
        <f>H137</f>
        <v>120</v>
      </c>
      <c r="D136" s="58">
        <f>C136-B136</f>
        <v>42.830000000000013</v>
      </c>
      <c r="I136" s="61"/>
    </row>
    <row r="137" spans="1:14">
      <c r="B137" s="52" t="s">
        <v>68</v>
      </c>
      <c r="G137" s="52">
        <f>Jan!G147+Feb!G147+Mar!G147+Apr!G147+May!G147+Jun!G147+July!G147+Aug!G147+Sep!G147+Oct!G147+Nov!G147+Dec!G147</f>
        <v>77.169999999999987</v>
      </c>
      <c r="H137" s="52">
        <f>J137*12</f>
        <v>120</v>
      </c>
      <c r="I137" s="61">
        <f>H137-G137</f>
        <v>42.830000000000013</v>
      </c>
      <c r="J137" s="52">
        <v>10</v>
      </c>
      <c r="L137" s="52">
        <v>60.89</v>
      </c>
      <c r="M137" s="52">
        <v>86.81</v>
      </c>
      <c r="N137" s="52">
        <v>160.24</v>
      </c>
    </row>
    <row r="138" spans="1:14">
      <c r="I138" s="61"/>
    </row>
    <row r="139" spans="1:14">
      <c r="A139" s="58" t="s">
        <v>269</v>
      </c>
      <c r="B139" s="58">
        <f>SUM(G140:G141)</f>
        <v>806.94999999999993</v>
      </c>
      <c r="C139" s="58">
        <f>SUM(H140:H141)</f>
        <v>3000</v>
      </c>
      <c r="D139" s="58">
        <f>C139-B139</f>
        <v>2193.0500000000002</v>
      </c>
      <c r="I139" s="61"/>
    </row>
    <row r="140" spans="1:14">
      <c r="B140" s="52" t="s">
        <v>63</v>
      </c>
      <c r="G140" s="52">
        <f>Jan!G150+Feb!G150+Mar!G150+Apr!G150+May!G150+Jun!G150+July!G150+Aug!G150+Sep!G150+Oct!G150+Nov!G150+Dec!G150</f>
        <v>218.76</v>
      </c>
      <c r="H140" s="52">
        <f>J140*12</f>
        <v>1800</v>
      </c>
      <c r="I140" s="61">
        <f>H140-G140</f>
        <v>1581.24</v>
      </c>
      <c r="J140" s="52">
        <v>150</v>
      </c>
      <c r="L140" s="52">
        <v>124.19</v>
      </c>
      <c r="M140" s="52">
        <v>1711.46</v>
      </c>
      <c r="N140" s="52">
        <v>489.11</v>
      </c>
    </row>
    <row r="141" spans="1:14">
      <c r="B141" s="52" t="s">
        <v>64</v>
      </c>
      <c r="D141" s="52" t="s">
        <v>270</v>
      </c>
      <c r="G141" s="52">
        <f>Jan!G151+Feb!G151+Mar!G151+Apr!G151+May!G151+Jun!G151+July!G151+Aug!G151+Sep!G151+Oct!G151+Nov!G151+Dec!G151</f>
        <v>588.18999999999994</v>
      </c>
      <c r="H141" s="52">
        <f>J141*12</f>
        <v>1200</v>
      </c>
      <c r="I141" s="61">
        <f>H141-G141</f>
        <v>611.81000000000006</v>
      </c>
      <c r="J141" s="52">
        <v>100</v>
      </c>
      <c r="L141" s="52">
        <v>711.67</v>
      </c>
      <c r="M141" s="52">
        <v>682.18000000000006</v>
      </c>
      <c r="N141" s="52">
        <v>844.87000000000012</v>
      </c>
    </row>
    <row r="142" spans="1:14">
      <c r="I142" s="61"/>
    </row>
    <row r="143" spans="1:14">
      <c r="I143" s="61"/>
    </row>
    <row r="144" spans="1:14" ht="14.25" thickBot="1">
      <c r="A144" s="58" t="s">
        <v>459</v>
      </c>
      <c r="I144" s="61"/>
    </row>
    <row r="145" spans="1:14" ht="14.25" thickBot="1">
      <c r="B145" s="140">
        <f>SUM(G146:G160)</f>
        <v>3042.39</v>
      </c>
      <c r="C145" s="140">
        <f>SUM(H146:H160)</f>
        <v>7320</v>
      </c>
      <c r="D145" s="140">
        <f>C145-B145</f>
        <v>4277.6100000000006</v>
      </c>
      <c r="I145" s="61"/>
    </row>
    <row r="146" spans="1:14">
      <c r="A146" s="58" t="s">
        <v>461</v>
      </c>
      <c r="I146" s="61"/>
    </row>
    <row r="147" spans="1:14" ht="14.25" thickBot="1">
      <c r="B147" s="52" t="s">
        <v>267</v>
      </c>
      <c r="G147" s="52">
        <f>Jan!G157+Feb!G157+Mar!G157+Apr!G157+May!G157+Jun!G157+July!G157+Aug!G157+Sep!G157+Oct!G157+Nov!G157+Dec!G157</f>
        <v>0</v>
      </c>
      <c r="H147" s="52">
        <f t="shared" ref="H147:H160" si="10">J147*12</f>
        <v>1200</v>
      </c>
      <c r="I147" s="61">
        <f t="shared" ref="I147:I160" si="11">H147-G147</f>
        <v>1200</v>
      </c>
      <c r="J147" s="52">
        <v>100</v>
      </c>
      <c r="L147" s="52">
        <v>809.92</v>
      </c>
      <c r="M147" s="52">
        <v>704.81000000000017</v>
      </c>
      <c r="N147" s="52">
        <v>656.49</v>
      </c>
    </row>
    <row r="148" spans="1:14" ht="14.25" thickBot="1">
      <c r="A148" s="88">
        <f>SUM(G147:G151)</f>
        <v>75</v>
      </c>
      <c r="B148" s="52" t="s">
        <v>268</v>
      </c>
      <c r="G148" s="52">
        <f>Jan!G158+Feb!G158+Mar!G158+Apr!G158+May!G158+Jun!G158+July!G158+Aug!G158+Sep!G158+Oct!G158+Nov!G158+Dec!G158</f>
        <v>0</v>
      </c>
      <c r="H148" s="52">
        <f t="shared" si="10"/>
        <v>1200</v>
      </c>
      <c r="I148" s="61">
        <f t="shared" si="11"/>
        <v>1200</v>
      </c>
      <c r="J148" s="52">
        <v>100</v>
      </c>
      <c r="L148" s="52">
        <v>886.77</v>
      </c>
      <c r="M148" s="52">
        <v>248.82</v>
      </c>
    </row>
    <row r="149" spans="1:14">
      <c r="B149" s="52" t="s">
        <v>61</v>
      </c>
      <c r="G149" s="52">
        <f>Jan!G159+Feb!G159+Mar!G159+Apr!G159+May!G159+Jun!G159+July!G159+Aug!G159+Sep!G159+Oct!G159+Nov!G159+Dec!G159</f>
        <v>0</v>
      </c>
      <c r="H149" s="52">
        <f t="shared" si="10"/>
        <v>360</v>
      </c>
      <c r="I149" s="61">
        <f t="shared" si="11"/>
        <v>360</v>
      </c>
      <c r="J149" s="52">
        <v>30</v>
      </c>
      <c r="L149" s="52">
        <v>239.5</v>
      </c>
      <c r="M149" s="52">
        <v>279.91000000000003</v>
      </c>
      <c r="N149" s="52">
        <v>196.12999999999988</v>
      </c>
    </row>
    <row r="150" spans="1:14">
      <c r="B150" s="52" t="s">
        <v>62</v>
      </c>
      <c r="G150" s="52">
        <f>Jan!G160+Feb!G160+Mar!G160+Apr!G160+May!G160+Jun!G160+July!G160+Aug!G160+Sep!G160+Oct!G160+Nov!G160+Dec!G160</f>
        <v>75</v>
      </c>
      <c r="H150" s="52">
        <f t="shared" si="10"/>
        <v>600</v>
      </c>
      <c r="I150" s="61">
        <f t="shared" si="11"/>
        <v>525</v>
      </c>
      <c r="J150" s="52">
        <v>50</v>
      </c>
      <c r="L150" s="52">
        <v>330.91999999999996</v>
      </c>
      <c r="M150" s="52">
        <v>593.5</v>
      </c>
    </row>
    <row r="151" spans="1:14">
      <c r="B151" s="52" t="s">
        <v>486</v>
      </c>
      <c r="G151" s="52">
        <f>Jan!G161+Feb!G161+Mar!G161+Apr!G161+May!G161+Jun!G161+July!G161+Aug!G161+Sep!G161+Oct!G161+Nov!G161+Dec!G161</f>
        <v>0</v>
      </c>
      <c r="H151" s="52">
        <f t="shared" si="10"/>
        <v>120</v>
      </c>
      <c r="I151" s="61">
        <f t="shared" si="11"/>
        <v>120</v>
      </c>
      <c r="J151" s="52">
        <v>10</v>
      </c>
      <c r="L151" s="52">
        <v>16.91</v>
      </c>
    </row>
    <row r="152" spans="1:14">
      <c r="I152" s="61"/>
    </row>
    <row r="153" spans="1:14">
      <c r="A153" s="58" t="s">
        <v>460</v>
      </c>
      <c r="I153" s="61"/>
    </row>
    <row r="154" spans="1:14" ht="14.25" thickBot="1">
      <c r="B154" s="52" t="s">
        <v>456</v>
      </c>
      <c r="G154" s="52">
        <f>Jan!G164+Feb!G164+Mar!G164+Apr!G164+May!G164+Jun!G164+July!G164+Aug!G164+Sep!G164+Oct!G164+Nov!G164+Dec!G164</f>
        <v>33.17</v>
      </c>
      <c r="H154" s="52">
        <f t="shared" si="10"/>
        <v>360</v>
      </c>
      <c r="I154" s="61">
        <f t="shared" si="11"/>
        <v>326.83</v>
      </c>
      <c r="J154" s="52">
        <v>30</v>
      </c>
      <c r="L154" s="52">
        <v>0</v>
      </c>
    </row>
    <row r="155" spans="1:14" ht="14.25" thickBot="1">
      <c r="A155" s="88">
        <f>SUM(G154:G158)</f>
        <v>2967.39</v>
      </c>
      <c r="B155" s="52" t="s">
        <v>457</v>
      </c>
      <c r="G155" s="52">
        <f>Jan!G165+Feb!G165+Mar!G165+Apr!G165+May!G165+Jun!G165+July!G165+Aug!G165+Sep!G165+Oct!G165+Nov!G165+Dec!G165</f>
        <v>2934.22</v>
      </c>
      <c r="H155" s="52">
        <f t="shared" si="10"/>
        <v>360</v>
      </c>
      <c r="I155" s="61">
        <f t="shared" si="11"/>
        <v>-2574.2199999999998</v>
      </c>
      <c r="J155" s="52">
        <v>30</v>
      </c>
      <c r="L155" s="52">
        <v>5223.6000000000004</v>
      </c>
      <c r="N155" s="52">
        <v>1617.77</v>
      </c>
    </row>
    <row r="156" spans="1:14">
      <c r="B156" s="52" t="s">
        <v>486</v>
      </c>
      <c r="G156" s="52">
        <f>Jan!G166+Feb!G166+Mar!G166+Apr!G166+May!G166+Jun!G166+July!G166+Aug!G166+Sep!G166+Oct!G166+Nov!G166+Dec!G166</f>
        <v>0</v>
      </c>
      <c r="H156" s="52">
        <f t="shared" si="10"/>
        <v>360</v>
      </c>
      <c r="I156" s="61">
        <f t="shared" si="11"/>
        <v>360</v>
      </c>
      <c r="J156" s="52">
        <v>30</v>
      </c>
      <c r="L156" s="52">
        <v>500</v>
      </c>
    </row>
    <row r="157" spans="1:14">
      <c r="B157" s="52" t="s">
        <v>458</v>
      </c>
      <c r="G157" s="52">
        <f>Jan!G167+Feb!G167+Mar!G167+Apr!G167+May!G167+Jun!G167+July!G167+Aug!G167+Sep!G167+Oct!G167+Nov!G167+Dec!G167</f>
        <v>0</v>
      </c>
      <c r="H157" s="52">
        <f t="shared" si="10"/>
        <v>360</v>
      </c>
      <c r="I157" s="61">
        <f t="shared" si="11"/>
        <v>360</v>
      </c>
      <c r="J157" s="52">
        <v>30</v>
      </c>
      <c r="L157" s="52">
        <v>0</v>
      </c>
    </row>
    <row r="158" spans="1:14">
      <c r="B158" s="52" t="s">
        <v>485</v>
      </c>
      <c r="G158" s="52">
        <f>Jan!G168+Feb!G168+Mar!G168+Apr!G168+May!G168+Jun!G168+July!G168+Aug!G168+Sep!G168+Oct!G168+Nov!G168+Dec!G168</f>
        <v>0</v>
      </c>
      <c r="H158" s="52">
        <f t="shared" si="10"/>
        <v>1200</v>
      </c>
      <c r="I158" s="61">
        <f t="shared" si="11"/>
        <v>1200</v>
      </c>
      <c r="J158" s="52">
        <v>100</v>
      </c>
      <c r="L158" s="52">
        <v>210</v>
      </c>
      <c r="N158" s="52">
        <v>1868.99</v>
      </c>
    </row>
    <row r="159" spans="1:14">
      <c r="I159" s="61"/>
    </row>
    <row r="160" spans="1:14">
      <c r="A160" s="58" t="s">
        <v>272</v>
      </c>
      <c r="G160" s="52">
        <f>Jan!G170+Feb!G170+Mar!G170+Apr!G170+May!G170+Jun!G170+July!G170+Aug!G170+Sep!G170+Oct!G170+Nov!G170+Dec!G170</f>
        <v>0</v>
      </c>
      <c r="H160" s="52">
        <f t="shared" si="10"/>
        <v>1200</v>
      </c>
      <c r="I160" s="61">
        <f t="shared" si="11"/>
        <v>1200</v>
      </c>
      <c r="J160" s="52">
        <v>100</v>
      </c>
      <c r="L160" s="52">
        <v>300</v>
      </c>
      <c r="M160" s="52">
        <v>1430</v>
      </c>
      <c r="N160" s="52">
        <v>805</v>
      </c>
    </row>
    <row r="65559" ht="13.5" customHeight="1"/>
  </sheetData>
  <sheetProtection selectLockedCells="1" selectUnlockedCells="1"/>
  <pageMargins left="0.75" right="0.75" top="1" bottom="1" header="0.51180555555555551" footer="0.51180555555555551"/>
  <pageSetup firstPageNumber="0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0"/>
  <sheetViews>
    <sheetView zoomScale="84" zoomScaleNormal="84" workbookViewId="0">
      <pane ySplit="1335" topLeftCell="A22" activePane="bottomLeft"/>
      <selection activeCell="E2" sqref="E2"/>
      <selection pane="bottomLeft" activeCell="P43" sqref="P43"/>
    </sheetView>
  </sheetViews>
  <sheetFormatPr defaultColWidth="11.5703125" defaultRowHeight="15.75"/>
  <cols>
    <col min="1" max="1" width="46.140625" style="107" customWidth="1"/>
    <col min="2" max="2" width="14.85546875" style="39" customWidth="1"/>
    <col min="3" max="3" width="12.42578125" style="39" customWidth="1"/>
    <col min="4" max="7" width="12.28515625" style="39" customWidth="1"/>
    <col min="8" max="8" width="12.42578125" style="39" customWidth="1"/>
    <col min="9" max="10" width="12.28515625" style="39" customWidth="1"/>
    <col min="11" max="11" width="12.42578125" style="39" customWidth="1"/>
    <col min="12" max="12" width="12.28515625" style="39" customWidth="1"/>
    <col min="13" max="13" width="12.42578125" style="39" customWidth="1"/>
    <col min="14" max="14" width="12.28515625" style="39" customWidth="1"/>
    <col min="15" max="15" width="15" style="39" customWidth="1"/>
    <col min="16" max="16384" width="11.5703125" style="39"/>
  </cols>
  <sheetData>
    <row r="1" spans="1:16">
      <c r="A1" s="258" t="s">
        <v>1221</v>
      </c>
      <c r="B1" s="40"/>
    </row>
    <row r="2" spans="1:16">
      <c r="A2" s="271" t="s">
        <v>517</v>
      </c>
    </row>
    <row r="3" spans="1:16">
      <c r="A3" s="107" t="s">
        <v>237</v>
      </c>
      <c r="B3" s="330" t="s">
        <v>238</v>
      </c>
    </row>
    <row r="4" spans="1:16">
      <c r="B4" s="330" t="s">
        <v>239</v>
      </c>
      <c r="C4" s="330" t="s">
        <v>121</v>
      </c>
      <c r="D4" s="330" t="s">
        <v>128</v>
      </c>
      <c r="E4" s="330" t="s">
        <v>134</v>
      </c>
      <c r="F4" s="330" t="s">
        <v>136</v>
      </c>
      <c r="G4" s="330" t="s">
        <v>10</v>
      </c>
      <c r="H4" s="330" t="s">
        <v>138</v>
      </c>
      <c r="I4" s="330" t="s">
        <v>139</v>
      </c>
      <c r="J4" s="330" t="s">
        <v>141</v>
      </c>
      <c r="K4" s="330" t="s">
        <v>143</v>
      </c>
      <c r="L4" s="330" t="s">
        <v>145</v>
      </c>
      <c r="M4" s="330" t="s">
        <v>147</v>
      </c>
      <c r="N4" s="330" t="s">
        <v>148</v>
      </c>
      <c r="O4" s="330" t="s">
        <v>79</v>
      </c>
    </row>
    <row r="5" spans="1:16">
      <c r="A5" s="108" t="s">
        <v>286</v>
      </c>
    </row>
    <row r="6" spans="1:16">
      <c r="A6" s="109" t="s">
        <v>231</v>
      </c>
      <c r="B6" s="39">
        <v>-353</v>
      </c>
      <c r="C6" s="41">
        <f>Jan!$G$14</f>
        <v>0</v>
      </c>
      <c r="D6" s="41">
        <f>Feb!$G$14</f>
        <v>0</v>
      </c>
      <c r="E6" s="41">
        <f>Mar!$G$14</f>
        <v>0</v>
      </c>
      <c r="F6" s="41">
        <f>Apr!$G$14</f>
        <v>0</v>
      </c>
      <c r="G6" s="41">
        <f>May!$G$14</f>
        <v>0</v>
      </c>
      <c r="H6" s="41">
        <f>Jun!$G$14</f>
        <v>0</v>
      </c>
      <c r="I6" s="41">
        <f>July!$G$14</f>
        <v>4595</v>
      </c>
      <c r="J6" s="41">
        <f>Aug!$G$14</f>
        <v>0</v>
      </c>
      <c r="K6" s="41">
        <f>Sep!$G$14</f>
        <v>0</v>
      </c>
      <c r="L6" s="41">
        <f>Oct!$G$14</f>
        <v>478.42</v>
      </c>
      <c r="M6" s="41">
        <f>Nov!$G$14</f>
        <v>0</v>
      </c>
      <c r="N6" s="41">
        <f>Dec!$G$14</f>
        <v>0</v>
      </c>
      <c r="O6" s="41">
        <f>SUM(B6:N6)</f>
        <v>4720.42</v>
      </c>
    </row>
    <row r="7" spans="1:16">
      <c r="A7" s="109" t="s">
        <v>240</v>
      </c>
      <c r="C7" s="41"/>
      <c r="D7" s="41"/>
      <c r="E7" s="41"/>
      <c r="F7" s="41"/>
      <c r="G7" s="41"/>
      <c r="H7" s="41"/>
      <c r="I7" s="41">
        <v>4595</v>
      </c>
      <c r="J7" s="41"/>
      <c r="K7" s="41"/>
      <c r="L7" s="41">
        <v>478.42</v>
      </c>
      <c r="M7" s="41"/>
      <c r="N7" s="41"/>
      <c r="O7" s="41">
        <f>SUM(B7:N7)</f>
        <v>5073.42</v>
      </c>
    </row>
    <row r="8" spans="1:16">
      <c r="A8" s="109" t="s">
        <v>241</v>
      </c>
      <c r="B8" s="42">
        <f t="shared" ref="B8:O8" si="0">B6-B7</f>
        <v>-353</v>
      </c>
      <c r="C8" s="43">
        <f t="shared" si="0"/>
        <v>0</v>
      </c>
      <c r="D8" s="43">
        <f t="shared" si="0"/>
        <v>0</v>
      </c>
      <c r="E8" s="43">
        <f t="shared" si="0"/>
        <v>0</v>
      </c>
      <c r="F8" s="43">
        <f t="shared" si="0"/>
        <v>0</v>
      </c>
      <c r="G8" s="43">
        <f t="shared" si="0"/>
        <v>0</v>
      </c>
      <c r="H8" s="43">
        <f t="shared" si="0"/>
        <v>0</v>
      </c>
      <c r="I8" s="43">
        <f t="shared" si="0"/>
        <v>0</v>
      </c>
      <c r="J8" s="43">
        <f t="shared" si="0"/>
        <v>0</v>
      </c>
      <c r="K8" s="43">
        <f t="shared" si="0"/>
        <v>0</v>
      </c>
      <c r="L8" s="43">
        <f t="shared" si="0"/>
        <v>0</v>
      </c>
      <c r="M8" s="43">
        <f t="shared" si="0"/>
        <v>0</v>
      </c>
      <c r="N8" s="43">
        <f t="shared" si="0"/>
        <v>0</v>
      </c>
      <c r="O8" s="43">
        <f t="shared" si="0"/>
        <v>-353</v>
      </c>
    </row>
    <row r="9" spans="1:16">
      <c r="A9" s="109"/>
      <c r="C9" s="41"/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</row>
    <row r="10" spans="1:16">
      <c r="A10" s="110" t="s">
        <v>233</v>
      </c>
      <c r="C10" s="41"/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1"/>
    </row>
    <row r="11" spans="1:16">
      <c r="A11" s="109" t="s">
        <v>30</v>
      </c>
      <c r="B11" s="39">
        <v>1800</v>
      </c>
      <c r="C11" s="41">
        <f>Jan!$G$15</f>
        <v>0</v>
      </c>
      <c r="D11" s="41">
        <f>Feb!$G$15</f>
        <v>0</v>
      </c>
      <c r="E11" s="41">
        <f>Mar!$G$15</f>
        <v>0</v>
      </c>
      <c r="F11" s="41">
        <f>Apr!$G$15</f>
        <v>0</v>
      </c>
      <c r="G11" s="41">
        <f>May!$G$15</f>
        <v>0</v>
      </c>
      <c r="H11" s="41">
        <f>Jun!$G$15</f>
        <v>0</v>
      </c>
      <c r="I11" s="41">
        <f>July!$G$15</f>
        <v>0</v>
      </c>
      <c r="J11" s="41">
        <f>Aug!$G$15</f>
        <v>0</v>
      </c>
      <c r="K11" s="41">
        <f>Sep!$G$15</f>
        <v>0</v>
      </c>
      <c r="L11" s="41">
        <f>Oct!$G$15</f>
        <v>0</v>
      </c>
      <c r="M11" s="41">
        <f>Nov!$G$15</f>
        <v>0</v>
      </c>
      <c r="N11" s="41">
        <f>Dec!$G$15</f>
        <v>0</v>
      </c>
      <c r="O11" s="41">
        <f>SUM(B11:N11)</f>
        <v>1800</v>
      </c>
    </row>
    <row r="12" spans="1:16">
      <c r="A12" s="109" t="s">
        <v>304</v>
      </c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>
        <v>-1040</v>
      </c>
      <c r="O12" s="41">
        <f>SUM(B12:N12)</f>
        <v>-1040</v>
      </c>
      <c r="P12" s="39" t="s">
        <v>1285</v>
      </c>
    </row>
    <row r="13" spans="1:16">
      <c r="A13" s="109" t="s">
        <v>296</v>
      </c>
      <c r="B13" s="39">
        <v>4330</v>
      </c>
      <c r="C13" s="41">
        <f>Jan!$G$16</f>
        <v>0</v>
      </c>
      <c r="D13" s="41">
        <f>Feb!$G$16</f>
        <v>0</v>
      </c>
      <c r="E13" s="41">
        <f>Mar!$G$16</f>
        <v>0</v>
      </c>
      <c r="F13" s="41">
        <f>Apr!$G$16</f>
        <v>0</v>
      </c>
      <c r="G13" s="41">
        <f>May!$G$16</f>
        <v>0</v>
      </c>
      <c r="H13" s="41">
        <f>Jun!$G$16</f>
        <v>0</v>
      </c>
      <c r="I13" s="41">
        <f>July!$G$16</f>
        <v>0</v>
      </c>
      <c r="J13" s="41">
        <f>Aug!$G$16</f>
        <v>0</v>
      </c>
      <c r="K13" s="41">
        <f>Sep!$G$16</f>
        <v>0</v>
      </c>
      <c r="L13" s="41">
        <f>Oct!$G$16</f>
        <v>0</v>
      </c>
      <c r="M13" s="41">
        <f>Nov!$G$16</f>
        <v>0</v>
      </c>
      <c r="N13" s="41">
        <f>Dec!$G$16</f>
        <v>0</v>
      </c>
      <c r="O13" s="41">
        <f>SUM(B13:N13)</f>
        <v>4330</v>
      </c>
    </row>
    <row r="14" spans="1:16">
      <c r="A14" s="109" t="s">
        <v>297</v>
      </c>
      <c r="B14" s="39">
        <v>0</v>
      </c>
      <c r="C14" s="41">
        <v>0</v>
      </c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>
        <f>SUM(B14:N14)</f>
        <v>0</v>
      </c>
    </row>
    <row r="15" spans="1:16">
      <c r="A15" s="109" t="s">
        <v>241</v>
      </c>
      <c r="B15" s="42">
        <f>SUM(B11:B14)</f>
        <v>6130</v>
      </c>
      <c r="C15" s="42">
        <f t="shared" ref="C15:O15" si="1">SUM(C11:C14)</f>
        <v>0</v>
      </c>
      <c r="D15" s="42">
        <f t="shared" si="1"/>
        <v>0</v>
      </c>
      <c r="E15" s="42">
        <f t="shared" si="1"/>
        <v>0</v>
      </c>
      <c r="F15" s="42">
        <f t="shared" si="1"/>
        <v>0</v>
      </c>
      <c r="G15" s="42">
        <f t="shared" si="1"/>
        <v>0</v>
      </c>
      <c r="H15" s="42">
        <f t="shared" si="1"/>
        <v>0</v>
      </c>
      <c r="I15" s="42">
        <f t="shared" si="1"/>
        <v>0</v>
      </c>
      <c r="J15" s="42">
        <f t="shared" si="1"/>
        <v>0</v>
      </c>
      <c r="K15" s="42">
        <f t="shared" si="1"/>
        <v>0</v>
      </c>
      <c r="L15" s="42">
        <f t="shared" si="1"/>
        <v>0</v>
      </c>
      <c r="M15" s="42">
        <f t="shared" si="1"/>
        <v>0</v>
      </c>
      <c r="N15" s="42">
        <f t="shared" si="1"/>
        <v>-1040</v>
      </c>
      <c r="O15" s="42">
        <f t="shared" si="1"/>
        <v>5090</v>
      </c>
    </row>
    <row r="16" spans="1:16"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</row>
    <row r="17" spans="1:15">
      <c r="A17" s="110" t="s">
        <v>498</v>
      </c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</row>
    <row r="18" spans="1:15" ht="16.5" thickBot="1">
      <c r="A18" s="109" t="s">
        <v>499</v>
      </c>
      <c r="B18" s="39">
        <v>2200</v>
      </c>
      <c r="C18" s="41">
        <f>Jan!$G$17</f>
        <v>0</v>
      </c>
      <c r="D18" s="41">
        <f>Feb!$G$17</f>
        <v>0</v>
      </c>
      <c r="E18" s="41">
        <f>Mar!$G$17</f>
        <v>0</v>
      </c>
      <c r="F18" s="41">
        <f>Apr!$G$17</f>
        <v>0</v>
      </c>
      <c r="G18" s="41">
        <f>May!$G$17</f>
        <v>0</v>
      </c>
      <c r="H18" s="41">
        <f>Jun!$G$17</f>
        <v>0</v>
      </c>
      <c r="I18" s="41">
        <f>July!$G$17</f>
        <v>0</v>
      </c>
      <c r="J18" s="41">
        <f>Aug!$G$17</f>
        <v>0</v>
      </c>
      <c r="K18" s="41">
        <f>Sep!$G$17</f>
        <v>0</v>
      </c>
      <c r="L18" s="41">
        <f>Oct!$G$17</f>
        <v>0</v>
      </c>
      <c r="M18" s="41">
        <f>Nov!$G$17</f>
        <v>0</v>
      </c>
      <c r="N18" s="41">
        <f>Dec!$G$17</f>
        <v>0</v>
      </c>
      <c r="O18" s="41">
        <f t="shared" ref="O18:O27" si="2">SUM(B18:N18)</f>
        <v>2200</v>
      </c>
    </row>
    <row r="19" spans="1:15" ht="16.5" thickBot="1">
      <c r="A19" s="109" t="s">
        <v>698</v>
      </c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376">
        <f>SUM(O20:O24)</f>
        <v>2967.39</v>
      </c>
    </row>
    <row r="20" spans="1:15" ht="13.5">
      <c r="A20" s="52" t="s">
        <v>456</v>
      </c>
      <c r="B20" s="39">
        <v>0</v>
      </c>
      <c r="C20" s="41">
        <f>Jan!G164</f>
        <v>0</v>
      </c>
      <c r="D20" s="41">
        <f>Feb!G164</f>
        <v>33.17</v>
      </c>
      <c r="E20" s="41">
        <f>Mar!G164</f>
        <v>0</v>
      </c>
      <c r="F20" s="41">
        <f>Apr!G164</f>
        <v>0</v>
      </c>
      <c r="G20" s="41">
        <f>May!G164</f>
        <v>0</v>
      </c>
      <c r="H20" s="41">
        <f>Jun!G164</f>
        <v>0</v>
      </c>
      <c r="I20" s="41">
        <f>July!G164</f>
        <v>0</v>
      </c>
      <c r="J20" s="41">
        <f>Aug!G164</f>
        <v>0</v>
      </c>
      <c r="K20" s="41">
        <f>Sep!G164</f>
        <v>0</v>
      </c>
      <c r="L20" s="41">
        <f>Oct!G164</f>
        <v>0</v>
      </c>
      <c r="M20" s="41">
        <f>Nov!G164</f>
        <v>0</v>
      </c>
      <c r="N20" s="41">
        <f>Dec!G164</f>
        <v>0</v>
      </c>
      <c r="O20" s="41">
        <f t="shared" si="2"/>
        <v>33.17</v>
      </c>
    </row>
    <row r="21" spans="1:15" ht="13.5">
      <c r="A21" s="52" t="s">
        <v>457</v>
      </c>
      <c r="B21" s="39">
        <v>0</v>
      </c>
      <c r="C21" s="41">
        <f>Jan!G165</f>
        <v>0</v>
      </c>
      <c r="D21" s="41">
        <f>Feb!G165</f>
        <v>10</v>
      </c>
      <c r="E21" s="41">
        <f>Mar!G165</f>
        <v>0</v>
      </c>
      <c r="F21" s="41">
        <f>Apr!G165</f>
        <v>0</v>
      </c>
      <c r="G21" s="41">
        <f>May!G165</f>
        <v>0</v>
      </c>
      <c r="H21" s="41">
        <f>Jun!G165</f>
        <v>0</v>
      </c>
      <c r="I21" s="41">
        <f>July!G165</f>
        <v>0</v>
      </c>
      <c r="J21" s="41">
        <f>Aug!G165</f>
        <v>0</v>
      </c>
      <c r="K21" s="41">
        <f>Sep!G165</f>
        <v>0</v>
      </c>
      <c r="L21" s="41">
        <f>Oct!G165</f>
        <v>0</v>
      </c>
      <c r="M21" s="41">
        <f>Nov!G165</f>
        <v>2924.22</v>
      </c>
      <c r="N21" s="41">
        <f>Dec!G165</f>
        <v>0</v>
      </c>
      <c r="O21" s="41">
        <f t="shared" si="2"/>
        <v>2934.22</v>
      </c>
    </row>
    <row r="22" spans="1:15" ht="13.5">
      <c r="A22" s="52" t="s">
        <v>486</v>
      </c>
      <c r="B22" s="39">
        <v>0</v>
      </c>
      <c r="C22" s="41">
        <f>Jan!G166</f>
        <v>0</v>
      </c>
      <c r="D22" s="41">
        <f>Feb!G166</f>
        <v>0</v>
      </c>
      <c r="E22" s="41">
        <f>Mar!G166</f>
        <v>0</v>
      </c>
      <c r="F22" s="41">
        <f>Apr!G166</f>
        <v>0</v>
      </c>
      <c r="G22" s="41">
        <f>May!G166</f>
        <v>0</v>
      </c>
      <c r="H22" s="41">
        <f>Jun!G166</f>
        <v>0</v>
      </c>
      <c r="I22" s="41">
        <f>July!G166</f>
        <v>0</v>
      </c>
      <c r="J22" s="41">
        <f>Aug!G166</f>
        <v>0</v>
      </c>
      <c r="K22" s="41">
        <f>Sep!G166</f>
        <v>0</v>
      </c>
      <c r="L22" s="41">
        <f>Oct!G166</f>
        <v>0</v>
      </c>
      <c r="M22" s="41">
        <f>Nov!G166</f>
        <v>0</v>
      </c>
      <c r="N22" s="41">
        <f>Dec!G166</f>
        <v>0</v>
      </c>
      <c r="O22" s="41">
        <f t="shared" si="2"/>
        <v>0</v>
      </c>
    </row>
    <row r="23" spans="1:15" ht="13.5">
      <c r="A23" s="52" t="s">
        <v>458</v>
      </c>
      <c r="B23" s="39">
        <v>0</v>
      </c>
      <c r="C23" s="41">
        <f>Jan!G167</f>
        <v>0</v>
      </c>
      <c r="D23" s="41">
        <f>Feb!G167</f>
        <v>0</v>
      </c>
      <c r="E23" s="41">
        <f>Mar!G167</f>
        <v>0</v>
      </c>
      <c r="F23" s="41">
        <f>Apr!G167</f>
        <v>0</v>
      </c>
      <c r="G23" s="41">
        <f>May!G167</f>
        <v>0</v>
      </c>
      <c r="H23" s="41">
        <f>Jun!G167</f>
        <v>0</v>
      </c>
      <c r="I23" s="41">
        <f>July!G167</f>
        <v>0</v>
      </c>
      <c r="J23" s="41">
        <f>Aug!G167</f>
        <v>0</v>
      </c>
      <c r="K23" s="41">
        <f>Sep!G167</f>
        <v>0</v>
      </c>
      <c r="L23" s="41">
        <f>Oct!G167</f>
        <v>0</v>
      </c>
      <c r="M23" s="41">
        <f>Nov!G167</f>
        <v>0</v>
      </c>
      <c r="N23" s="41">
        <f>Dec!G167</f>
        <v>0</v>
      </c>
      <c r="O23" s="41">
        <f t="shared" si="2"/>
        <v>0</v>
      </c>
    </row>
    <row r="24" spans="1:15" ht="13.5">
      <c r="A24" s="52" t="s">
        <v>485</v>
      </c>
      <c r="B24" s="39">
        <v>0</v>
      </c>
      <c r="C24" s="41">
        <f>Jan!G168</f>
        <v>0</v>
      </c>
      <c r="D24" s="41">
        <f>Feb!G168</f>
        <v>0</v>
      </c>
      <c r="E24" s="41">
        <f>Mar!G168</f>
        <v>0</v>
      </c>
      <c r="F24" s="41">
        <f>Apr!G168</f>
        <v>0</v>
      </c>
      <c r="G24" s="41">
        <f>May!G168</f>
        <v>0</v>
      </c>
      <c r="H24" s="41">
        <f>Jun!G168</f>
        <v>0</v>
      </c>
      <c r="I24" s="41">
        <f>July!G168</f>
        <v>0</v>
      </c>
      <c r="J24" s="41">
        <f>Aug!G168</f>
        <v>0</v>
      </c>
      <c r="K24" s="41">
        <f>Sep!G168</f>
        <v>0</v>
      </c>
      <c r="L24" s="41">
        <f>Oct!G168</f>
        <v>0</v>
      </c>
      <c r="M24" s="41">
        <f>Nov!G168</f>
        <v>0</v>
      </c>
      <c r="N24" s="41">
        <f>Dec!G168</f>
        <v>0</v>
      </c>
      <c r="O24" s="41">
        <f t="shared" si="2"/>
        <v>0</v>
      </c>
    </row>
    <row r="25" spans="1:15" ht="13.5">
      <c r="A25" s="52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</row>
    <row r="26" spans="1:15" ht="13.5">
      <c r="A26" s="52" t="s">
        <v>652</v>
      </c>
      <c r="C26" s="41">
        <f>C52</f>
        <v>0</v>
      </c>
      <c r="D26" s="41">
        <f t="shared" ref="D26:N26" si="3">D52</f>
        <v>0</v>
      </c>
      <c r="E26" s="41">
        <f t="shared" si="3"/>
        <v>0</v>
      </c>
      <c r="F26" s="41">
        <f t="shared" si="3"/>
        <v>0</v>
      </c>
      <c r="G26" s="41">
        <f t="shared" si="3"/>
        <v>0</v>
      </c>
      <c r="H26" s="41">
        <f t="shared" si="3"/>
        <v>0</v>
      </c>
      <c r="I26" s="41">
        <f t="shared" si="3"/>
        <v>0</v>
      </c>
      <c r="J26" s="41">
        <f t="shared" si="3"/>
        <v>0</v>
      </c>
      <c r="K26" s="41">
        <f t="shared" si="3"/>
        <v>0</v>
      </c>
      <c r="L26" s="41">
        <f t="shared" si="3"/>
        <v>0</v>
      </c>
      <c r="M26" s="41">
        <f t="shared" si="3"/>
        <v>0</v>
      </c>
      <c r="N26" s="41">
        <f t="shared" si="3"/>
        <v>0</v>
      </c>
      <c r="O26" s="41">
        <f t="shared" si="2"/>
        <v>0</v>
      </c>
    </row>
    <row r="27" spans="1:15">
      <c r="A27" s="109" t="s">
        <v>241</v>
      </c>
      <c r="B27" s="42">
        <f>B18-B20</f>
        <v>2200</v>
      </c>
      <c r="C27" s="43">
        <f>C18-C19+C26</f>
        <v>0</v>
      </c>
      <c r="D27" s="43">
        <f t="shared" ref="D27:N27" si="4">D18-D19+D26</f>
        <v>0</v>
      </c>
      <c r="E27" s="43">
        <f t="shared" si="4"/>
        <v>0</v>
      </c>
      <c r="F27" s="43">
        <f t="shared" si="4"/>
        <v>0</v>
      </c>
      <c r="G27" s="43">
        <f t="shared" si="4"/>
        <v>0</v>
      </c>
      <c r="H27" s="43">
        <f t="shared" si="4"/>
        <v>0</v>
      </c>
      <c r="I27" s="43">
        <f t="shared" si="4"/>
        <v>0</v>
      </c>
      <c r="J27" s="43">
        <f t="shared" si="4"/>
        <v>0</v>
      </c>
      <c r="K27" s="43">
        <f t="shared" si="4"/>
        <v>0</v>
      </c>
      <c r="L27" s="43">
        <f t="shared" si="4"/>
        <v>0</v>
      </c>
      <c r="M27" s="43">
        <f t="shared" si="4"/>
        <v>0</v>
      </c>
      <c r="N27" s="43">
        <f t="shared" si="4"/>
        <v>0</v>
      </c>
      <c r="O27" s="43">
        <f t="shared" si="2"/>
        <v>2200</v>
      </c>
    </row>
    <row r="28" spans="1:15"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</row>
    <row r="29" spans="1:15">
      <c r="A29" s="110" t="s">
        <v>242</v>
      </c>
    </row>
    <row r="30" spans="1:15">
      <c r="A30" s="109" t="s">
        <v>231</v>
      </c>
      <c r="B30" s="39">
        <v>550</v>
      </c>
      <c r="C30" s="39">
        <f>Jan!$G$18</f>
        <v>0</v>
      </c>
      <c r="D30" s="39">
        <f>Feb!$G$18</f>
        <v>0</v>
      </c>
      <c r="E30" s="39">
        <f>Mar!$G$18</f>
        <v>0</v>
      </c>
      <c r="F30" s="39">
        <f>Apr!$G$18</f>
        <v>0</v>
      </c>
      <c r="G30" s="51">
        <f>May!$G$18</f>
        <v>0</v>
      </c>
      <c r="H30" s="39">
        <f>Jun!$G$18</f>
        <v>0</v>
      </c>
      <c r="I30" s="39">
        <f>July!$G$18</f>
        <v>0</v>
      </c>
      <c r="J30" s="39">
        <f>Aug!$G$18</f>
        <v>0</v>
      </c>
      <c r="K30" s="39">
        <f>Sep!$G$18</f>
        <v>0</v>
      </c>
      <c r="L30" s="39">
        <f>Oct!$G$18</f>
        <v>0</v>
      </c>
      <c r="M30" s="39">
        <f>Nov!$G$18</f>
        <v>0</v>
      </c>
      <c r="N30" s="39">
        <f>Dec!$G$18</f>
        <v>0</v>
      </c>
      <c r="O30" s="41">
        <f>SUM(B30:N30)</f>
        <v>550</v>
      </c>
    </row>
    <row r="31" spans="1:15">
      <c r="A31" s="109" t="s">
        <v>519</v>
      </c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</row>
    <row r="32" spans="1:15">
      <c r="A32" s="109" t="s">
        <v>241</v>
      </c>
      <c r="B32" s="42">
        <f>B30-B31</f>
        <v>550</v>
      </c>
      <c r="C32" s="43">
        <f>C30-C31</f>
        <v>0</v>
      </c>
      <c r="D32" s="43">
        <f t="shared" ref="D32:N32" si="5">D30-D31</f>
        <v>0</v>
      </c>
      <c r="E32" s="43">
        <f t="shared" si="5"/>
        <v>0</v>
      </c>
      <c r="F32" s="43">
        <f t="shared" si="5"/>
        <v>0</v>
      </c>
      <c r="G32" s="43">
        <f t="shared" si="5"/>
        <v>0</v>
      </c>
      <c r="H32" s="43">
        <f t="shared" si="5"/>
        <v>0</v>
      </c>
      <c r="I32" s="43">
        <f t="shared" si="5"/>
        <v>0</v>
      </c>
      <c r="J32" s="43">
        <f t="shared" si="5"/>
        <v>0</v>
      </c>
      <c r="K32" s="43">
        <f t="shared" si="5"/>
        <v>0</v>
      </c>
      <c r="L32" s="43">
        <f t="shared" si="5"/>
        <v>0</v>
      </c>
      <c r="M32" s="43">
        <f t="shared" si="5"/>
        <v>0</v>
      </c>
      <c r="N32" s="43">
        <f t="shared" si="5"/>
        <v>0</v>
      </c>
      <c r="O32" s="43">
        <f>O30-O31</f>
        <v>550</v>
      </c>
    </row>
    <row r="33" spans="1:16">
      <c r="A33" s="109"/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4"/>
    </row>
    <row r="34" spans="1:16">
      <c r="C34" s="41"/>
      <c r="D34" s="41"/>
      <c r="E34" s="41"/>
      <c r="F34" s="41"/>
      <c r="G34" s="41"/>
      <c r="H34" s="41"/>
      <c r="I34" s="41"/>
      <c r="J34" s="41"/>
      <c r="K34" s="41"/>
      <c r="L34" s="41"/>
      <c r="M34" s="41"/>
      <c r="N34" s="41"/>
      <c r="O34" s="41"/>
    </row>
    <row r="35" spans="1:16">
      <c r="A35" s="110" t="s">
        <v>285</v>
      </c>
      <c r="B35" s="42"/>
      <c r="C35" s="43">
        <f>Jan!$G$30</f>
        <v>0</v>
      </c>
      <c r="D35" s="43">
        <f>Feb!$G$30</f>
        <v>5966</v>
      </c>
      <c r="E35" s="43">
        <f>Mar!$G$30</f>
        <v>0</v>
      </c>
      <c r="F35" s="43">
        <f>Apr!$G$30</f>
        <v>0</v>
      </c>
      <c r="G35" s="43">
        <f>May!$G$30</f>
        <v>1331</v>
      </c>
      <c r="H35" s="43">
        <f>Jun!$G$30</f>
        <v>0</v>
      </c>
      <c r="I35" s="43">
        <f>July!$G$30</f>
        <v>0</v>
      </c>
      <c r="J35" s="43">
        <f>Aug!$G$30</f>
        <v>0</v>
      </c>
      <c r="K35" s="43">
        <f>Sep!$G$30</f>
        <v>0</v>
      </c>
      <c r="L35" s="43">
        <f>Oct!$G$30</f>
        <v>0</v>
      </c>
      <c r="M35" s="43">
        <f>Nov!$G$30</f>
        <v>0</v>
      </c>
      <c r="N35" s="43">
        <f>Dec!$G$30</f>
        <v>0</v>
      </c>
      <c r="O35" s="43">
        <f>SUM(B35:N35)</f>
        <v>7297</v>
      </c>
    </row>
    <row r="36" spans="1:16">
      <c r="A36" s="114"/>
      <c r="B36" s="44"/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</row>
    <row r="37" spans="1:16">
      <c r="A37" s="112" t="s">
        <v>306</v>
      </c>
      <c r="B37" s="101"/>
      <c r="C37" s="102">
        <f>Jan!$G$33</f>
        <v>-14069.079999999991</v>
      </c>
      <c r="D37" s="102">
        <f>Feb!$G$33</f>
        <v>-32097.780000000006</v>
      </c>
      <c r="E37" s="102">
        <f>Mar!$G$33</f>
        <v>-9392.2399999999907</v>
      </c>
      <c r="F37" s="102">
        <f>Apr!$G$33</f>
        <v>-19132.420000000006</v>
      </c>
      <c r="G37" s="102">
        <f>May!$G$33</f>
        <v>1268.3800000000022</v>
      </c>
      <c r="H37" s="102">
        <f>Jun!$G$33</f>
        <v>3272.09</v>
      </c>
      <c r="I37" s="102">
        <f>July!$G$33</f>
        <v>-1356.9900000000016</v>
      </c>
      <c r="J37" s="102">
        <f>Aug!$G$33</f>
        <v>-3985</v>
      </c>
      <c r="K37" s="102">
        <f>Sep!$G$33</f>
        <v>2529.0500000000011</v>
      </c>
      <c r="L37" s="102">
        <f>Oct!$G$33</f>
        <v>28133.910000000091</v>
      </c>
      <c r="M37" s="102">
        <f>Nov!$G$33</f>
        <v>30415.03</v>
      </c>
      <c r="N37" s="102">
        <f>Dec!$G$33</f>
        <v>-4569.1400000000012</v>
      </c>
      <c r="O37" s="101">
        <f>SUM(B37:N37)</f>
        <v>-18984.1899999999</v>
      </c>
    </row>
    <row r="38" spans="1:16">
      <c r="A38" s="114"/>
      <c r="B38" s="44"/>
      <c r="C38" s="46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</row>
    <row r="39" spans="1:16">
      <c r="A39" s="111"/>
      <c r="B39" s="330" t="s">
        <v>238</v>
      </c>
      <c r="C39" s="330"/>
      <c r="D39" s="330"/>
      <c r="E39" s="330"/>
      <c r="F39" s="330"/>
      <c r="G39" s="330"/>
      <c r="H39" s="330"/>
      <c r="I39" s="330"/>
      <c r="J39" s="330"/>
      <c r="K39" s="330"/>
      <c r="L39" s="330"/>
      <c r="M39" s="330"/>
      <c r="N39" s="330"/>
      <c r="O39" s="330"/>
    </row>
    <row r="40" spans="1:16">
      <c r="A40" s="113" t="s">
        <v>256</v>
      </c>
      <c r="B40" s="330" t="s">
        <v>239</v>
      </c>
      <c r="C40" s="330" t="s">
        <v>121</v>
      </c>
      <c r="D40" s="330" t="s">
        <v>128</v>
      </c>
      <c r="E40" s="330" t="s">
        <v>134</v>
      </c>
      <c r="F40" s="330" t="s">
        <v>136</v>
      </c>
      <c r="G40" s="330" t="s">
        <v>10</v>
      </c>
      <c r="H40" s="330" t="s">
        <v>138</v>
      </c>
      <c r="I40" s="330" t="s">
        <v>139</v>
      </c>
      <c r="J40" s="330" t="s">
        <v>141</v>
      </c>
      <c r="K40" s="330" t="s">
        <v>143</v>
      </c>
      <c r="L40" s="330" t="s">
        <v>145</v>
      </c>
      <c r="M40" s="330" t="s">
        <v>147</v>
      </c>
      <c r="N40" s="330" t="s">
        <v>148</v>
      </c>
      <c r="O40" s="330" t="s">
        <v>79</v>
      </c>
    </row>
    <row r="41" spans="1:16">
      <c r="A41" s="114" t="s">
        <v>305</v>
      </c>
      <c r="B41" s="44">
        <v>0</v>
      </c>
      <c r="C41" s="46">
        <f>Jan!$G$26</f>
        <v>0</v>
      </c>
      <c r="D41" s="46">
        <f>Feb!$G$26</f>
        <v>0</v>
      </c>
      <c r="E41" s="46">
        <f>Mar!$G$26</f>
        <v>0</v>
      </c>
      <c r="F41" s="46">
        <f>Apr!$G$26</f>
        <v>0</v>
      </c>
      <c r="G41" s="46">
        <f>May!$G$26</f>
        <v>0</v>
      </c>
      <c r="H41" s="46">
        <f>Jun!$G$26</f>
        <v>0</v>
      </c>
      <c r="I41" s="46">
        <f>July!$G$26</f>
        <v>0</v>
      </c>
      <c r="J41" s="46">
        <f>Aug!$G$26</f>
        <v>0</v>
      </c>
      <c r="K41" s="46">
        <f>Sep!$G$26</f>
        <v>0</v>
      </c>
      <c r="L41" s="46">
        <f>Oct!$G$26</f>
        <v>0</v>
      </c>
      <c r="M41" s="46">
        <f>Nov!$G$26</f>
        <v>0</v>
      </c>
      <c r="N41" s="46">
        <f>Dec!$G$26</f>
        <v>0</v>
      </c>
      <c r="O41" s="47">
        <f>SUM(B41:N41)</f>
        <v>0</v>
      </c>
    </row>
    <row r="42" spans="1:16">
      <c r="A42" s="115" t="s">
        <v>284</v>
      </c>
      <c r="B42" s="47">
        <v>72954.09</v>
      </c>
      <c r="C42" s="276">
        <f>Jan!$G$33</f>
        <v>-14069.079999999991</v>
      </c>
      <c r="D42" s="276">
        <f>Feb!$G$33</f>
        <v>-32097.780000000006</v>
      </c>
      <c r="E42" s="276">
        <f>Mar!$G$33</f>
        <v>-9392.2399999999907</v>
      </c>
      <c r="F42" s="276">
        <f>Apr!$G$33</f>
        <v>-19132.420000000006</v>
      </c>
      <c r="G42" s="276">
        <f>May!$G$33</f>
        <v>1268.3800000000022</v>
      </c>
      <c r="H42" s="276">
        <f>Jun!$G$33</f>
        <v>3272.09</v>
      </c>
      <c r="I42" s="276">
        <f>July!$G$33</f>
        <v>-1356.9900000000016</v>
      </c>
      <c r="J42" s="276">
        <f>Aug!$G$33</f>
        <v>-3985</v>
      </c>
      <c r="K42" s="276">
        <f>Sep!$G$33</f>
        <v>2529.0500000000011</v>
      </c>
      <c r="L42" s="276">
        <f>Oct!$G$33</f>
        <v>28133.910000000091</v>
      </c>
      <c r="M42" s="276">
        <f>Nov!$G$33</f>
        <v>30415.03</v>
      </c>
      <c r="N42" s="276">
        <f>Dec!$G$33</f>
        <v>-4569.1400000000012</v>
      </c>
      <c r="O42" s="47">
        <f>SUM(B42:N42)</f>
        <v>53969.900000000096</v>
      </c>
      <c r="P42" s="41">
        <f>SUM(C42:N42)</f>
        <v>-18984.1899999999</v>
      </c>
    </row>
    <row r="43" spans="1:16">
      <c r="A43" s="115" t="s">
        <v>400</v>
      </c>
      <c r="B43" s="47">
        <v>0</v>
      </c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>
        <f>SUM(B43:N43)</f>
        <v>0</v>
      </c>
    </row>
    <row r="44" spans="1:16">
      <c r="A44" s="115"/>
      <c r="B44" s="47"/>
      <c r="C44" s="47"/>
      <c r="D44" s="47"/>
      <c r="E44" s="47"/>
      <c r="F44" s="47"/>
      <c r="G44" s="47"/>
      <c r="H44" s="47"/>
      <c r="I44" s="47"/>
      <c r="J44" s="47"/>
      <c r="K44" s="47"/>
      <c r="L44" s="47"/>
      <c r="M44" s="47"/>
      <c r="N44" s="47"/>
      <c r="O44" s="47"/>
    </row>
    <row r="45" spans="1:16">
      <c r="A45" s="116" t="s">
        <v>310</v>
      </c>
      <c r="B45" s="44"/>
      <c r="C45" s="46"/>
      <c r="D45" s="46"/>
      <c r="E45" s="46"/>
      <c r="F45" s="46"/>
      <c r="G45" s="46"/>
      <c r="H45" s="46"/>
      <c r="I45" s="46"/>
      <c r="J45" s="46"/>
      <c r="K45" s="46"/>
      <c r="L45" s="46"/>
      <c r="M45" s="46"/>
      <c r="N45" s="46"/>
      <c r="O45" s="47"/>
    </row>
    <row r="46" spans="1:16">
      <c r="A46" s="117" t="s">
        <v>294</v>
      </c>
      <c r="B46" s="39">
        <v>0</v>
      </c>
      <c r="O46" s="47">
        <f>SUM(B46:N46)</f>
        <v>0</v>
      </c>
    </row>
    <row r="47" spans="1:16">
      <c r="A47" s="117" t="s">
        <v>295</v>
      </c>
      <c r="B47" s="39">
        <v>0</v>
      </c>
      <c r="O47" s="47">
        <f t="shared" ref="O47:O58" si="6">SUM(B47:N47)</f>
        <v>0</v>
      </c>
    </row>
    <row r="48" spans="1:16">
      <c r="A48" s="117" t="s">
        <v>298</v>
      </c>
      <c r="B48" s="39">
        <v>0</v>
      </c>
      <c r="O48" s="47">
        <f t="shared" si="6"/>
        <v>0</v>
      </c>
    </row>
    <row r="49" spans="1:17">
      <c r="A49" s="117" t="s">
        <v>307</v>
      </c>
      <c r="B49" s="39">
        <v>0</v>
      </c>
      <c r="O49" s="47">
        <f t="shared" si="6"/>
        <v>0</v>
      </c>
    </row>
    <row r="50" spans="1:17">
      <c r="A50" s="117" t="s">
        <v>513</v>
      </c>
      <c r="B50" s="39">
        <v>-10000</v>
      </c>
      <c r="O50" s="47">
        <f t="shared" si="6"/>
        <v>-10000</v>
      </c>
      <c r="P50" s="39" t="s">
        <v>1212</v>
      </c>
    </row>
    <row r="51" spans="1:17">
      <c r="A51" s="117" t="s">
        <v>330</v>
      </c>
      <c r="B51" s="39">
        <v>-300</v>
      </c>
      <c r="O51" s="47">
        <f t="shared" si="6"/>
        <v>-300</v>
      </c>
    </row>
    <row r="52" spans="1:17">
      <c r="A52" s="117" t="s">
        <v>653</v>
      </c>
      <c r="B52" s="39">
        <v>0</v>
      </c>
      <c r="O52" s="47">
        <f t="shared" si="6"/>
        <v>0</v>
      </c>
    </row>
    <row r="53" spans="1:17">
      <c r="A53" s="117" t="s">
        <v>654</v>
      </c>
      <c r="B53" s="39">
        <v>0</v>
      </c>
      <c r="O53" s="47">
        <f t="shared" si="6"/>
        <v>0</v>
      </c>
    </row>
    <row r="54" spans="1:17">
      <c r="A54" s="117" t="s">
        <v>747</v>
      </c>
      <c r="B54" s="39">
        <v>-5660.21</v>
      </c>
      <c r="O54" s="47">
        <f t="shared" si="6"/>
        <v>-5660.21</v>
      </c>
    </row>
    <row r="55" spans="1:17">
      <c r="A55" s="117" t="s">
        <v>746</v>
      </c>
      <c r="B55" s="39">
        <v>-36095.78</v>
      </c>
      <c r="O55" s="47">
        <f t="shared" si="6"/>
        <v>-36095.78</v>
      </c>
    </row>
    <row r="56" spans="1:17">
      <c r="A56" s="117" t="s">
        <v>520</v>
      </c>
      <c r="B56" s="39">
        <v>-10000</v>
      </c>
      <c r="O56" s="47">
        <f t="shared" si="6"/>
        <v>-10000</v>
      </c>
    </row>
    <row r="57" spans="1:17">
      <c r="A57" s="117" t="s">
        <v>399</v>
      </c>
      <c r="B57" s="39">
        <v>-6528.0599999999995</v>
      </c>
      <c r="D57" s="39">
        <v>7566.25</v>
      </c>
      <c r="M57" s="39">
        <v>-10000</v>
      </c>
      <c r="O57" s="47">
        <f t="shared" si="6"/>
        <v>-8961.81</v>
      </c>
      <c r="Q57" s="463">
        <f>SUM(C59:N59)</f>
        <v>-21395.899999999918</v>
      </c>
    </row>
    <row r="58" spans="1:17">
      <c r="A58" s="135" t="s">
        <v>559</v>
      </c>
      <c r="B58" s="39">
        <v>99.22</v>
      </c>
      <c r="C58" s="39">
        <v>0.18</v>
      </c>
      <c r="D58" s="39">
        <v>0.15</v>
      </c>
      <c r="E58" s="39">
        <v>0.13</v>
      </c>
      <c r="F58" s="39">
        <v>0.28000000000000003</v>
      </c>
      <c r="G58" s="39">
        <v>0.23</v>
      </c>
      <c r="H58" s="39">
        <v>0.12</v>
      </c>
      <c r="I58" s="39">
        <v>0.14000000000000001</v>
      </c>
      <c r="J58" s="39">
        <v>0.15</v>
      </c>
      <c r="K58" s="39">
        <v>0.09</v>
      </c>
      <c r="M58" s="39">
        <v>7.71</v>
      </c>
      <c r="N58" s="39">
        <v>12.86</v>
      </c>
      <c r="O58" s="47">
        <f t="shared" si="6"/>
        <v>121.26000000000002</v>
      </c>
    </row>
    <row r="59" spans="1:17" ht="15">
      <c r="A59" s="134" t="s">
        <v>320</v>
      </c>
      <c r="B59" s="407">
        <f>B41+B42+B43+SUM(B46:B58)</f>
        <v>4469.2599999999948</v>
      </c>
      <c r="C59" s="129">
        <f>C41+C42+SUM(C46:C58)</f>
        <v>-14068.899999999991</v>
      </c>
      <c r="D59" s="129">
        <f>D41+D42+SUM(D46:D58)</f>
        <v>-24531.380000000005</v>
      </c>
      <c r="E59" s="129">
        <f>E41+E42+SUM(E46:E58)</f>
        <v>-9392.1099999999915</v>
      </c>
      <c r="F59" s="129">
        <f>F41+F42+SUM(F46:F58)</f>
        <v>-19132.140000000007</v>
      </c>
      <c r="G59" s="129">
        <f>G41+G42+SUM(G46:G58)</f>
        <v>1268.6100000000022</v>
      </c>
      <c r="H59" s="129">
        <f t="shared" ref="H59:N59" si="7">H41+H42+SUM(H46:H58)</f>
        <v>3272.21</v>
      </c>
      <c r="I59" s="129">
        <f t="shared" si="7"/>
        <v>-1356.8500000000015</v>
      </c>
      <c r="J59" s="129">
        <f t="shared" si="7"/>
        <v>-3984.85</v>
      </c>
      <c r="K59" s="129">
        <f t="shared" si="7"/>
        <v>2529.1400000000012</v>
      </c>
      <c r="L59" s="129">
        <f t="shared" si="7"/>
        <v>28133.910000000091</v>
      </c>
      <c r="M59" s="129">
        <f t="shared" si="7"/>
        <v>20422.739999999998</v>
      </c>
      <c r="N59" s="129">
        <f t="shared" si="7"/>
        <v>-4556.2800000000016</v>
      </c>
      <c r="O59" s="129">
        <f>SUM(B59:N59)</f>
        <v>-16926.639999999916</v>
      </c>
      <c r="P59" s="39">
        <f>SUM(O41:O42)+SUM(O46:O58)</f>
        <v>-16926.639999999912</v>
      </c>
    </row>
    <row r="60" spans="1:17" ht="15">
      <c r="A60" s="409"/>
      <c r="B60" s="410"/>
      <c r="C60" s="410"/>
      <c r="D60" s="410"/>
      <c r="E60" s="410"/>
      <c r="F60" s="410"/>
      <c r="G60" s="410"/>
      <c r="H60" s="410"/>
      <c r="I60" s="410"/>
      <c r="J60" s="410"/>
      <c r="K60" s="410"/>
      <c r="L60" s="410"/>
      <c r="M60" s="410"/>
      <c r="N60" s="410"/>
      <c r="O60" s="410"/>
    </row>
    <row r="61" spans="1:17" thickBot="1">
      <c r="A61" s="411" t="s">
        <v>875</v>
      </c>
      <c r="B61" s="412">
        <f>B8+B15+B27+B32+B59</f>
        <v>12996.259999999995</v>
      </c>
      <c r="C61" s="412">
        <f t="shared" ref="C61:O61" si="8">C8+C15+C27+C32+C59</f>
        <v>-14068.899999999991</v>
      </c>
      <c r="D61" s="412">
        <f t="shared" si="8"/>
        <v>-24531.380000000005</v>
      </c>
      <c r="E61" s="412">
        <f t="shared" si="8"/>
        <v>-9392.1099999999915</v>
      </c>
      <c r="F61" s="412">
        <f t="shared" si="8"/>
        <v>-19132.140000000007</v>
      </c>
      <c r="G61" s="412">
        <f t="shared" si="8"/>
        <v>1268.6100000000022</v>
      </c>
      <c r="H61" s="412">
        <f t="shared" si="8"/>
        <v>3272.21</v>
      </c>
      <c r="I61" s="412">
        <f t="shared" si="8"/>
        <v>-1356.8500000000015</v>
      </c>
      <c r="J61" s="412">
        <f t="shared" si="8"/>
        <v>-3984.85</v>
      </c>
      <c r="K61" s="412">
        <f t="shared" si="8"/>
        <v>2529.1400000000012</v>
      </c>
      <c r="L61" s="412">
        <f t="shared" si="8"/>
        <v>28133.910000000091</v>
      </c>
      <c r="M61" s="412">
        <f t="shared" si="8"/>
        <v>20422.739999999998</v>
      </c>
      <c r="N61" s="412">
        <f t="shared" si="8"/>
        <v>-5596.2800000000016</v>
      </c>
      <c r="O61" s="412">
        <f t="shared" si="8"/>
        <v>-9439.6399999999157</v>
      </c>
      <c r="P61" s="460">
        <f>B61+SUM(C61:N61)</f>
        <v>-9439.639999999923</v>
      </c>
    </row>
    <row r="62" spans="1:17" ht="16.5" thickTop="1">
      <c r="A62" s="107" t="s">
        <v>560</v>
      </c>
      <c r="D62" s="332"/>
      <c r="E62" s="332"/>
      <c r="F62" s="332"/>
      <c r="G62" s="332"/>
      <c r="I62" s="332"/>
    </row>
    <row r="63" spans="1:17" ht="12.75">
      <c r="A63" s="270" t="s">
        <v>1211</v>
      </c>
    </row>
    <row r="64" spans="1:17" s="45" customFormat="1" ht="12.75">
      <c r="A64" s="270" t="s">
        <v>501</v>
      </c>
    </row>
    <row r="65" spans="1:16" ht="12.75">
      <c r="A65" s="270" t="s">
        <v>755</v>
      </c>
    </row>
    <row r="66" spans="1:16" ht="12.75">
      <c r="A66" s="270"/>
    </row>
    <row r="67" spans="1:16">
      <c r="A67" s="271" t="s">
        <v>518</v>
      </c>
    </row>
    <row r="68" spans="1:16" ht="12.75">
      <c r="A68" s="39"/>
    </row>
    <row r="69" spans="1:16">
      <c r="A69" s="113" t="s">
        <v>396</v>
      </c>
      <c r="B69" s="270" t="s">
        <v>651</v>
      </c>
    </row>
    <row r="70" spans="1:16">
      <c r="A70" s="111" t="s">
        <v>308</v>
      </c>
      <c r="B70" s="39">
        <v>10500</v>
      </c>
      <c r="C70" s="39">
        <f>Jan!$G$25</f>
        <v>0</v>
      </c>
      <c r="D70" s="39">
        <f>Feb!$G$25</f>
        <v>0</v>
      </c>
      <c r="E70" s="39">
        <f>Mar!$G$25</f>
        <v>0</v>
      </c>
      <c r="F70" s="39">
        <f>Apr!$G$25</f>
        <v>0</v>
      </c>
      <c r="G70" s="39">
        <f>May!$G$25</f>
        <v>0</v>
      </c>
      <c r="H70" s="39">
        <f>Jun!$G$25</f>
        <v>0</v>
      </c>
      <c r="I70" s="39">
        <f>July!$G$25</f>
        <v>0</v>
      </c>
      <c r="J70" s="39">
        <f>Aug!$G$25</f>
        <v>0</v>
      </c>
      <c r="K70" s="39">
        <f>Sep!$G$25</f>
        <v>0</v>
      </c>
      <c r="L70" s="39">
        <f>Oct!$G$25</f>
        <v>0</v>
      </c>
      <c r="M70" s="39">
        <f>Nov!$G$25</f>
        <v>0</v>
      </c>
      <c r="N70" s="39">
        <f>Dec!$G$25</f>
        <v>0</v>
      </c>
      <c r="O70" s="39">
        <f t="shared" ref="O70:O82" si="9">SUM(B70:N70)</f>
        <v>10500</v>
      </c>
    </row>
    <row r="71" spans="1:16">
      <c r="A71" s="111" t="s">
        <v>309</v>
      </c>
      <c r="B71" s="39">
        <v>4500</v>
      </c>
      <c r="O71" s="39">
        <f t="shared" si="9"/>
        <v>4500</v>
      </c>
    </row>
    <row r="72" spans="1:16">
      <c r="A72" s="107" t="s">
        <v>514</v>
      </c>
      <c r="B72" s="39">
        <v>12450</v>
      </c>
      <c r="C72" s="39">
        <v>0</v>
      </c>
      <c r="D72" s="39">
        <v>0</v>
      </c>
      <c r="O72" s="39">
        <f t="shared" si="9"/>
        <v>12450</v>
      </c>
    </row>
    <row r="73" spans="1:16">
      <c r="A73" s="107" t="s">
        <v>515</v>
      </c>
      <c r="B73" s="39">
        <v>12450</v>
      </c>
      <c r="C73" s="39">
        <v>0</v>
      </c>
      <c r="D73" s="39">
        <v>0</v>
      </c>
      <c r="O73" s="39">
        <f t="shared" si="9"/>
        <v>12450</v>
      </c>
    </row>
    <row r="74" spans="1:16">
      <c r="A74" s="107" t="s">
        <v>405</v>
      </c>
      <c r="B74" s="39">
        <v>5500</v>
      </c>
      <c r="O74" s="39">
        <f t="shared" si="9"/>
        <v>5500</v>
      </c>
    </row>
    <row r="75" spans="1:16">
      <c r="A75" s="107" t="s">
        <v>406</v>
      </c>
      <c r="B75" s="39">
        <v>5500</v>
      </c>
      <c r="O75" s="39">
        <f t="shared" si="9"/>
        <v>5500</v>
      </c>
    </row>
    <row r="76" spans="1:16">
      <c r="A76" s="107" t="s">
        <v>392</v>
      </c>
      <c r="B76" s="39">
        <v>0</v>
      </c>
      <c r="O76" s="39">
        <f t="shared" si="9"/>
        <v>0</v>
      </c>
    </row>
    <row r="77" spans="1:16">
      <c r="A77" s="107" t="s">
        <v>393</v>
      </c>
      <c r="B77" s="39">
        <v>0</v>
      </c>
      <c r="O77" s="39">
        <f t="shared" si="9"/>
        <v>0</v>
      </c>
    </row>
    <row r="78" spans="1:16">
      <c r="A78" s="107" t="s">
        <v>313</v>
      </c>
      <c r="B78" s="39">
        <v>1800</v>
      </c>
      <c r="O78" s="39">
        <f t="shared" si="9"/>
        <v>1800</v>
      </c>
    </row>
    <row r="79" spans="1:16">
      <c r="A79" s="107" t="s">
        <v>748</v>
      </c>
      <c r="B79" s="39">
        <v>-52700</v>
      </c>
      <c r="O79" s="39">
        <f t="shared" si="9"/>
        <v>-52700</v>
      </c>
      <c r="P79" s="39" t="s">
        <v>756</v>
      </c>
    </row>
    <row r="80" spans="1:16">
      <c r="A80" s="107" t="s">
        <v>746</v>
      </c>
      <c r="B80" s="39">
        <v>0</v>
      </c>
      <c r="O80" s="39">
        <f t="shared" si="9"/>
        <v>0</v>
      </c>
    </row>
    <row r="81" spans="1:16">
      <c r="A81" s="107" t="s">
        <v>683</v>
      </c>
      <c r="B81" s="39">
        <v>0</v>
      </c>
      <c r="O81" s="39">
        <f t="shared" si="9"/>
        <v>0</v>
      </c>
    </row>
    <row r="82" spans="1:16">
      <c r="A82" s="107" t="s">
        <v>687</v>
      </c>
      <c r="B82" s="39">
        <v>0</v>
      </c>
      <c r="O82" s="39">
        <f t="shared" si="9"/>
        <v>0</v>
      </c>
    </row>
    <row r="83" spans="1:16" ht="15">
      <c r="A83" s="119" t="s">
        <v>319</v>
      </c>
      <c r="B83" s="408">
        <f>SUM(B69:B82)</f>
        <v>0</v>
      </c>
      <c r="C83" s="123">
        <f t="shared" ref="C83:N83" si="10">SUM(C69:C82)</f>
        <v>0</v>
      </c>
      <c r="D83" s="123">
        <f t="shared" si="10"/>
        <v>0</v>
      </c>
      <c r="E83" s="123">
        <f t="shared" si="10"/>
        <v>0</v>
      </c>
      <c r="F83" s="123">
        <f t="shared" si="10"/>
        <v>0</v>
      </c>
      <c r="G83" s="123">
        <f t="shared" si="10"/>
        <v>0</v>
      </c>
      <c r="H83" s="123">
        <f t="shared" si="10"/>
        <v>0</v>
      </c>
      <c r="I83" s="123">
        <f t="shared" si="10"/>
        <v>0</v>
      </c>
      <c r="J83" s="123">
        <f t="shared" si="10"/>
        <v>0</v>
      </c>
      <c r="K83" s="123">
        <f t="shared" si="10"/>
        <v>0</v>
      </c>
      <c r="L83" s="123">
        <f t="shared" si="10"/>
        <v>0</v>
      </c>
      <c r="M83" s="123">
        <f t="shared" si="10"/>
        <v>0</v>
      </c>
      <c r="N83" s="123">
        <f t="shared" si="10"/>
        <v>0</v>
      </c>
      <c r="O83" s="125">
        <f>SUM(O69:O82)</f>
        <v>0</v>
      </c>
    </row>
    <row r="84" spans="1:16" ht="15">
      <c r="A84" s="119"/>
      <c r="B84" s="47"/>
      <c r="C84" s="47"/>
      <c r="D84" s="47"/>
      <c r="E84" s="47"/>
      <c r="F84" s="47"/>
      <c r="G84" s="47"/>
      <c r="H84" s="47"/>
      <c r="I84" s="47"/>
      <c r="J84" s="47"/>
      <c r="K84" s="47"/>
      <c r="L84" s="47"/>
      <c r="M84" s="47"/>
      <c r="N84" s="47"/>
      <c r="O84" s="275"/>
    </row>
    <row r="85" spans="1:16" ht="12.75">
      <c r="A85" s="270" t="s">
        <v>516</v>
      </c>
    </row>
    <row r="86" spans="1:16" ht="12.75">
      <c r="A86" s="270" t="s">
        <v>565</v>
      </c>
    </row>
    <row r="87" spans="1:16" ht="12.75">
      <c r="A87" s="270"/>
    </row>
    <row r="88" spans="1:16">
      <c r="A88" s="113" t="s">
        <v>311</v>
      </c>
    </row>
    <row r="89" spans="1:16">
      <c r="A89" s="107" t="s">
        <v>500</v>
      </c>
      <c r="B89" s="48">
        <v>68032.849999999991</v>
      </c>
      <c r="C89" s="39">
        <v>5.79</v>
      </c>
      <c r="D89" s="39">
        <v>2.96</v>
      </c>
      <c r="E89" s="39">
        <v>3.65</v>
      </c>
      <c r="F89" s="39">
        <v>2.48</v>
      </c>
      <c r="G89" s="51">
        <v>2.56</v>
      </c>
      <c r="H89" s="39">
        <v>1.82</v>
      </c>
      <c r="I89" s="39">
        <v>0.23</v>
      </c>
      <c r="K89" s="39">
        <v>0.68</v>
      </c>
      <c r="L89" s="39">
        <v>6.13</v>
      </c>
      <c r="M89" s="39">
        <v>29.91</v>
      </c>
      <c r="N89" s="39">
        <v>30.91</v>
      </c>
      <c r="O89" s="48">
        <f t="shared" ref="O89:O96" si="11">SUM(B89:N89)</f>
        <v>68119.969999999987</v>
      </c>
    </row>
    <row r="90" spans="1:16">
      <c r="A90" s="107" t="s">
        <v>551</v>
      </c>
      <c r="B90" s="39">
        <v>1200</v>
      </c>
      <c r="O90" s="48">
        <f t="shared" si="11"/>
        <v>1200</v>
      </c>
    </row>
    <row r="91" spans="1:16">
      <c r="A91" s="107" t="s">
        <v>325</v>
      </c>
      <c r="B91" s="48">
        <v>6000</v>
      </c>
      <c r="C91" s="41">
        <f>Jan!$G$19</f>
        <v>0</v>
      </c>
      <c r="D91" s="39">
        <f>Feb!$G$19</f>
        <v>0</v>
      </c>
      <c r="E91" s="39">
        <f>Mar!$G$19</f>
        <v>0</v>
      </c>
      <c r="F91" s="39">
        <f>Apr!$G$19</f>
        <v>0</v>
      </c>
      <c r="G91" s="51">
        <f>May!$G$19</f>
        <v>0</v>
      </c>
      <c r="H91" s="39">
        <f>Jun!$G$19</f>
        <v>0</v>
      </c>
      <c r="I91" s="39">
        <f>July!$G$19</f>
        <v>0</v>
      </c>
      <c r="J91" s="39">
        <f>Aug!$G$19</f>
        <v>0</v>
      </c>
      <c r="K91" s="39">
        <f>Sep!$G$19</f>
        <v>0</v>
      </c>
      <c r="L91" s="39">
        <f>Oct!$G$19</f>
        <v>0</v>
      </c>
      <c r="M91" s="39">
        <f>Nov!$G$19</f>
        <v>0</v>
      </c>
      <c r="N91" s="39">
        <f>Dec!$G$19</f>
        <v>0</v>
      </c>
      <c r="O91" s="48">
        <f t="shared" si="11"/>
        <v>6000</v>
      </c>
    </row>
    <row r="92" spans="1:16">
      <c r="A92" s="107" t="s">
        <v>316</v>
      </c>
      <c r="B92" s="48">
        <v>7200</v>
      </c>
      <c r="C92" s="39">
        <f>Jan!$G$20</f>
        <v>0</v>
      </c>
      <c r="D92" s="41">
        <f>Feb!$G$20</f>
        <v>0</v>
      </c>
      <c r="E92" s="41">
        <f>Mar!$G$20</f>
        <v>0</v>
      </c>
      <c r="F92" s="41">
        <f>Apr!$G$20</f>
        <v>0</v>
      </c>
      <c r="G92" s="41">
        <f>May!$G$20</f>
        <v>0</v>
      </c>
      <c r="H92" s="41">
        <f>Jun!$G$20</f>
        <v>0</v>
      </c>
      <c r="I92" s="41">
        <f>July!$G$20</f>
        <v>0</v>
      </c>
      <c r="J92" s="41">
        <f>Aug!$G$20</f>
        <v>0</v>
      </c>
      <c r="K92" s="41">
        <f>Sep!$G$20</f>
        <v>0</v>
      </c>
      <c r="L92" s="41">
        <v>0</v>
      </c>
      <c r="M92" s="41">
        <f>Nov!$G$20</f>
        <v>0</v>
      </c>
      <c r="N92" s="41">
        <f>Dec!$G$20</f>
        <v>0</v>
      </c>
      <c r="O92" s="48">
        <f>SUM(B92:N92)</f>
        <v>7200</v>
      </c>
    </row>
    <row r="93" spans="1:16">
      <c r="A93" s="107" t="s">
        <v>323</v>
      </c>
      <c r="B93" s="48">
        <v>0</v>
      </c>
      <c r="G93" s="51"/>
      <c r="O93" s="48">
        <f t="shared" si="11"/>
        <v>0</v>
      </c>
    </row>
    <row r="94" spans="1:16">
      <c r="A94" s="107" t="s">
        <v>718</v>
      </c>
      <c r="B94" s="48">
        <v>-900</v>
      </c>
      <c r="C94" s="39">
        <f>Jan!$G$22</f>
        <v>0</v>
      </c>
      <c r="D94" s="41">
        <f>Feb!$G$22</f>
        <v>0</v>
      </c>
      <c r="E94" s="41">
        <f>Mar!$G$22</f>
        <v>0</v>
      </c>
      <c r="F94" s="41">
        <f>Apr!$G$22</f>
        <v>0</v>
      </c>
      <c r="G94" s="41">
        <f>May!$G$22</f>
        <v>0</v>
      </c>
      <c r="H94" s="41">
        <f>Jun!$G$22</f>
        <v>0</v>
      </c>
      <c r="I94" s="41">
        <f>July!$G$22</f>
        <v>0</v>
      </c>
      <c r="J94" s="41">
        <f>Aug!$G$22</f>
        <v>4000</v>
      </c>
      <c r="K94" s="41">
        <f>Sep!$G$22</f>
        <v>2000</v>
      </c>
      <c r="L94" s="41">
        <f>Oct!$G$22-64455.74-8016.9-8100</f>
        <v>327.3600000000024</v>
      </c>
      <c r="M94" s="41">
        <f>Nov!$G$22-1000</f>
        <v>-1000</v>
      </c>
      <c r="N94" s="41">
        <f>Dec!$G$22</f>
        <v>0</v>
      </c>
      <c r="O94" s="48">
        <f t="shared" si="11"/>
        <v>4427.3600000000024</v>
      </c>
      <c r="P94" s="39" t="s">
        <v>329</v>
      </c>
    </row>
    <row r="95" spans="1:16">
      <c r="A95" s="107" t="s">
        <v>749</v>
      </c>
      <c r="B95" s="48">
        <v>-61800</v>
      </c>
      <c r="D95" s="41"/>
      <c r="E95" s="41"/>
      <c r="F95" s="41"/>
      <c r="G95" s="41"/>
      <c r="H95" s="41"/>
      <c r="I95" s="41"/>
      <c r="J95" s="41"/>
      <c r="K95" s="41"/>
      <c r="L95" s="41">
        <f>61800+2655.74</f>
        <v>64455.74</v>
      </c>
      <c r="M95" s="41"/>
      <c r="N95" s="41"/>
      <c r="O95" s="48">
        <f t="shared" si="11"/>
        <v>2655.739999999998</v>
      </c>
      <c r="P95" s="39" t="s">
        <v>711</v>
      </c>
    </row>
    <row r="96" spans="1:16">
      <c r="A96" s="107" t="s">
        <v>1206</v>
      </c>
      <c r="B96" s="48">
        <v>0</v>
      </c>
      <c r="C96" s="39">
        <v>-3000</v>
      </c>
      <c r="D96" s="41">
        <f>-6400+4000</f>
        <v>-2400</v>
      </c>
      <c r="E96" s="41"/>
      <c r="F96" s="41">
        <v>-4300</v>
      </c>
      <c r="G96" s="41"/>
      <c r="H96" s="41">
        <f>-4000-2000</f>
        <v>-6000</v>
      </c>
      <c r="I96" s="41"/>
      <c r="J96" s="41"/>
      <c r="K96" s="41"/>
      <c r="L96" s="41">
        <f>8016.9+8100</f>
        <v>16116.9</v>
      </c>
      <c r="M96" s="41"/>
      <c r="N96" s="41"/>
      <c r="O96" s="48">
        <f t="shared" si="11"/>
        <v>416.89999999999964</v>
      </c>
      <c r="P96" s="39" t="s">
        <v>1205</v>
      </c>
    </row>
    <row r="97" spans="1:16" ht="15">
      <c r="A97" s="126" t="s">
        <v>921</v>
      </c>
      <c r="B97" s="124">
        <f>SUM(B89:B96)</f>
        <v>19732.849999999991</v>
      </c>
      <c r="C97" s="124">
        <f t="shared" ref="C97:N97" si="12">SUM(C89:C96)</f>
        <v>-2994.21</v>
      </c>
      <c r="D97" s="124">
        <f t="shared" si="12"/>
        <v>-2397.04</v>
      </c>
      <c r="E97" s="124">
        <f t="shared" si="12"/>
        <v>3.65</v>
      </c>
      <c r="F97" s="124">
        <f t="shared" si="12"/>
        <v>-4297.5200000000004</v>
      </c>
      <c r="G97" s="124">
        <f t="shared" si="12"/>
        <v>2.56</v>
      </c>
      <c r="H97" s="124">
        <f t="shared" si="12"/>
        <v>-5998.18</v>
      </c>
      <c r="I97" s="124">
        <f t="shared" si="12"/>
        <v>0.23</v>
      </c>
      <c r="J97" s="124">
        <f t="shared" si="12"/>
        <v>4000</v>
      </c>
      <c r="K97" s="124">
        <f t="shared" si="12"/>
        <v>2000.68</v>
      </c>
      <c r="L97" s="124">
        <f t="shared" si="12"/>
        <v>80906.13</v>
      </c>
      <c r="M97" s="124">
        <f t="shared" si="12"/>
        <v>-970.09</v>
      </c>
      <c r="N97" s="124">
        <f t="shared" si="12"/>
        <v>30.91</v>
      </c>
      <c r="O97" s="124">
        <f>SUM(B97:N97)</f>
        <v>90019.97</v>
      </c>
      <c r="P97" s="48">
        <f>SUM(O89:O96)</f>
        <v>90019.969999999972</v>
      </c>
    </row>
    <row r="98" spans="1:16" s="45" customFormat="1" ht="15">
      <c r="A98" s="420"/>
      <c r="B98" s="272"/>
      <c r="C98" s="272"/>
      <c r="D98" s="422" t="s">
        <v>922</v>
      </c>
      <c r="E98" s="272"/>
      <c r="F98" s="272"/>
      <c r="G98" s="272"/>
      <c r="H98" s="272"/>
      <c r="I98" s="272"/>
      <c r="J98" s="272"/>
      <c r="K98" s="272"/>
      <c r="L98" s="272"/>
      <c r="M98" s="272"/>
      <c r="N98" s="272"/>
      <c r="O98" s="272"/>
      <c r="P98" s="421"/>
    </row>
    <row r="99" spans="1:16">
      <c r="A99" s="327" t="s">
        <v>750</v>
      </c>
      <c r="B99" s="272"/>
      <c r="C99" s="272"/>
      <c r="D99" s="272"/>
      <c r="E99" s="272"/>
      <c r="F99" s="272"/>
      <c r="G99" s="272"/>
      <c r="H99" s="272"/>
      <c r="I99" s="272"/>
      <c r="J99" s="272"/>
      <c r="K99" s="272"/>
      <c r="L99" s="272"/>
      <c r="M99" s="272"/>
      <c r="N99" s="272"/>
      <c r="O99" s="272"/>
    </row>
    <row r="100" spans="1:16">
      <c r="A100" s="274" t="s">
        <v>332</v>
      </c>
      <c r="B100" s="328">
        <f>FV(3%/12,48,,62000)</f>
        <v>-69894.337304475761</v>
      </c>
      <c r="C100" s="457" t="s">
        <v>1236</v>
      </c>
      <c r="D100" s="272"/>
      <c r="E100" s="272"/>
      <c r="F100" s="272"/>
      <c r="G100" s="272"/>
      <c r="H100" s="272"/>
      <c r="I100" s="272"/>
      <c r="J100" s="272"/>
      <c r="K100" s="272"/>
      <c r="L100" s="272"/>
      <c r="M100" s="272"/>
      <c r="N100" s="272"/>
      <c r="O100" s="272"/>
    </row>
    <row r="101" spans="1:16">
      <c r="A101" s="274" t="s">
        <v>759</v>
      </c>
      <c r="B101" s="328">
        <f>(-B100-62000)/4*2.75</f>
        <v>5427.3568968270856</v>
      </c>
      <c r="C101" s="384" t="s">
        <v>761</v>
      </c>
      <c r="E101" s="272"/>
      <c r="F101" s="272"/>
      <c r="G101" s="272"/>
      <c r="H101" s="272"/>
      <c r="I101" s="272"/>
      <c r="J101" s="272"/>
      <c r="K101" s="272"/>
      <c r="L101" s="272"/>
      <c r="M101" s="272"/>
      <c r="N101" s="272"/>
      <c r="O101" s="272"/>
    </row>
    <row r="102" spans="1:16">
      <c r="A102" s="274" t="s">
        <v>1235</v>
      </c>
      <c r="B102" s="328">
        <v>62000</v>
      </c>
      <c r="C102" s="272"/>
      <c r="D102" s="384"/>
      <c r="E102" s="272"/>
      <c r="F102" s="272"/>
      <c r="G102" s="272"/>
      <c r="H102" s="272"/>
      <c r="I102" s="272"/>
      <c r="J102" s="272"/>
      <c r="K102" s="272"/>
      <c r="L102" s="272"/>
      <c r="M102" s="272"/>
      <c r="N102" s="272"/>
      <c r="O102" s="272"/>
    </row>
    <row r="103" spans="1:16">
      <c r="A103" s="327" t="s">
        <v>553</v>
      </c>
      <c r="B103" s="454">
        <v>42303</v>
      </c>
      <c r="C103" s="384" t="s">
        <v>760</v>
      </c>
      <c r="E103" s="272"/>
      <c r="F103" s="272"/>
      <c r="G103" s="272"/>
      <c r="H103" s="272"/>
      <c r="I103" s="272"/>
      <c r="J103" s="272"/>
      <c r="K103" s="272"/>
      <c r="L103" s="272"/>
      <c r="M103" s="272"/>
      <c r="N103" s="272"/>
      <c r="O103" s="272"/>
    </row>
    <row r="104" spans="1:16" ht="12.75">
      <c r="A104" s="39"/>
      <c r="C104" s="272"/>
      <c r="D104" s="272"/>
      <c r="E104" s="272"/>
      <c r="F104" s="272"/>
      <c r="G104" s="272"/>
      <c r="H104" s="272"/>
      <c r="I104" s="272"/>
      <c r="J104" s="272"/>
      <c r="K104" s="272"/>
      <c r="L104" s="272"/>
      <c r="M104" s="272"/>
      <c r="N104" s="272"/>
      <c r="O104" s="272"/>
    </row>
    <row r="105" spans="1:16">
      <c r="A105" s="327"/>
      <c r="B105" s="327"/>
      <c r="C105" s="272"/>
      <c r="D105" s="272"/>
      <c r="E105" s="272"/>
      <c r="F105" s="272"/>
      <c r="G105" s="272"/>
      <c r="H105" s="272"/>
      <c r="I105" s="272"/>
      <c r="J105" s="272"/>
      <c r="K105" s="272"/>
      <c r="L105" s="272"/>
      <c r="M105" s="272"/>
      <c r="N105" s="272"/>
      <c r="O105" s="272"/>
    </row>
    <row r="106" spans="1:16">
      <c r="A106" s="327"/>
      <c r="B106" s="327"/>
      <c r="C106" s="272"/>
      <c r="D106" s="272"/>
      <c r="E106" s="272"/>
      <c r="F106" s="272"/>
      <c r="G106" s="272"/>
      <c r="H106" s="272"/>
      <c r="I106" s="272"/>
      <c r="J106" s="272"/>
      <c r="K106" s="272"/>
      <c r="L106" s="272"/>
      <c r="M106" s="272"/>
      <c r="N106" s="272"/>
      <c r="O106" s="272"/>
    </row>
    <row r="107" spans="1:16">
      <c r="A107" s="327" t="s">
        <v>757</v>
      </c>
      <c r="B107" s="327"/>
      <c r="C107" s="272"/>
      <c r="D107" s="272"/>
      <c r="E107" s="272"/>
      <c r="F107" s="272"/>
      <c r="G107" s="272"/>
      <c r="H107" s="272"/>
      <c r="I107" s="272"/>
      <c r="J107" s="272"/>
      <c r="K107" s="272"/>
      <c r="L107" s="272"/>
      <c r="M107" s="272"/>
      <c r="N107" s="272"/>
      <c r="O107" s="272"/>
    </row>
    <row r="108" spans="1:16">
      <c r="A108" s="327" t="s">
        <v>758</v>
      </c>
      <c r="B108" s="328">
        <f>FV(3%/12,48,,61800)</f>
        <v>-69668.871700267773</v>
      </c>
      <c r="C108" s="457" t="s">
        <v>1237</v>
      </c>
      <c r="D108" s="272"/>
      <c r="E108" s="272"/>
      <c r="F108" s="272"/>
      <c r="G108" s="272"/>
      <c r="H108" s="272"/>
      <c r="I108" s="272"/>
      <c r="J108" s="272"/>
      <c r="K108" s="272"/>
      <c r="L108" s="272"/>
      <c r="M108" s="272"/>
      <c r="N108" s="272"/>
      <c r="O108" s="272"/>
    </row>
    <row r="109" spans="1:16">
      <c r="A109" s="327" t="s">
        <v>759</v>
      </c>
      <c r="B109" s="383">
        <f>(-B108-61800)/4*1.35</f>
        <v>2655.7441988403734</v>
      </c>
      <c r="C109" s="384" t="s">
        <v>761</v>
      </c>
      <c r="E109" s="272"/>
      <c r="F109" s="272"/>
      <c r="G109" s="272"/>
      <c r="H109" s="272"/>
      <c r="I109" s="272"/>
      <c r="J109" s="272"/>
      <c r="K109" s="272"/>
      <c r="L109" s="272"/>
      <c r="M109" s="272"/>
      <c r="N109" s="272"/>
      <c r="O109" s="272"/>
    </row>
    <row r="110" spans="1:16">
      <c r="A110" s="327"/>
      <c r="B110" s="383"/>
      <c r="C110" s="272"/>
      <c r="D110" s="384"/>
      <c r="E110" s="272"/>
      <c r="F110" s="272"/>
      <c r="G110" s="272"/>
      <c r="H110" s="272"/>
      <c r="I110" s="272"/>
      <c r="J110" s="272"/>
      <c r="K110" s="272"/>
      <c r="L110" s="272"/>
      <c r="M110" s="272"/>
      <c r="N110" s="272"/>
      <c r="O110" s="272"/>
    </row>
    <row r="111" spans="1:16">
      <c r="A111" s="327" t="s">
        <v>553</v>
      </c>
      <c r="B111" s="454">
        <v>42303</v>
      </c>
      <c r="C111" s="384" t="s">
        <v>760</v>
      </c>
      <c r="E111" s="272"/>
      <c r="F111" s="272"/>
      <c r="G111" s="272"/>
      <c r="H111" s="272"/>
      <c r="I111" s="272"/>
      <c r="J111" s="272"/>
      <c r="K111" s="272"/>
      <c r="L111" s="272"/>
      <c r="M111" s="272"/>
      <c r="N111" s="272"/>
      <c r="O111" s="272"/>
    </row>
    <row r="112" spans="1:16">
      <c r="A112" s="327"/>
      <c r="B112" s="454"/>
      <c r="C112" s="272"/>
      <c r="D112" s="384"/>
      <c r="E112" s="272"/>
      <c r="F112" s="272"/>
      <c r="G112" s="272"/>
      <c r="H112" s="272"/>
      <c r="I112" s="272"/>
      <c r="J112" s="272"/>
      <c r="K112" s="272"/>
      <c r="L112" s="272"/>
      <c r="M112" s="272"/>
      <c r="N112" s="272"/>
      <c r="O112" s="272"/>
    </row>
    <row r="113" spans="1:15">
      <c r="A113" s="327"/>
      <c r="B113" s="454"/>
      <c r="C113" s="272"/>
      <c r="D113" s="384"/>
      <c r="E113" s="272"/>
      <c r="F113" s="272"/>
      <c r="G113" s="272"/>
      <c r="H113" s="272"/>
      <c r="I113" s="272"/>
      <c r="J113" s="272"/>
      <c r="K113" s="272"/>
      <c r="L113" s="272"/>
      <c r="M113" s="272"/>
      <c r="N113" s="272"/>
      <c r="O113" s="272"/>
    </row>
    <row r="114" spans="1:15">
      <c r="A114" s="327" t="s">
        <v>1207</v>
      </c>
      <c r="B114" s="454"/>
      <c r="C114" s="272"/>
      <c r="D114" s="384"/>
      <c r="E114" s="272"/>
      <c r="F114" s="272"/>
      <c r="G114" s="272"/>
      <c r="H114" s="272"/>
      <c r="I114" s="272"/>
      <c r="J114" s="272"/>
      <c r="K114" s="272"/>
      <c r="L114" s="272"/>
      <c r="M114" s="272"/>
      <c r="N114" s="272"/>
      <c r="O114" s="272"/>
    </row>
    <row r="115" spans="1:15">
      <c r="A115" s="327" t="s">
        <v>1213</v>
      </c>
      <c r="B115" s="455">
        <f>FV(3%/12,10,,15700)</f>
        <v>-16096.945191676228</v>
      </c>
      <c r="C115" s="272"/>
      <c r="D115" s="384"/>
      <c r="E115" s="272"/>
      <c r="F115" s="272"/>
      <c r="G115" s="272"/>
      <c r="H115" s="272"/>
      <c r="I115" s="272"/>
      <c r="J115" s="272"/>
      <c r="K115" s="272"/>
      <c r="L115" s="272"/>
      <c r="M115" s="272"/>
      <c r="N115" s="272"/>
      <c r="O115" s="272"/>
    </row>
    <row r="116" spans="1:15">
      <c r="A116" s="327" t="s">
        <v>1238</v>
      </c>
      <c r="B116" s="455">
        <f>-B115-15700</f>
        <v>396.94519167622821</v>
      </c>
      <c r="C116" s="272"/>
      <c r="D116" s="384"/>
      <c r="E116" s="272"/>
      <c r="F116" s="272"/>
      <c r="G116" s="272"/>
      <c r="H116" s="272"/>
      <c r="I116" s="272"/>
      <c r="J116" s="272"/>
      <c r="K116" s="272"/>
      <c r="L116" s="272"/>
      <c r="M116" s="272"/>
      <c r="N116" s="272"/>
      <c r="O116" s="272"/>
    </row>
    <row r="117" spans="1:15">
      <c r="A117" s="327" t="s">
        <v>1239</v>
      </c>
      <c r="B117" s="454">
        <v>42305</v>
      </c>
      <c r="C117" s="272"/>
      <c r="D117" s="272"/>
      <c r="E117" s="272"/>
      <c r="F117" s="272"/>
      <c r="G117" s="272"/>
      <c r="H117" s="272"/>
      <c r="I117" s="272"/>
      <c r="J117" s="272"/>
      <c r="K117" s="272"/>
      <c r="L117" s="272"/>
      <c r="M117" s="272"/>
      <c r="N117" s="272"/>
      <c r="O117" s="272"/>
    </row>
    <row r="118" spans="1:15">
      <c r="B118" s="45"/>
      <c r="C118" s="45"/>
      <c r="D118" s="45"/>
      <c r="E118" s="45"/>
      <c r="F118" s="45"/>
      <c r="G118" s="45"/>
      <c r="H118" s="45"/>
      <c r="I118" s="45"/>
      <c r="J118" s="45"/>
      <c r="K118" s="45"/>
      <c r="L118" s="45"/>
      <c r="M118" s="45"/>
      <c r="N118" s="45"/>
      <c r="O118" s="45"/>
    </row>
    <row r="119" spans="1:15">
      <c r="A119" s="271" t="s">
        <v>502</v>
      </c>
    </row>
    <row r="120" spans="1:15">
      <c r="A120" s="107" t="s">
        <v>509</v>
      </c>
    </row>
    <row r="121" spans="1:15">
      <c r="A121" s="107" t="s">
        <v>510</v>
      </c>
    </row>
    <row r="122" spans="1:15">
      <c r="A122" s="107" t="s">
        <v>511</v>
      </c>
    </row>
    <row r="123" spans="1:15">
      <c r="A123" s="107" t="s">
        <v>512</v>
      </c>
    </row>
    <row r="124" spans="1:15">
      <c r="B124" s="39">
        <v>-1</v>
      </c>
    </row>
    <row r="125" spans="1:15">
      <c r="A125" s="271" t="s">
        <v>504</v>
      </c>
    </row>
    <row r="126" spans="1:15">
      <c r="A126" s="107" t="s">
        <v>505</v>
      </c>
    </row>
    <row r="127" spans="1:15" ht="15">
      <c r="A127" s="126" t="s">
        <v>506</v>
      </c>
      <c r="B127" s="272">
        <f>FV(3%/12,48,,62000)</f>
        <v>-69894.337304475761</v>
      </c>
    </row>
    <row r="128" spans="1:15" ht="15">
      <c r="A128" s="273" t="s">
        <v>507</v>
      </c>
      <c r="B128" s="272">
        <v>10000</v>
      </c>
    </row>
    <row r="129" spans="1:5" ht="15">
      <c r="A129" s="273" t="s">
        <v>508</v>
      </c>
      <c r="B129" s="272">
        <f>SUM(C94:N94)</f>
        <v>5327.3600000000024</v>
      </c>
    </row>
    <row r="130" spans="1:5" ht="15">
      <c r="A130" s="273" t="s">
        <v>762</v>
      </c>
      <c r="B130" s="272"/>
    </row>
    <row r="131" spans="1:5" ht="15">
      <c r="A131" s="126"/>
      <c r="B131" s="272"/>
    </row>
    <row r="132" spans="1:5">
      <c r="B132" s="45"/>
    </row>
    <row r="133" spans="1:5">
      <c r="A133" s="107" t="s">
        <v>503</v>
      </c>
    </row>
    <row r="134" spans="1:5">
      <c r="A134" s="118" t="s">
        <v>244</v>
      </c>
      <c r="B134" s="39">
        <v>61289.34</v>
      </c>
    </row>
    <row r="135" spans="1:5">
      <c r="A135" s="107" t="s">
        <v>245</v>
      </c>
      <c r="B135" s="39">
        <v>32544.49</v>
      </c>
    </row>
    <row r="136" spans="1:5">
      <c r="A136" s="107" t="s">
        <v>246</v>
      </c>
      <c r="B136" s="42">
        <f>B134-B135</f>
        <v>28744.849999999995</v>
      </c>
    </row>
    <row r="137" spans="1:5">
      <c r="A137" s="107" t="s">
        <v>288</v>
      </c>
      <c r="B137" s="96">
        <f>FV(6%/12, 48,, 18750)</f>
        <v>-23821.671770538363</v>
      </c>
      <c r="C137" s="39" t="s">
        <v>287</v>
      </c>
      <c r="E137" s="39" t="s">
        <v>314</v>
      </c>
    </row>
    <row r="138" spans="1:5">
      <c r="A138" s="107" t="s">
        <v>289</v>
      </c>
      <c r="B138" s="96">
        <f>FV(5%/12, 12,,10000)</f>
        <v>-10511.618978817334</v>
      </c>
      <c r="C138" s="39" t="s">
        <v>243</v>
      </c>
      <c r="E138" s="39" t="s">
        <v>315</v>
      </c>
    </row>
    <row r="139" spans="1:5">
      <c r="A139" s="107" t="s">
        <v>247</v>
      </c>
      <c r="B139" s="97">
        <f>SUM(B136:B138)</f>
        <v>-5588.4407493557028</v>
      </c>
    </row>
    <row r="140" spans="1:5">
      <c r="A140" s="107" t="s">
        <v>312</v>
      </c>
      <c r="B140" s="39">
        <v>608.21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firstPageNumber="0" orientation="portrait" horizontalDpi="300" verticalDpi="300" r:id="rId1"/>
  <headerFooter alignWithMargins="0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65533"/>
  <sheetViews>
    <sheetView zoomScaleNormal="100" workbookViewId="0">
      <pane ySplit="315" topLeftCell="A30" activePane="bottomLeft"/>
      <selection activeCell="AC1" sqref="AC1:AC1048576"/>
      <selection pane="bottomLeft" activeCell="AH58" sqref="AH58"/>
    </sheetView>
  </sheetViews>
  <sheetFormatPr defaultRowHeight="12.75"/>
  <cols>
    <col min="3" max="3" width="3.5703125" customWidth="1"/>
    <col min="5" max="5" width="3.5703125" customWidth="1"/>
    <col min="7" max="7" width="3.42578125" customWidth="1"/>
    <col min="9" max="10" width="2.42578125" customWidth="1"/>
    <col min="11" max="11" width="10.5703125" customWidth="1"/>
    <col min="12" max="13" width="2.7109375" customWidth="1"/>
    <col min="14" max="14" width="10.5703125" customWidth="1"/>
    <col min="15" max="16" width="3.28515625" customWidth="1"/>
    <col min="17" max="17" width="10" customWidth="1"/>
    <col min="18" max="18" width="2.140625" customWidth="1"/>
    <col min="19" max="19" width="2.5703125" customWidth="1"/>
    <col min="20" max="20" width="10" customWidth="1"/>
    <col min="21" max="22" width="2.5703125" customWidth="1"/>
    <col min="23" max="23" width="9.85546875" customWidth="1"/>
    <col min="24" max="25" width="2.42578125" customWidth="1"/>
    <col min="26" max="26" width="11" customWidth="1"/>
    <col min="27" max="28" width="3.140625" customWidth="1"/>
    <col min="29" max="29" width="11.140625" customWidth="1"/>
    <col min="30" max="31" width="3.140625" customWidth="1"/>
    <col min="32" max="32" width="11.5703125" customWidth="1"/>
    <col min="33" max="34" width="12.140625" customWidth="1"/>
    <col min="35" max="35" width="13" customWidth="1"/>
    <col min="36" max="36" width="12.7109375" customWidth="1"/>
  </cols>
  <sheetData>
    <row r="1" spans="1:100" ht="15.75">
      <c r="A1" s="31" t="s">
        <v>533</v>
      </c>
    </row>
    <row r="2" spans="1:100">
      <c r="A2" s="4"/>
      <c r="B2" t="s">
        <v>532</v>
      </c>
    </row>
    <row r="3" spans="1:100">
      <c r="B3" s="32" t="s">
        <v>302</v>
      </c>
    </row>
    <row r="4" spans="1:100">
      <c r="A4" t="s">
        <v>105</v>
      </c>
    </row>
    <row r="5" spans="1:100">
      <c r="A5" t="s">
        <v>107</v>
      </c>
      <c r="H5" s="32" t="s">
        <v>301</v>
      </c>
    </row>
    <row r="6" spans="1:100">
      <c r="A6" t="s">
        <v>108</v>
      </c>
      <c r="H6" t="s">
        <v>109</v>
      </c>
    </row>
    <row r="7" spans="1:100">
      <c r="A7" t="s">
        <v>928</v>
      </c>
      <c r="H7" s="49" t="s">
        <v>686</v>
      </c>
      <c r="U7" s="399" t="s">
        <v>1056</v>
      </c>
    </row>
    <row r="8" spans="1:100">
      <c r="A8" t="s">
        <v>111</v>
      </c>
    </row>
    <row r="9" spans="1:100">
      <c r="A9" t="s">
        <v>112</v>
      </c>
    </row>
    <row r="10" spans="1:100" s="5" customFormat="1">
      <c r="A10" s="106" t="s">
        <v>317</v>
      </c>
      <c r="B10"/>
      <c r="C10"/>
      <c r="D10"/>
      <c r="E10"/>
      <c r="F10"/>
      <c r="G10"/>
      <c r="H10"/>
      <c r="I10"/>
      <c r="J10"/>
      <c r="K10" s="33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CM10"/>
      <c r="CN10"/>
      <c r="CO10"/>
      <c r="CP10"/>
      <c r="CQ10"/>
      <c r="CR10"/>
      <c r="CS10"/>
      <c r="CT10"/>
      <c r="CU10"/>
      <c r="CV10"/>
    </row>
    <row r="11" spans="1:100">
      <c r="A11" s="106" t="s">
        <v>1175</v>
      </c>
      <c r="AF11" t="s">
        <v>536</v>
      </c>
      <c r="AG11" t="s">
        <v>114</v>
      </c>
    </row>
    <row r="12" spans="1:100">
      <c r="A12" s="104" t="s">
        <v>171</v>
      </c>
      <c r="B12" s="104">
        <v>2005</v>
      </c>
      <c r="C12" s="104"/>
      <c r="D12" s="104">
        <v>2006</v>
      </c>
      <c r="E12" s="104"/>
      <c r="F12" s="104">
        <v>2007</v>
      </c>
      <c r="G12" s="104"/>
      <c r="H12" s="104">
        <v>2008</v>
      </c>
      <c r="I12" s="104"/>
      <c r="J12" s="131" t="s">
        <v>530</v>
      </c>
      <c r="K12" s="104">
        <v>2009</v>
      </c>
      <c r="L12" s="104" t="s">
        <v>117</v>
      </c>
      <c r="M12" s="131" t="s">
        <v>530</v>
      </c>
      <c r="N12" s="104">
        <v>2010</v>
      </c>
      <c r="O12" s="104"/>
      <c r="P12" s="131" t="s">
        <v>530</v>
      </c>
      <c r="Q12" s="104">
        <v>2011</v>
      </c>
      <c r="R12" s="105"/>
      <c r="S12" s="105" t="s">
        <v>530</v>
      </c>
      <c r="T12" s="104">
        <v>2012</v>
      </c>
      <c r="U12" s="104"/>
      <c r="V12" s="131" t="s">
        <v>530</v>
      </c>
      <c r="W12" s="104">
        <v>2013</v>
      </c>
      <c r="X12" s="131" t="s">
        <v>117</v>
      </c>
      <c r="Y12" s="131" t="s">
        <v>530</v>
      </c>
      <c r="Z12" s="131">
        <v>2014</v>
      </c>
      <c r="AA12" s="131"/>
      <c r="AB12" s="131" t="s">
        <v>530</v>
      </c>
      <c r="AC12" s="131">
        <v>2015</v>
      </c>
      <c r="AD12" s="131" t="s">
        <v>1174</v>
      </c>
      <c r="AE12" s="131" t="s">
        <v>530</v>
      </c>
      <c r="AF12" s="131" t="s">
        <v>537</v>
      </c>
      <c r="AG12" s="104" t="s">
        <v>118</v>
      </c>
      <c r="AH12" s="104" t="s">
        <v>119</v>
      </c>
      <c r="AI12" s="104" t="s">
        <v>120</v>
      </c>
    </row>
    <row r="13" spans="1:100">
      <c r="J13" s="35" t="s">
        <v>534</v>
      </c>
      <c r="M13" s="35" t="s">
        <v>534</v>
      </c>
      <c r="P13" s="289" t="s">
        <v>534</v>
      </c>
      <c r="S13" s="289" t="s">
        <v>534</v>
      </c>
      <c r="T13" s="35"/>
      <c r="U13" s="35"/>
      <c r="V13" s="289" t="s">
        <v>534</v>
      </c>
      <c r="W13" s="35"/>
      <c r="X13" s="35"/>
      <c r="Y13" s="289" t="s">
        <v>534</v>
      </c>
      <c r="Z13" s="35"/>
      <c r="AA13" s="35"/>
      <c r="AB13" s="289" t="s">
        <v>534</v>
      </c>
      <c r="AC13" s="289"/>
      <c r="AD13" s="289"/>
      <c r="AE13" s="289"/>
      <c r="AF13" s="289"/>
    </row>
    <row r="14" spans="1:100">
      <c r="A14" t="s">
        <v>121</v>
      </c>
      <c r="B14">
        <v>143.57</v>
      </c>
      <c r="D14">
        <v>88.5</v>
      </c>
      <c r="F14">
        <v>93.15</v>
      </c>
      <c r="H14">
        <v>124.37</v>
      </c>
      <c r="J14" s="35">
        <v>31</v>
      </c>
      <c r="K14">
        <v>205.96</v>
      </c>
      <c r="L14" t="s">
        <v>123</v>
      </c>
      <c r="M14" s="35">
        <f>(28+20.9)/2</f>
        <v>24.45</v>
      </c>
      <c r="N14">
        <v>121.21</v>
      </c>
      <c r="P14" s="35">
        <f>(24.2+25.3)/2</f>
        <v>24.75</v>
      </c>
      <c r="Q14">
        <v>136.62</v>
      </c>
      <c r="R14" t="s">
        <v>174</v>
      </c>
      <c r="S14" s="35">
        <f>(27.6+28.1)/2</f>
        <v>27.85</v>
      </c>
      <c r="T14">
        <v>146.86000000000001</v>
      </c>
      <c r="U14" t="s">
        <v>123</v>
      </c>
      <c r="V14" s="195">
        <f>(31.4+32.5)/2</f>
        <v>31.95</v>
      </c>
      <c r="W14">
        <v>128.13</v>
      </c>
      <c r="X14" t="s">
        <v>318</v>
      </c>
      <c r="Y14" s="195">
        <f>(31.7+29.7)/2</f>
        <v>30.7</v>
      </c>
      <c r="Z14">
        <v>121.13</v>
      </c>
      <c r="AA14" t="s">
        <v>318</v>
      </c>
      <c r="AB14" s="195">
        <f>(26.2+25)/2</f>
        <v>25.6</v>
      </c>
      <c r="AC14" s="191">
        <v>74.959999999999994</v>
      </c>
      <c r="AD14" s="195"/>
      <c r="AE14" s="195">
        <v>21.1</v>
      </c>
      <c r="AF14" s="294">
        <f>(J14+M14+P14+S14+V14+Y14+AB14+AE14)/8</f>
        <v>27.174999999999997</v>
      </c>
      <c r="AG14">
        <f>(633+843+(584+730)+(392+343)+(421+371)+(501+383)+(400+352)+(429+334))/7</f>
        <v>959.42857142857144</v>
      </c>
      <c r="AH14">
        <v>1314</v>
      </c>
      <c r="AI14">
        <v>451</v>
      </c>
    </row>
    <row r="15" spans="1:100">
      <c r="A15" t="s">
        <v>128</v>
      </c>
      <c r="B15">
        <v>0</v>
      </c>
      <c r="D15">
        <v>79.930000000000007</v>
      </c>
      <c r="F15">
        <v>73.63</v>
      </c>
      <c r="H15">
        <v>101.93</v>
      </c>
      <c r="J15" s="35">
        <v>27.4</v>
      </c>
      <c r="K15">
        <v>133.68</v>
      </c>
      <c r="L15" t="s">
        <v>123</v>
      </c>
      <c r="M15" s="35">
        <v>23.2</v>
      </c>
      <c r="N15">
        <v>107.63</v>
      </c>
      <c r="P15" s="35">
        <v>27.5</v>
      </c>
      <c r="Q15">
        <v>116.84</v>
      </c>
      <c r="R15" t="s">
        <v>174</v>
      </c>
      <c r="S15" s="35">
        <v>20.6</v>
      </c>
      <c r="T15">
        <v>125.86</v>
      </c>
      <c r="U15" t="s">
        <v>123</v>
      </c>
      <c r="V15" s="195">
        <v>29.5</v>
      </c>
      <c r="W15">
        <v>112.71</v>
      </c>
      <c r="X15" t="s">
        <v>318</v>
      </c>
      <c r="Y15" s="195">
        <v>24.9</v>
      </c>
      <c r="Z15">
        <v>143.76</v>
      </c>
      <c r="AA15" t="s">
        <v>318</v>
      </c>
      <c r="AB15" s="35">
        <v>22.8</v>
      </c>
      <c r="AC15" s="1">
        <v>108.76</v>
      </c>
      <c r="AD15" s="35"/>
      <c r="AE15" s="35">
        <v>17.899999999999999</v>
      </c>
      <c r="AF15" s="294">
        <f>(J15+M15+P15+S15+V15+Y15+AB15+AE15)/8</f>
        <v>24.225000000000001</v>
      </c>
      <c r="AG15">
        <f>(488+679+815+646+670+759+626+898+684)/9</f>
        <v>696.11111111111109</v>
      </c>
      <c r="AH15">
        <v>898</v>
      </c>
      <c r="AI15">
        <v>488</v>
      </c>
    </row>
    <row r="16" spans="1:100">
      <c r="A16" t="s">
        <v>134</v>
      </c>
      <c r="B16">
        <v>210.42</v>
      </c>
      <c r="D16">
        <v>93.91</v>
      </c>
      <c r="F16">
        <v>75.92</v>
      </c>
      <c r="H16">
        <v>85.76</v>
      </c>
      <c r="J16" s="35">
        <v>31.7</v>
      </c>
      <c r="K16">
        <v>144.54</v>
      </c>
      <c r="L16" t="s">
        <v>123</v>
      </c>
      <c r="M16" s="35">
        <v>31.7</v>
      </c>
      <c r="N16">
        <v>104.92</v>
      </c>
      <c r="P16" s="35">
        <v>37.4</v>
      </c>
      <c r="Q16">
        <v>106.94</v>
      </c>
      <c r="S16" s="35">
        <v>31.8</v>
      </c>
      <c r="T16">
        <v>94.68</v>
      </c>
      <c r="U16" t="s">
        <v>174</v>
      </c>
      <c r="V16" s="195">
        <v>37.9</v>
      </c>
      <c r="W16">
        <v>110.94</v>
      </c>
      <c r="X16" t="s">
        <v>318</v>
      </c>
      <c r="Y16" s="195">
        <v>34.5</v>
      </c>
      <c r="Z16">
        <v>94.78</v>
      </c>
      <c r="AA16" t="s">
        <v>318</v>
      </c>
      <c r="AB16" s="35">
        <v>27.3</v>
      </c>
      <c r="AC16" s="1">
        <v>48.51</v>
      </c>
      <c r="AD16" s="35" t="s">
        <v>122</v>
      </c>
      <c r="AE16" s="35">
        <v>25.7</v>
      </c>
      <c r="AF16" s="294">
        <f t="shared" ref="AF16:AF25" si="0">(J16+M16+P16+S16+V16+Y16+AB16+AE16)/8</f>
        <v>32.25</v>
      </c>
      <c r="AG16">
        <f>(505+561+886+628+607+552+615+563+256)/9</f>
        <v>574.77777777777783</v>
      </c>
      <c r="AH16">
        <v>886</v>
      </c>
      <c r="AI16">
        <v>256</v>
      </c>
    </row>
    <row r="17" spans="1:35">
      <c r="A17" t="s">
        <v>136</v>
      </c>
      <c r="B17">
        <v>111.63</v>
      </c>
      <c r="D17">
        <v>88.03</v>
      </c>
      <c r="F17">
        <v>72.42</v>
      </c>
      <c r="H17">
        <v>84.95</v>
      </c>
      <c r="J17" s="35">
        <v>40.799999999999997</v>
      </c>
      <c r="K17">
        <v>120.2</v>
      </c>
      <c r="L17" t="s">
        <v>123</v>
      </c>
      <c r="M17" s="35">
        <v>42.6</v>
      </c>
      <c r="N17">
        <v>94.63</v>
      </c>
      <c r="P17" s="35">
        <v>49.8</v>
      </c>
      <c r="Q17">
        <v>89.2</v>
      </c>
      <c r="S17" s="35">
        <v>42.2</v>
      </c>
      <c r="T17">
        <v>64.27</v>
      </c>
      <c r="V17" s="195">
        <v>47.7</v>
      </c>
      <c r="W17">
        <v>123.81</v>
      </c>
      <c r="X17" t="s">
        <v>318</v>
      </c>
      <c r="Y17" s="195">
        <v>40.4</v>
      </c>
      <c r="Z17">
        <v>92.29</v>
      </c>
      <c r="AA17" t="s">
        <v>318</v>
      </c>
      <c r="AB17" s="35">
        <v>38</v>
      </c>
      <c r="AC17" s="1">
        <v>74.569999999999993</v>
      </c>
      <c r="AD17" s="449" t="s">
        <v>1055</v>
      </c>
      <c r="AE17" s="35">
        <v>42.8</v>
      </c>
      <c r="AF17" s="294">
        <f t="shared" si="0"/>
        <v>43.037499999999994</v>
      </c>
      <c r="AG17">
        <f>(479+555+727+560+494+350+695+546+441)/9</f>
        <v>538.55555555555554</v>
      </c>
      <c r="AH17">
        <v>727</v>
      </c>
      <c r="AI17">
        <v>350</v>
      </c>
    </row>
    <row r="18" spans="1:35">
      <c r="A18" t="s">
        <v>10</v>
      </c>
      <c r="B18">
        <v>63.07</v>
      </c>
      <c r="D18">
        <v>75.489999999999995</v>
      </c>
      <c r="F18">
        <v>77.400000000000006</v>
      </c>
      <c r="H18">
        <v>79.87</v>
      </c>
      <c r="J18" s="35">
        <v>54.5</v>
      </c>
      <c r="K18">
        <v>87.61</v>
      </c>
      <c r="M18" s="35">
        <v>57.8</v>
      </c>
      <c r="N18">
        <v>103.09</v>
      </c>
      <c r="O18" t="s">
        <v>253</v>
      </c>
      <c r="P18" s="35">
        <v>55</v>
      </c>
      <c r="Q18">
        <v>99.4</v>
      </c>
      <c r="S18" s="35">
        <v>53.7</v>
      </c>
      <c r="T18">
        <v>57.5</v>
      </c>
      <c r="V18" s="195">
        <v>55.8</v>
      </c>
      <c r="W18">
        <v>90.35</v>
      </c>
      <c r="Y18" s="195">
        <v>55.6</v>
      </c>
      <c r="Z18">
        <v>114.5</v>
      </c>
      <c r="AA18" t="s">
        <v>137</v>
      </c>
      <c r="AB18" s="35">
        <v>52.2</v>
      </c>
      <c r="AC18" s="1">
        <v>61.78</v>
      </c>
      <c r="AD18" s="449" t="s">
        <v>1055</v>
      </c>
      <c r="AE18" s="35">
        <v>58.5</v>
      </c>
      <c r="AF18" s="294">
        <f t="shared" si="0"/>
        <v>55.387500000000003</v>
      </c>
      <c r="AG18">
        <f>(516+518+514+616+559+297+487+698+325)/9</f>
        <v>503.33333333333331</v>
      </c>
      <c r="AH18">
        <v>698</v>
      </c>
      <c r="AI18">
        <v>297</v>
      </c>
    </row>
    <row r="19" spans="1:35">
      <c r="A19" t="s">
        <v>138</v>
      </c>
      <c r="B19">
        <v>61.91</v>
      </c>
      <c r="D19">
        <v>61.04</v>
      </c>
      <c r="F19">
        <v>79.28</v>
      </c>
      <c r="H19">
        <v>95.91</v>
      </c>
      <c r="J19" s="35">
        <v>65.2</v>
      </c>
      <c r="K19">
        <v>107.35</v>
      </c>
      <c r="M19" s="35">
        <v>61.8</v>
      </c>
      <c r="N19">
        <v>87.36</v>
      </c>
      <c r="P19" s="35">
        <v>66.8</v>
      </c>
      <c r="Q19">
        <v>113.08</v>
      </c>
      <c r="R19" t="s">
        <v>140</v>
      </c>
      <c r="S19" s="35">
        <v>65.400000000000006</v>
      </c>
      <c r="T19">
        <v>84.71</v>
      </c>
      <c r="V19" s="195">
        <v>65.400000000000006</v>
      </c>
      <c r="W19">
        <v>124.94</v>
      </c>
      <c r="X19" t="s">
        <v>137</v>
      </c>
      <c r="Y19" s="195">
        <v>63.8</v>
      </c>
      <c r="Z19">
        <v>102.74</v>
      </c>
      <c r="AA19" t="s">
        <v>174</v>
      </c>
      <c r="AB19" s="35">
        <v>63.3</v>
      </c>
      <c r="AC19" s="1">
        <v>49.79</v>
      </c>
      <c r="AD19" s="449" t="s">
        <v>1055</v>
      </c>
      <c r="AE19" s="35">
        <v>67.400000000000006</v>
      </c>
      <c r="AF19" s="294">
        <f t="shared" si="0"/>
        <v>64.887500000000003</v>
      </c>
      <c r="AG19">
        <f>(530+635+643+512+646+472+702+628+246)/9</f>
        <v>557.11111111111109</v>
      </c>
      <c r="AH19">
        <v>702</v>
      </c>
      <c r="AI19">
        <v>472</v>
      </c>
    </row>
    <row r="20" spans="1:35">
      <c r="A20" t="s">
        <v>139</v>
      </c>
      <c r="B20">
        <v>56.34</v>
      </c>
      <c r="C20" t="s">
        <v>135</v>
      </c>
      <c r="D20">
        <v>62.68</v>
      </c>
      <c r="F20">
        <v>93.98</v>
      </c>
      <c r="G20" t="s">
        <v>149</v>
      </c>
      <c r="H20">
        <v>76.989999999999995</v>
      </c>
      <c r="J20" s="35">
        <v>71.8</v>
      </c>
      <c r="K20">
        <v>90.51</v>
      </c>
      <c r="L20" t="s">
        <v>137</v>
      </c>
      <c r="M20" s="35">
        <v>66.599999999999994</v>
      </c>
      <c r="N20">
        <v>98.91</v>
      </c>
      <c r="P20" s="35">
        <f>(73.5+78.4)/2</f>
        <v>75.95</v>
      </c>
      <c r="Q20">
        <v>126.63</v>
      </c>
      <c r="R20" t="s">
        <v>140</v>
      </c>
      <c r="S20" s="35">
        <f>(68.5+74.9)/2</f>
        <v>71.7</v>
      </c>
      <c r="T20">
        <v>117.91</v>
      </c>
      <c r="U20" t="s">
        <v>137</v>
      </c>
      <c r="V20" s="195">
        <f>(76.1+70.9)/2</f>
        <v>73.5</v>
      </c>
      <c r="W20">
        <v>162.68</v>
      </c>
      <c r="Y20" s="195">
        <f>(72.2+78.1)/2</f>
        <v>75.150000000000006</v>
      </c>
      <c r="Z20">
        <v>120.86</v>
      </c>
      <c r="AA20" t="s">
        <v>174</v>
      </c>
      <c r="AB20" s="35">
        <v>73.3</v>
      </c>
      <c r="AC20" s="1">
        <v>67.900000000000006</v>
      </c>
      <c r="AD20" s="35" t="s">
        <v>1055</v>
      </c>
      <c r="AE20" s="35">
        <v>73.5</v>
      </c>
      <c r="AF20" s="294">
        <f t="shared" si="0"/>
        <v>72.6875</v>
      </c>
      <c r="AG20">
        <f>(634+467+533+568+737+697+966+770+359)/9</f>
        <v>636.77777777777783</v>
      </c>
      <c r="AH20">
        <v>966</v>
      </c>
      <c r="AI20">
        <v>467</v>
      </c>
    </row>
    <row r="21" spans="1:35">
      <c r="A21" t="s">
        <v>141</v>
      </c>
      <c r="B21">
        <v>66.83</v>
      </c>
      <c r="D21">
        <v>95.69</v>
      </c>
      <c r="F21">
        <v>92.9</v>
      </c>
      <c r="G21" t="s">
        <v>137</v>
      </c>
      <c r="H21">
        <v>75.099999999999994</v>
      </c>
      <c r="J21" s="35">
        <v>72</v>
      </c>
      <c r="K21">
        <v>98.06</v>
      </c>
      <c r="L21" t="s">
        <v>137</v>
      </c>
      <c r="M21" s="35">
        <f>(72.7+72.3)/2</f>
        <v>72.5</v>
      </c>
      <c r="N21">
        <v>130.33000000000001</v>
      </c>
      <c r="O21" t="s">
        <v>254</v>
      </c>
      <c r="P21" s="35">
        <v>75.2</v>
      </c>
      <c r="Q21">
        <v>166.33</v>
      </c>
      <c r="R21" t="s">
        <v>144</v>
      </c>
      <c r="S21" s="35">
        <v>75.2</v>
      </c>
      <c r="T21">
        <v>140.66</v>
      </c>
      <c r="U21" t="s">
        <v>137</v>
      </c>
      <c r="V21" s="195">
        <v>76</v>
      </c>
      <c r="W21">
        <v>136.38</v>
      </c>
      <c r="X21" t="s">
        <v>137</v>
      </c>
      <c r="Y21" s="195">
        <v>73.3</v>
      </c>
      <c r="Z21">
        <v>106.43</v>
      </c>
      <c r="AA21" t="s">
        <v>174</v>
      </c>
      <c r="AB21" s="35">
        <v>72</v>
      </c>
      <c r="AC21" s="1">
        <v>77.09</v>
      </c>
      <c r="AD21" s="35"/>
      <c r="AE21" s="35">
        <v>75.2</v>
      </c>
      <c r="AF21" s="294">
        <f t="shared" si="0"/>
        <v>73.925000000000011</v>
      </c>
      <c r="AG21">
        <f>(659+626+454+582+749+999+865+823+687+416)/10</f>
        <v>686</v>
      </c>
      <c r="AH21">
        <v>999</v>
      </c>
      <c r="AI21">
        <v>454</v>
      </c>
    </row>
    <row r="22" spans="1:35">
      <c r="A22" t="s">
        <v>143</v>
      </c>
      <c r="B22">
        <v>68.069999999999993</v>
      </c>
      <c r="D22">
        <v>75.33</v>
      </c>
      <c r="F22">
        <v>95.85</v>
      </c>
      <c r="G22" t="s">
        <v>135</v>
      </c>
      <c r="H22">
        <v>104.25</v>
      </c>
      <c r="J22" s="35">
        <v>68.599999999999994</v>
      </c>
      <c r="K22">
        <v>88.4</v>
      </c>
      <c r="L22" t="s">
        <v>146</v>
      </c>
      <c r="M22" s="35">
        <v>69</v>
      </c>
      <c r="N22">
        <v>110.36</v>
      </c>
      <c r="P22" s="35">
        <v>70.2</v>
      </c>
      <c r="Q22">
        <v>124.33</v>
      </c>
      <c r="R22" t="s">
        <v>135</v>
      </c>
      <c r="S22" s="35">
        <v>70.5</v>
      </c>
      <c r="T22">
        <v>108.82</v>
      </c>
      <c r="U22" t="s">
        <v>174</v>
      </c>
      <c r="V22" s="195">
        <v>70.599999999999994</v>
      </c>
      <c r="W22">
        <v>123.75</v>
      </c>
      <c r="Y22" s="195">
        <v>69.400000000000006</v>
      </c>
      <c r="Z22">
        <v>96.7</v>
      </c>
      <c r="AA22" s="49" t="s">
        <v>735</v>
      </c>
      <c r="AB22" s="35">
        <v>68.400000000000006</v>
      </c>
      <c r="AC22" s="1">
        <v>49.56</v>
      </c>
      <c r="AD22" s="35"/>
      <c r="AE22" s="35">
        <v>71.7</v>
      </c>
      <c r="AF22" s="294">
        <f t="shared" si="0"/>
        <v>69.8</v>
      </c>
      <c r="AG22">
        <f>(506+648+654+518+623+728+651+739+616+238)/10</f>
        <v>592.1</v>
      </c>
      <c r="AH22">
        <v>739</v>
      </c>
      <c r="AI22">
        <v>506</v>
      </c>
    </row>
    <row r="23" spans="1:35">
      <c r="A23" t="s">
        <v>145</v>
      </c>
      <c r="B23">
        <v>77.17</v>
      </c>
      <c r="D23">
        <v>71.59</v>
      </c>
      <c r="F23">
        <v>87.66</v>
      </c>
      <c r="G23" s="34"/>
      <c r="H23">
        <v>99.19</v>
      </c>
      <c r="I23" t="s">
        <v>123</v>
      </c>
      <c r="J23" s="35">
        <v>57.1</v>
      </c>
      <c r="K23">
        <v>92.35</v>
      </c>
      <c r="M23" s="35">
        <v>54.3</v>
      </c>
      <c r="N23">
        <v>115.11</v>
      </c>
      <c r="P23" s="35">
        <v>59</v>
      </c>
      <c r="Q23">
        <v>108.07</v>
      </c>
      <c r="R23" t="s">
        <v>135</v>
      </c>
      <c r="S23" s="35">
        <v>61.6</v>
      </c>
      <c r="T23">
        <v>98.85</v>
      </c>
      <c r="V23" s="195">
        <v>56.7</v>
      </c>
      <c r="W23">
        <v>110.79</v>
      </c>
      <c r="Y23" s="195">
        <v>58.7</v>
      </c>
      <c r="Z23">
        <v>89.19</v>
      </c>
      <c r="AA23" s="49" t="s">
        <v>735</v>
      </c>
      <c r="AB23" s="35">
        <v>58.5</v>
      </c>
      <c r="AC23" s="1">
        <v>30.54</v>
      </c>
      <c r="AD23" s="35"/>
      <c r="AE23" s="35">
        <v>55.5</v>
      </c>
      <c r="AF23" s="294">
        <f t="shared" si="0"/>
        <v>57.674999999999997</v>
      </c>
      <c r="AG23">
        <f>(478+587+618+544+653+623+584+653+561)/9</f>
        <v>589</v>
      </c>
      <c r="AH23">
        <v>653</v>
      </c>
      <c r="AI23">
        <v>478</v>
      </c>
    </row>
    <row r="24" spans="1:35">
      <c r="A24" t="s">
        <v>147</v>
      </c>
      <c r="B24">
        <v>89.35</v>
      </c>
      <c r="C24" t="s">
        <v>137</v>
      </c>
      <c r="D24">
        <v>73.33</v>
      </c>
      <c r="F24">
        <v>88.47</v>
      </c>
      <c r="G24" s="35"/>
      <c r="H24">
        <v>101.38</v>
      </c>
      <c r="I24" t="s">
        <v>123</v>
      </c>
      <c r="J24" s="35">
        <v>46.9</v>
      </c>
      <c r="K24">
        <v>100.99</v>
      </c>
      <c r="M24" s="35">
        <v>47.2</v>
      </c>
      <c r="N24">
        <v>107.81</v>
      </c>
      <c r="P24" s="35">
        <v>46.5</v>
      </c>
      <c r="Q24">
        <v>81.88</v>
      </c>
      <c r="R24" t="s">
        <v>174</v>
      </c>
      <c r="S24" s="35">
        <v>47.4</v>
      </c>
      <c r="T24" s="36">
        <v>82.04</v>
      </c>
      <c r="V24" s="195">
        <v>49.6</v>
      </c>
      <c r="W24">
        <v>115.17</v>
      </c>
      <c r="X24" t="s">
        <v>318</v>
      </c>
      <c r="Y24" s="195">
        <v>46</v>
      </c>
      <c r="Z24">
        <v>62.49</v>
      </c>
      <c r="AA24" t="s">
        <v>318</v>
      </c>
      <c r="AB24" s="35">
        <v>49.7</v>
      </c>
      <c r="AC24" s="1">
        <v>0</v>
      </c>
      <c r="AD24" s="35"/>
      <c r="AE24" s="35"/>
      <c r="AF24" s="294">
        <f t="shared" si="0"/>
        <v>41.662500000000001</v>
      </c>
      <c r="AG24">
        <f>(491+593+633+601+607+454+471+682+366)/9</f>
        <v>544.22222222222217</v>
      </c>
      <c r="AH24">
        <v>682</v>
      </c>
      <c r="AI24">
        <v>366</v>
      </c>
    </row>
    <row r="25" spans="1:35">
      <c r="A25" t="s">
        <v>148</v>
      </c>
      <c r="B25">
        <v>102.62</v>
      </c>
      <c r="D25">
        <v>97.68</v>
      </c>
      <c r="F25">
        <v>91.56</v>
      </c>
      <c r="G25" t="s">
        <v>122</v>
      </c>
      <c r="H25">
        <v>104.87</v>
      </c>
      <c r="I25" t="s">
        <v>123</v>
      </c>
      <c r="J25" s="35">
        <v>33.200000000000003</v>
      </c>
      <c r="K25">
        <v>48.23</v>
      </c>
      <c r="L25" t="s">
        <v>122</v>
      </c>
      <c r="M25" s="35">
        <v>39.799999999999997</v>
      </c>
      <c r="N25">
        <v>99.75</v>
      </c>
      <c r="P25" s="35">
        <v>35.6</v>
      </c>
      <c r="Q25">
        <v>84.51</v>
      </c>
      <c r="S25" s="35">
        <v>42.5</v>
      </c>
      <c r="T25">
        <v>111.5</v>
      </c>
      <c r="U25" t="s">
        <v>318</v>
      </c>
      <c r="V25" s="195">
        <v>36.799999999999997</v>
      </c>
      <c r="W25">
        <v>130.52000000000001</v>
      </c>
      <c r="X25" t="s">
        <v>318</v>
      </c>
      <c r="Y25" s="195">
        <v>33.4</v>
      </c>
      <c r="Z25">
        <v>103.69</v>
      </c>
      <c r="AA25" t="s">
        <v>736</v>
      </c>
      <c r="AB25" s="35">
        <v>34.6</v>
      </c>
      <c r="AC25" s="1">
        <v>0</v>
      </c>
      <c r="AD25" s="35"/>
      <c r="AE25" s="35"/>
      <c r="AF25" s="294">
        <f t="shared" si="0"/>
        <v>31.987499999999997</v>
      </c>
      <c r="AG25">
        <f>(674+616+657+253+556+471+669+784+667)/9</f>
        <v>594.11111111111109</v>
      </c>
      <c r="AH25">
        <v>784</v>
      </c>
      <c r="AI25">
        <v>471</v>
      </c>
    </row>
    <row r="26" spans="1:35" ht="13.5" thickBot="1">
      <c r="A26" s="37" t="s">
        <v>79</v>
      </c>
      <c r="B26" s="37">
        <f>SUM(B13:B24)</f>
        <v>948.36000000000013</v>
      </c>
      <c r="C26" s="37"/>
      <c r="D26" s="37">
        <f>SUM(D13:D24)</f>
        <v>865.5200000000001</v>
      </c>
      <c r="E26" s="37"/>
      <c r="F26" s="37">
        <f>SUM(F13:F24)</f>
        <v>930.66</v>
      </c>
      <c r="G26" s="37"/>
      <c r="H26" s="37">
        <f>SUM(H13:H24)</f>
        <v>1029.6999999999998</v>
      </c>
      <c r="I26" s="37"/>
      <c r="J26" s="287">
        <f>SUM(J14:J25)/12</f>
        <v>50.016666666666673</v>
      </c>
      <c r="K26" s="37">
        <f>SUM(K13:K24)</f>
        <v>1269.6500000000001</v>
      </c>
      <c r="L26" s="37"/>
      <c r="M26" s="287">
        <f>SUM(M14:M25)/12</f>
        <v>49.24583333333333</v>
      </c>
      <c r="N26" s="37">
        <f>SUM(N13:N24)</f>
        <v>1181.3599999999999</v>
      </c>
      <c r="O26" s="37"/>
      <c r="P26" s="287">
        <f>SUM(P14:P25)/12</f>
        <v>51.974999999999994</v>
      </c>
      <c r="Q26" s="37">
        <f>SUM(Q13:Q24)</f>
        <v>1269.3200000000002</v>
      </c>
      <c r="R26" s="37"/>
      <c r="S26" s="287">
        <f>SUM(S14:S25)/12</f>
        <v>50.87083333333333</v>
      </c>
      <c r="T26" s="100">
        <f>SUM(T13:T24)</f>
        <v>1122.1599999999999</v>
      </c>
      <c r="U26" s="100"/>
      <c r="V26" s="287">
        <f>SUM(V14:V25)/12</f>
        <v>52.620833333333337</v>
      </c>
      <c r="W26" s="100">
        <f>SUM(W13:W24)</f>
        <v>1339.65</v>
      </c>
      <c r="X26" s="100"/>
      <c r="Y26" s="287">
        <f>SUM(Y14:Y25)/12</f>
        <v>50.487500000000004</v>
      </c>
      <c r="Z26" s="100">
        <f>SUM(Z13:Z24)</f>
        <v>1144.8700000000001</v>
      </c>
      <c r="AA26" s="100"/>
      <c r="AB26" s="287">
        <f>SUM(AB14:AB25)/12</f>
        <v>48.808333333333337</v>
      </c>
      <c r="AC26" s="402">
        <f>SUM(AC14:AC25)</f>
        <v>643.46</v>
      </c>
      <c r="AD26" s="287"/>
      <c r="AE26" s="287">
        <f>SUM(AE14:AE25)/12</f>
        <v>42.441666666666663</v>
      </c>
      <c r="AF26" s="295">
        <f>SUM(AF14:AF25)/12</f>
        <v>49.55833333333333</v>
      </c>
      <c r="AG26" s="100">
        <f>SUM(AG13:AG24)</f>
        <v>6877.4174603174615</v>
      </c>
      <c r="AH26" s="37">
        <f>SUM(AH13:AH24)</f>
        <v>9264</v>
      </c>
      <c r="AI26" s="37">
        <f>SUM(AI13:AI24)</f>
        <v>4585</v>
      </c>
    </row>
    <row r="27" spans="1:35" ht="13.5" thickTop="1">
      <c r="A27" t="s">
        <v>80</v>
      </c>
      <c r="B27">
        <f>B26/12</f>
        <v>79.030000000000015</v>
      </c>
      <c r="D27">
        <f>D26/12</f>
        <v>72.126666666666679</v>
      </c>
      <c r="F27">
        <f>F26/12</f>
        <v>77.554999999999993</v>
      </c>
      <c r="H27">
        <f>H26/12</f>
        <v>85.808333333333323</v>
      </c>
      <c r="K27">
        <f>K26/12</f>
        <v>105.80416666666667</v>
      </c>
      <c r="N27">
        <f>N26/12</f>
        <v>98.446666666666658</v>
      </c>
      <c r="Q27">
        <f>Q26/12</f>
        <v>105.77666666666669</v>
      </c>
      <c r="T27">
        <f>T26/12</f>
        <v>93.513333333333321</v>
      </c>
      <c r="W27">
        <f>W26/12</f>
        <v>111.6375</v>
      </c>
      <c r="Z27">
        <f>Z26/12</f>
        <v>95.405833333333348</v>
      </c>
      <c r="AC27">
        <f>AC26/12</f>
        <v>53.62166666666667</v>
      </c>
    </row>
    <row r="28" spans="1:35">
      <c r="A28" t="s">
        <v>150</v>
      </c>
      <c r="D28">
        <f>659+506+478+491+674</f>
        <v>2808</v>
      </c>
      <c r="F28">
        <f>633+488+505+479+516+530+634+626+648+587+593+616</f>
        <v>6855</v>
      </c>
      <c r="H28">
        <f>843+679+561+555+518+635+476+454+654+618+633+657</f>
        <v>7283</v>
      </c>
      <c r="K28">
        <f>1314+815+886+727+514+643+533+582+518+544+601+253</f>
        <v>7930</v>
      </c>
      <c r="N28">
        <f>735+646+628+560+616+512+568+749+623+653+607+556</f>
        <v>7453</v>
      </c>
      <c r="Q28">
        <f>792+670+607+494+559+646+737+999+728+623+454+471</f>
        <v>7780</v>
      </c>
      <c r="T28">
        <f>884+759+552+350+297+472+697+865+651+584+471+669</f>
        <v>7251</v>
      </c>
      <c r="W28">
        <f>752+626+615+695+487+702+966+823+739+653+682+784</f>
        <v>8524</v>
      </c>
      <c r="Z28">
        <f>763+898+563+546+698+628+(420+350)+687+616+561+366+667</f>
        <v>7763</v>
      </c>
      <c r="AC28">
        <f>451+684+256+441+325+246+359+416+238+115</f>
        <v>3531</v>
      </c>
      <c r="AG28">
        <f>SUM(AG13:AG24)</f>
        <v>6877.4174603174615</v>
      </c>
      <c r="AH28">
        <f>SUM(AH13:AH24)</f>
        <v>9264</v>
      </c>
      <c r="AI28">
        <f>SUM(AI13:AI24)</f>
        <v>4585</v>
      </c>
    </row>
    <row r="29" spans="1:35">
      <c r="A29" t="s">
        <v>152</v>
      </c>
      <c r="D29">
        <f>D28/5</f>
        <v>561.6</v>
      </c>
      <c r="F29">
        <f>F28/12</f>
        <v>571.25</v>
      </c>
      <c r="H29">
        <f>H28/12</f>
        <v>606.91666666666663</v>
      </c>
      <c r="K29">
        <f>K28/12</f>
        <v>660.83333333333337</v>
      </c>
      <c r="N29">
        <f>N28/12</f>
        <v>621.08333333333337</v>
      </c>
      <c r="Q29">
        <f>Q28/12</f>
        <v>648.33333333333337</v>
      </c>
      <c r="T29">
        <f>T28/12</f>
        <v>604.25</v>
      </c>
      <c r="W29">
        <f>W28/12</f>
        <v>710.33333333333337</v>
      </c>
      <c r="Z29">
        <f>Z28/12</f>
        <v>646.91666666666663</v>
      </c>
      <c r="AC29">
        <f>AC28/12</f>
        <v>294.25</v>
      </c>
    </row>
    <row r="30" spans="1:35">
      <c r="A30" t="s">
        <v>1007</v>
      </c>
      <c r="W30">
        <f>W26/W28</f>
        <v>0.15716213045518537</v>
      </c>
      <c r="Z30">
        <f>Z26/Z28</f>
        <v>0.14747777920906868</v>
      </c>
      <c r="AC30">
        <f>AC26/AC28</f>
        <v>0.18223166241857833</v>
      </c>
    </row>
    <row r="31" spans="1:35">
      <c r="K31">
        <f>(H28+K28+N28+Q28+T28+W28+Z28)/7</f>
        <v>7712</v>
      </c>
      <c r="L31" t="s">
        <v>1008</v>
      </c>
      <c r="N31">
        <f>K31*AC30</f>
        <v>1405.3705805720761</v>
      </c>
    </row>
    <row r="32" spans="1:35" ht="15.75">
      <c r="A32" s="31" t="s">
        <v>159</v>
      </c>
    </row>
    <row r="33" spans="1:34">
      <c r="A33" s="38"/>
    </row>
    <row r="34" spans="1:34">
      <c r="A34" s="38"/>
      <c r="B34" t="s">
        <v>161</v>
      </c>
    </row>
    <row r="35" spans="1:34">
      <c r="A35" s="38"/>
      <c r="B35" t="s">
        <v>162</v>
      </c>
    </row>
    <row r="36" spans="1:34">
      <c r="A36" s="38"/>
      <c r="B36" t="s">
        <v>163</v>
      </c>
    </row>
    <row r="37" spans="1:34">
      <c r="A37" s="38"/>
      <c r="B37" t="s">
        <v>165</v>
      </c>
    </row>
    <row r="38" spans="1:34">
      <c r="A38" s="38"/>
      <c r="B38" t="s">
        <v>167</v>
      </c>
    </row>
    <row r="39" spans="1:34">
      <c r="A39" s="38"/>
      <c r="B39" t="s">
        <v>402</v>
      </c>
    </row>
    <row r="40" spans="1:34">
      <c r="A40" s="38"/>
      <c r="AH40" t="s">
        <v>170</v>
      </c>
    </row>
    <row r="41" spans="1:34">
      <c r="A41" s="103" t="s">
        <v>171</v>
      </c>
      <c r="B41" s="104">
        <v>2005</v>
      </c>
      <c r="C41" s="104"/>
      <c r="D41" s="104">
        <v>2006</v>
      </c>
      <c r="E41" s="104"/>
      <c r="F41" s="104">
        <v>2007</v>
      </c>
      <c r="G41" s="104"/>
      <c r="H41" s="104">
        <v>2008</v>
      </c>
      <c r="I41" s="104"/>
      <c r="J41" s="104"/>
      <c r="K41" s="104">
        <v>2009</v>
      </c>
      <c r="L41" s="104"/>
      <c r="M41" s="104"/>
      <c r="N41" s="104">
        <v>2010</v>
      </c>
      <c r="O41" s="104"/>
      <c r="P41" s="104"/>
      <c r="Q41" s="104">
        <v>2011</v>
      </c>
      <c r="R41" s="104"/>
      <c r="S41" s="104"/>
      <c r="T41" s="104">
        <v>2012</v>
      </c>
      <c r="U41" s="131" t="s">
        <v>403</v>
      </c>
      <c r="V41" s="131"/>
      <c r="W41" s="104">
        <v>2013</v>
      </c>
      <c r="X41" s="131" t="s">
        <v>403</v>
      </c>
      <c r="Y41" s="131"/>
      <c r="Z41" s="131">
        <v>2014</v>
      </c>
      <c r="AA41" s="131"/>
      <c r="AB41" s="131"/>
      <c r="AC41" s="131">
        <v>2015</v>
      </c>
      <c r="AD41" s="131"/>
      <c r="AE41" s="131"/>
      <c r="AF41" s="36" t="s">
        <v>1182</v>
      </c>
      <c r="AH41" t="s">
        <v>152</v>
      </c>
    </row>
    <row r="42" spans="1:34">
      <c r="AH42" t="s">
        <v>1176</v>
      </c>
    </row>
    <row r="43" spans="1:34">
      <c r="A43" t="s">
        <v>121</v>
      </c>
    </row>
    <row r="44" spans="1:34">
      <c r="A44" t="s">
        <v>128</v>
      </c>
      <c r="D44">
        <v>53.26</v>
      </c>
      <c r="E44" t="s">
        <v>174</v>
      </c>
      <c r="F44">
        <v>53.21</v>
      </c>
      <c r="G44" t="s">
        <v>174</v>
      </c>
      <c r="H44">
        <v>94.8</v>
      </c>
      <c r="I44" t="s">
        <v>175</v>
      </c>
      <c r="K44">
        <v>70.05</v>
      </c>
      <c r="N44">
        <v>43.65</v>
      </c>
      <c r="Q44">
        <v>52.7</v>
      </c>
      <c r="T44">
        <v>59</v>
      </c>
      <c r="W44">
        <v>53.15</v>
      </c>
      <c r="Z44">
        <v>57.05</v>
      </c>
      <c r="AC44">
        <v>49.25</v>
      </c>
      <c r="AF44">
        <f>SUM(D44:AC44)/10</f>
        <v>58.611999999999988</v>
      </c>
      <c r="AH44">
        <f>(1360+1340+4200+2700+1100+1400+1500+1200+1400+1000)/10</f>
        <v>1720</v>
      </c>
    </row>
    <row r="45" spans="1:34">
      <c r="A45" t="s">
        <v>134</v>
      </c>
    </row>
    <row r="46" spans="1:34">
      <c r="A46" t="s">
        <v>136</v>
      </c>
    </row>
    <row r="47" spans="1:34">
      <c r="A47" t="s">
        <v>10</v>
      </c>
      <c r="D47">
        <v>98.16</v>
      </c>
      <c r="E47" t="s">
        <v>174</v>
      </c>
      <c r="F47">
        <v>48.56</v>
      </c>
      <c r="H47">
        <v>81.599999999999994</v>
      </c>
      <c r="I47" t="s">
        <v>174</v>
      </c>
      <c r="K47">
        <v>81.599999999999994</v>
      </c>
      <c r="N47" s="33">
        <v>126.15</v>
      </c>
      <c r="O47" t="s">
        <v>177</v>
      </c>
      <c r="Q47">
        <v>58.1</v>
      </c>
      <c r="T47">
        <v>98</v>
      </c>
      <c r="W47">
        <v>66.8</v>
      </c>
      <c r="Z47">
        <v>59</v>
      </c>
      <c r="AC47">
        <v>45.35</v>
      </c>
      <c r="AH47">
        <f>(5500+1700+3400+3400+6100+1700+3500+1900+1500+800)/10</f>
        <v>2950</v>
      </c>
    </row>
    <row r="48" spans="1:34">
      <c r="A48" t="s">
        <v>138</v>
      </c>
    </row>
    <row r="49" spans="1:34">
      <c r="A49" t="s">
        <v>139</v>
      </c>
    </row>
    <row r="50" spans="1:34">
      <c r="A50" t="s">
        <v>141</v>
      </c>
      <c r="B50">
        <v>192.06</v>
      </c>
      <c r="C50" t="s">
        <v>174</v>
      </c>
      <c r="D50" s="33">
        <v>312.06</v>
      </c>
      <c r="E50" t="s">
        <v>174</v>
      </c>
      <c r="F50">
        <v>157.06</v>
      </c>
      <c r="H50">
        <v>103.05</v>
      </c>
      <c r="K50">
        <v>147.6</v>
      </c>
      <c r="N50">
        <v>187.2</v>
      </c>
      <c r="O50" t="s">
        <v>177</v>
      </c>
      <c r="Q50">
        <v>157.1</v>
      </c>
      <c r="T50">
        <v>314.45</v>
      </c>
      <c r="W50">
        <v>220.85</v>
      </c>
      <c r="Z50">
        <v>160.4</v>
      </c>
      <c r="AC50">
        <v>33.65</v>
      </c>
      <c r="AH50">
        <f>(11700+17500+8700+4700+7400+9800+7200+14600+9800+6700+200)/11</f>
        <v>8936.363636363636</v>
      </c>
    </row>
    <row r="51" spans="1:34">
      <c r="A51" t="s">
        <v>143</v>
      </c>
      <c r="E51" t="s">
        <v>140</v>
      </c>
    </row>
    <row r="52" spans="1:34">
      <c r="A52" t="s">
        <v>145</v>
      </c>
      <c r="AC52">
        <v>26.08</v>
      </c>
    </row>
    <row r="53" spans="1:34">
      <c r="A53" t="s">
        <v>147</v>
      </c>
      <c r="B53">
        <v>181.11</v>
      </c>
      <c r="C53" t="s">
        <v>174</v>
      </c>
      <c r="D53">
        <v>191.16</v>
      </c>
      <c r="E53" t="s">
        <v>174</v>
      </c>
      <c r="F53">
        <v>190.25</v>
      </c>
      <c r="H53">
        <v>114.6</v>
      </c>
      <c r="K53" s="33">
        <v>312.60000000000002</v>
      </c>
      <c r="L53" t="s">
        <v>177</v>
      </c>
      <c r="N53">
        <v>94.8</v>
      </c>
      <c r="Q53">
        <v>131.15</v>
      </c>
      <c r="T53">
        <v>264.85000000000002</v>
      </c>
      <c r="W53">
        <v>240.35</v>
      </c>
      <c r="Z53">
        <v>66.8</v>
      </c>
      <c r="AH53">
        <f>(10900+11500+11500+5400+17400+4200+5200+11800+10800+1900)/10</f>
        <v>9060</v>
      </c>
    </row>
    <row r="54" spans="1:34">
      <c r="A54" t="s">
        <v>148</v>
      </c>
    </row>
    <row r="55" spans="1:34" ht="13.5" thickBot="1">
      <c r="A55" s="30" t="s">
        <v>900</v>
      </c>
      <c r="B55" s="30">
        <f>SUM(B50:B53)</f>
        <v>373.17</v>
      </c>
      <c r="C55" s="30"/>
      <c r="D55" s="30">
        <f>SUM(D43:D53)</f>
        <v>654.64</v>
      </c>
      <c r="E55" s="30"/>
      <c r="F55" s="30">
        <f>SUM(F43:F53)</f>
        <v>449.08000000000004</v>
      </c>
      <c r="G55" s="30"/>
      <c r="H55" s="30">
        <f>SUM(H43:H53)</f>
        <v>394.04999999999995</v>
      </c>
      <c r="I55" s="30"/>
      <c r="J55" s="30"/>
      <c r="K55" s="30">
        <f>SUM(K43:K53)</f>
        <v>611.85</v>
      </c>
      <c r="L55" s="30"/>
      <c r="M55" s="30"/>
      <c r="N55" s="30">
        <f>SUM(N43:N53)</f>
        <v>451.8</v>
      </c>
      <c r="O55" s="30"/>
      <c r="P55" s="30"/>
      <c r="Q55" s="30">
        <f>SUM(Q43:Q53)</f>
        <v>399.04999999999995</v>
      </c>
      <c r="R55" s="30"/>
      <c r="S55" s="36"/>
      <c r="T55" s="50">
        <f>SUM(T43:T53)</f>
        <v>736.3</v>
      </c>
      <c r="U55" s="50"/>
      <c r="V55" s="50"/>
      <c r="W55" s="50">
        <f>SUM(W43:W53)</f>
        <v>581.15</v>
      </c>
      <c r="X55" s="50"/>
      <c r="Y55" s="50"/>
      <c r="Z55" s="50">
        <f>SUM(Z43:Z54)</f>
        <v>343.25</v>
      </c>
      <c r="AA55" s="50"/>
      <c r="AB55" s="50"/>
      <c r="AC55" s="50">
        <f>SUM(AC43:AC54)</f>
        <v>154.32999999999998</v>
      </c>
      <c r="AD55" s="30"/>
      <c r="AE55" s="30"/>
      <c r="AF55" s="30"/>
      <c r="AG55" s="30"/>
      <c r="AH55" s="50">
        <f>SUM(AH43:AH53)</f>
        <v>22666.363636363636</v>
      </c>
    </row>
    <row r="56" spans="1:34" ht="13.5" thickTop="1">
      <c r="A56" t="s">
        <v>901</v>
      </c>
      <c r="B56">
        <f>B55/10</f>
        <v>37.317</v>
      </c>
      <c r="D56">
        <f>D55/12</f>
        <v>54.553333333333335</v>
      </c>
      <c r="F56">
        <f>F55/12</f>
        <v>37.423333333333339</v>
      </c>
      <c r="H56">
        <f>H55/12</f>
        <v>32.837499999999999</v>
      </c>
      <c r="K56">
        <f>K55/12</f>
        <v>50.987500000000004</v>
      </c>
      <c r="N56">
        <f>N55/12</f>
        <v>37.65</v>
      </c>
      <c r="Q56">
        <f>Q55/12</f>
        <v>33.254166666666663</v>
      </c>
      <c r="T56">
        <f>T55/12</f>
        <v>61.358333333333327</v>
      </c>
      <c r="W56">
        <f>W55/12</f>
        <v>48.429166666666667</v>
      </c>
      <c r="Z56">
        <f>Z55/12</f>
        <v>28.604166666666668</v>
      </c>
      <c r="AC56">
        <f>AC55/12</f>
        <v>12.860833333333332</v>
      </c>
    </row>
    <row r="57" spans="1:34">
      <c r="A57" t="s">
        <v>1177</v>
      </c>
      <c r="B57">
        <f>11700+10900</f>
        <v>22600</v>
      </c>
      <c r="C57" t="s">
        <v>174</v>
      </c>
      <c r="D57">
        <f>1360+5500+17500+11500</f>
        <v>35860</v>
      </c>
      <c r="E57" t="s">
        <v>174</v>
      </c>
      <c r="F57">
        <f>1340+1700+8700+11500</f>
        <v>23240</v>
      </c>
      <c r="H57">
        <f>4200+3400+4700+5400</f>
        <v>17700</v>
      </c>
      <c r="K57">
        <f>2700+3400+7400+17400</f>
        <v>30900</v>
      </c>
      <c r="N57">
        <f>1100+6100+9800+4200</f>
        <v>21200</v>
      </c>
      <c r="Q57">
        <f>1400+1700+7200+5200</f>
        <v>15500</v>
      </c>
      <c r="T57">
        <f>1500+3500+14600+11800</f>
        <v>31400</v>
      </c>
      <c r="W57">
        <f>1200+1900+9800+10800</f>
        <v>23700</v>
      </c>
      <c r="Z57">
        <f>1400+1500+6700+1900</f>
        <v>11500</v>
      </c>
      <c r="AC57">
        <f>1000+800+200</f>
        <v>2000</v>
      </c>
      <c r="AH57">
        <f>AH55/12</f>
        <v>1888.8636363636363</v>
      </c>
    </row>
    <row r="58" spans="1:34">
      <c r="A58" t="s">
        <v>1178</v>
      </c>
      <c r="B58">
        <f>B55/B57</f>
        <v>1.6511946902654867E-2</v>
      </c>
      <c r="D58">
        <f>D55/D57</f>
        <v>1.8255437813720021E-2</v>
      </c>
      <c r="F58">
        <f>F55/F57</f>
        <v>1.9323580034423408E-2</v>
      </c>
      <c r="H58">
        <f>H55/H57</f>
        <v>2.2262711864406776E-2</v>
      </c>
      <c r="K58">
        <f>K55/K57</f>
        <v>1.9800970873786409E-2</v>
      </c>
      <c r="N58">
        <f>N55/N57</f>
        <v>2.1311320754716982E-2</v>
      </c>
      <c r="Q58">
        <f>Q55/Q57</f>
        <v>2.5745161290322578E-2</v>
      </c>
      <c r="T58">
        <f>T55/T57</f>
        <v>2.3449044585987261E-2</v>
      </c>
      <c r="W58">
        <f>W55/W57</f>
        <v>2.45210970464135E-2</v>
      </c>
      <c r="Z58">
        <f>Z55/Z57</f>
        <v>2.9847826086956523E-2</v>
      </c>
      <c r="AC58">
        <f>AC55/AC57</f>
        <v>7.7164999999999997E-2</v>
      </c>
    </row>
    <row r="65533" ht="13.5" customHeight="1"/>
  </sheetData>
  <sheetProtection selectLockedCells="1" selectUnlockedCells="1"/>
  <pageMargins left="0.75" right="0.75" top="1" bottom="1" header="0.51180555555555551" footer="0.51180555555555551"/>
  <pageSetup firstPageNumber="0" orientation="portrait" horizontalDpi="300" verticalDpi="300" r:id="rId1"/>
  <headerFooter alignWithMargins="0"/>
  <ignoredErrors>
    <ignoredError sqref="T26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29"/>
  <sheetViews>
    <sheetView workbookViewId="0">
      <pane ySplit="2550" topLeftCell="A58" activePane="bottomLeft"/>
      <selection activeCell="R5" sqref="R5"/>
      <selection pane="bottomLeft" activeCell="B74" sqref="B74"/>
    </sheetView>
  </sheetViews>
  <sheetFormatPr defaultRowHeight="12.75"/>
  <cols>
    <col min="1" max="1" width="10.140625" style="166" customWidth="1"/>
    <col min="2" max="2" width="9.42578125" style="166" customWidth="1"/>
    <col min="3" max="3" width="3.28515625" style="166" customWidth="1"/>
    <col min="4" max="4" width="9" style="166" customWidth="1"/>
    <col min="5" max="5" width="2.7109375" style="166" customWidth="1"/>
    <col min="6" max="6" width="9.140625" style="166"/>
    <col min="7" max="7" width="2.7109375" style="166" customWidth="1"/>
    <col min="8" max="8" width="9" style="166" customWidth="1"/>
    <col min="9" max="9" width="3.28515625" style="166" customWidth="1"/>
    <col min="10" max="10" width="4.42578125" style="166" customWidth="1"/>
    <col min="11" max="11" width="10.28515625" style="166" customWidth="1"/>
    <col min="12" max="12" width="2.7109375" style="166" customWidth="1"/>
    <col min="13" max="13" width="10.28515625" style="166" customWidth="1"/>
    <col min="14" max="14" width="2.7109375" style="166" customWidth="1"/>
    <col min="15" max="15" width="9.28515625" style="166" customWidth="1"/>
    <col min="16" max="16" width="3.5703125" style="166" customWidth="1"/>
    <col min="17" max="17" width="8" style="166" customWidth="1"/>
    <col min="18" max="18" width="2.85546875" style="166" customWidth="1"/>
    <col min="19" max="19" width="9.42578125" style="166" customWidth="1"/>
    <col min="20" max="20" width="2.7109375" style="166" customWidth="1"/>
    <col min="21" max="21" width="7.42578125" style="166" customWidth="1"/>
    <col min="22" max="22" width="2.7109375" style="166" customWidth="1"/>
    <col min="23" max="23" width="7.5703125" style="166" customWidth="1"/>
    <col min="24" max="24" width="2.7109375" style="166" customWidth="1"/>
    <col min="25" max="25" width="9" style="166" customWidth="1"/>
    <col min="26" max="26" width="2.7109375" style="166" customWidth="1"/>
    <col min="27" max="27" width="10.140625" style="166" customWidth="1"/>
    <col min="28" max="28" width="2.7109375" style="166" customWidth="1"/>
    <col min="29" max="29" width="9.85546875" style="166" customWidth="1"/>
    <col min="30" max="30" width="3.7109375" style="166" customWidth="1"/>
    <col min="31" max="31" width="10.140625" style="166" customWidth="1"/>
    <col min="32" max="32" width="3" style="166" customWidth="1"/>
    <col min="33" max="33" width="10.140625" style="166" customWidth="1"/>
    <col min="34" max="34" width="3" style="166" customWidth="1"/>
    <col min="35" max="35" width="10.140625" style="166" customWidth="1"/>
    <col min="36" max="36" width="3" style="166" customWidth="1"/>
    <col min="37" max="37" width="10.140625" style="166" customWidth="1"/>
    <col min="38" max="38" width="3" style="166" customWidth="1"/>
    <col min="39" max="39" width="1.85546875" style="166" customWidth="1"/>
    <col min="40" max="48" width="9" style="166" customWidth="1"/>
    <col min="49" max="16384" width="9.140625" style="166"/>
  </cols>
  <sheetData>
    <row r="1" spans="1:42" ht="15.75">
      <c r="A1" s="165" t="s">
        <v>102</v>
      </c>
      <c r="F1" s="167" t="s">
        <v>680</v>
      </c>
    </row>
    <row r="2" spans="1:42">
      <c r="A2" s="166" t="s">
        <v>672</v>
      </c>
      <c r="W2" s="166" t="s">
        <v>103</v>
      </c>
      <c r="X2" s="168"/>
    </row>
    <row r="3" spans="1:42">
      <c r="A3" s="166" t="s">
        <v>538</v>
      </c>
      <c r="AN3" s="169"/>
    </row>
    <row r="4" spans="1:42">
      <c r="A4" s="166" t="s">
        <v>525</v>
      </c>
      <c r="AN4" s="169"/>
    </row>
    <row r="5" spans="1:42">
      <c r="A5" s="166" t="s">
        <v>540</v>
      </c>
      <c r="K5" s="166" t="s">
        <v>892</v>
      </c>
      <c r="AN5" s="169"/>
    </row>
    <row r="6" spans="1:42">
      <c r="A6" s="166" t="s">
        <v>104</v>
      </c>
      <c r="K6" s="166" t="s">
        <v>106</v>
      </c>
    </row>
    <row r="7" spans="1:42">
      <c r="A7" s="166" t="s">
        <v>111</v>
      </c>
    </row>
    <row r="8" spans="1:42">
      <c r="A8" s="166" t="s">
        <v>110</v>
      </c>
    </row>
    <row r="9" spans="1:42">
      <c r="A9" s="170" t="s">
        <v>890</v>
      </c>
      <c r="C9" s="326" t="s">
        <v>891</v>
      </c>
    </row>
    <row r="10" spans="1:42">
      <c r="C10" s="326" t="s">
        <v>563</v>
      </c>
    </row>
    <row r="12" spans="1:42">
      <c r="A12" s="170"/>
      <c r="AP12" s="168"/>
    </row>
    <row r="13" spans="1:42">
      <c r="W13" s="168" t="s">
        <v>116</v>
      </c>
    </row>
    <row r="14" spans="1:42">
      <c r="A14" s="171"/>
      <c r="B14" s="314">
        <v>2005</v>
      </c>
      <c r="C14" s="249"/>
      <c r="D14" s="314">
        <v>2006</v>
      </c>
      <c r="E14" s="249"/>
      <c r="F14" s="314">
        <v>2007</v>
      </c>
      <c r="G14" s="249"/>
      <c r="H14" s="314">
        <v>2008</v>
      </c>
      <c r="I14" s="248"/>
      <c r="J14" s="249"/>
      <c r="K14" s="172">
        <v>2009</v>
      </c>
      <c r="L14" s="172"/>
      <c r="M14" s="314">
        <v>2010</v>
      </c>
      <c r="N14" s="249"/>
      <c r="O14" s="300" t="s">
        <v>541</v>
      </c>
      <c r="P14" s="301"/>
      <c r="Q14" s="302">
        <v>2011</v>
      </c>
      <c r="R14" s="301"/>
      <c r="S14" s="301" t="s">
        <v>142</v>
      </c>
      <c r="T14" s="303"/>
      <c r="W14" s="168"/>
    </row>
    <row r="15" spans="1:42">
      <c r="A15" s="171"/>
      <c r="B15" s="199"/>
      <c r="C15" s="133"/>
      <c r="D15" s="133"/>
      <c r="E15" s="133"/>
      <c r="F15" s="133"/>
      <c r="G15" s="133"/>
      <c r="H15" s="225" t="s">
        <v>124</v>
      </c>
      <c r="I15" s="225"/>
      <c r="J15" s="133"/>
      <c r="K15" s="173"/>
      <c r="L15" s="173"/>
      <c r="M15" s="133"/>
      <c r="N15" s="133"/>
      <c r="O15" s="304" t="s">
        <v>125</v>
      </c>
      <c r="P15" s="178"/>
      <c r="Q15" s="177" t="s">
        <v>126</v>
      </c>
      <c r="R15" s="178"/>
      <c r="S15" s="177" t="s">
        <v>127</v>
      </c>
      <c r="T15" s="305"/>
      <c r="W15" s="168"/>
    </row>
    <row r="16" spans="1:42">
      <c r="A16" s="181"/>
      <c r="B16" s="199"/>
      <c r="C16" s="133"/>
      <c r="D16" s="133"/>
      <c r="E16" s="133"/>
      <c r="F16" s="133"/>
      <c r="G16" s="133"/>
      <c r="H16" s="133"/>
      <c r="I16" s="133"/>
      <c r="J16" s="195" t="s">
        <v>530</v>
      </c>
      <c r="K16" s="133"/>
      <c r="L16" s="195" t="s">
        <v>530</v>
      </c>
      <c r="M16" s="183"/>
      <c r="N16" s="183"/>
      <c r="O16" s="306"/>
      <c r="P16" s="185" t="s">
        <v>530</v>
      </c>
      <c r="Q16" s="186" t="s">
        <v>129</v>
      </c>
      <c r="R16" s="187"/>
      <c r="S16" s="182"/>
      <c r="T16" s="307"/>
      <c r="W16" s="166" t="s">
        <v>132</v>
      </c>
      <c r="Y16" s="166" t="s">
        <v>133</v>
      </c>
      <c r="AA16" s="166" t="s">
        <v>131</v>
      </c>
    </row>
    <row r="17" spans="1:28">
      <c r="A17" s="315" t="s">
        <v>121</v>
      </c>
      <c r="B17" s="196"/>
      <c r="C17" s="250"/>
      <c r="D17" s="196">
        <v>229.43</v>
      </c>
      <c r="E17" s="250"/>
      <c r="F17" s="196">
        <v>291.18</v>
      </c>
      <c r="G17" s="250"/>
      <c r="H17" s="196">
        <v>313.17</v>
      </c>
      <c r="I17" s="292" t="s">
        <v>135</v>
      </c>
      <c r="J17" s="317">
        <v>31</v>
      </c>
      <c r="K17" s="196">
        <v>449.99</v>
      </c>
      <c r="L17" s="317">
        <f>(28+20.9)/2</f>
        <v>24.45</v>
      </c>
      <c r="M17" s="173">
        <v>325.88</v>
      </c>
      <c r="N17" s="35">
        <f>(24.2+25.3)/2</f>
        <v>24.75</v>
      </c>
      <c r="O17" s="202">
        <v>359.66</v>
      </c>
      <c r="P17" s="288">
        <f>(27.6+28.1)/2</f>
        <v>27.85</v>
      </c>
      <c r="Q17" s="174">
        <v>0</v>
      </c>
      <c r="R17" s="178"/>
      <c r="S17" s="174">
        <f t="shared" ref="S17:S28" si="0">O17+Q17</f>
        <v>359.66</v>
      </c>
      <c r="T17" s="308"/>
      <c r="W17" s="166">
        <v>165.5</v>
      </c>
      <c r="Y17" s="166">
        <v>122.1</v>
      </c>
      <c r="AA17" s="166">
        <f>(122.1+149.4+149.2+165.5+144.9+141.1)/6</f>
        <v>145.36666666666667</v>
      </c>
    </row>
    <row r="18" spans="1:28">
      <c r="A18" s="316" t="s">
        <v>128</v>
      </c>
      <c r="B18" s="202"/>
      <c r="C18" s="253"/>
      <c r="D18" s="202">
        <v>268.13</v>
      </c>
      <c r="E18" s="253"/>
      <c r="F18" s="202">
        <v>391.36</v>
      </c>
      <c r="G18" s="253"/>
      <c r="H18" s="202">
        <v>309.60000000000002</v>
      </c>
      <c r="I18" s="133" t="s">
        <v>135</v>
      </c>
      <c r="J18" s="318">
        <v>27.4</v>
      </c>
      <c r="K18" s="202">
        <v>360.54</v>
      </c>
      <c r="L18" s="318">
        <v>23.2</v>
      </c>
      <c r="M18" s="133">
        <v>262.45999999999998</v>
      </c>
      <c r="N18" s="35">
        <v>27.5</v>
      </c>
      <c r="O18" s="202">
        <v>331.88</v>
      </c>
      <c r="P18" s="288">
        <v>20.6</v>
      </c>
      <c r="Q18" s="199">
        <v>0</v>
      </c>
      <c r="R18" s="197"/>
      <c r="S18" s="199">
        <f t="shared" si="0"/>
        <v>331.88</v>
      </c>
      <c r="T18" s="253"/>
      <c r="W18" s="166">
        <v>200.8</v>
      </c>
      <c r="Y18" s="166">
        <v>116.7</v>
      </c>
      <c r="AA18" s="166">
        <f>(142.7+200.8+147.5+132.6+116.7+130.2)/6</f>
        <v>145.08333333333334</v>
      </c>
    </row>
    <row r="19" spans="1:28">
      <c r="A19" s="316" t="s">
        <v>134</v>
      </c>
      <c r="B19" s="202" t="s">
        <v>696</v>
      </c>
      <c r="C19" s="253"/>
      <c r="D19" s="202">
        <v>222.29</v>
      </c>
      <c r="E19" s="253"/>
      <c r="F19" s="202">
        <v>205.23</v>
      </c>
      <c r="G19" s="253"/>
      <c r="H19" s="202">
        <v>258.81</v>
      </c>
      <c r="I19" s="133"/>
      <c r="J19" s="318">
        <v>31.7</v>
      </c>
      <c r="K19" s="202">
        <v>246.89</v>
      </c>
      <c r="L19" s="318">
        <v>31.7</v>
      </c>
      <c r="M19" s="133">
        <v>188.92</v>
      </c>
      <c r="N19" s="35">
        <v>37.4</v>
      </c>
      <c r="O19" s="202">
        <v>217.17</v>
      </c>
      <c r="P19" s="288">
        <v>31.8</v>
      </c>
      <c r="Q19" s="199">
        <v>0</v>
      </c>
      <c r="R19" s="197"/>
      <c r="S19" s="199">
        <f t="shared" si="0"/>
        <v>217.17</v>
      </c>
      <c r="T19" s="253"/>
      <c r="W19" s="166">
        <v>123.3</v>
      </c>
      <c r="Y19" s="166">
        <v>84</v>
      </c>
      <c r="AA19" s="166">
        <f>(118.3+105.3+123.3+90.8+84+85.2)/6</f>
        <v>101.15000000000002</v>
      </c>
    </row>
    <row r="20" spans="1:28">
      <c r="A20" s="316" t="s">
        <v>136</v>
      </c>
      <c r="B20" s="202"/>
      <c r="C20" s="253"/>
      <c r="D20" s="202">
        <v>98.46</v>
      </c>
      <c r="E20" s="253"/>
      <c r="F20" s="202">
        <v>184.38</v>
      </c>
      <c r="G20" s="253"/>
      <c r="H20" s="202">
        <v>183.4</v>
      </c>
      <c r="I20" s="133"/>
      <c r="J20" s="318">
        <v>40.799999999999997</v>
      </c>
      <c r="K20" s="202">
        <v>106.86</v>
      </c>
      <c r="L20" s="318">
        <v>42.6</v>
      </c>
      <c r="M20" s="133">
        <v>79.16</v>
      </c>
      <c r="N20" s="35">
        <v>49.8</v>
      </c>
      <c r="O20" s="202">
        <v>104.51</v>
      </c>
      <c r="P20" s="288">
        <v>42.2</v>
      </c>
      <c r="Q20" s="199">
        <v>0</v>
      </c>
      <c r="R20" s="197"/>
      <c r="S20" s="199">
        <f t="shared" si="0"/>
        <v>104.51</v>
      </c>
      <c r="T20" s="253"/>
      <c r="W20" s="166">
        <v>94.6</v>
      </c>
      <c r="Y20" s="166">
        <v>35.200000000000003</v>
      </c>
      <c r="AA20" s="166">
        <f>(52.4+94.6+74.2+39.3+35.2+41)/6</f>
        <v>56.116666666666667</v>
      </c>
    </row>
    <row r="21" spans="1:28">
      <c r="A21" s="316" t="s">
        <v>10</v>
      </c>
      <c r="B21" s="202"/>
      <c r="C21" s="253"/>
      <c r="D21" s="202"/>
      <c r="E21" s="253"/>
      <c r="F21" s="202"/>
      <c r="G21" s="253"/>
      <c r="H21" s="202"/>
      <c r="I21" s="133"/>
      <c r="J21" s="318">
        <v>54.5</v>
      </c>
      <c r="K21" s="202"/>
      <c r="L21" s="318">
        <v>57.8</v>
      </c>
      <c r="M21" s="133"/>
      <c r="N21" s="35">
        <v>55</v>
      </c>
      <c r="O21" s="202"/>
      <c r="P21" s="288">
        <v>53.7</v>
      </c>
      <c r="Q21" s="199">
        <v>0</v>
      </c>
      <c r="R21" s="197"/>
      <c r="S21" s="199">
        <f t="shared" si="0"/>
        <v>0</v>
      </c>
      <c r="T21" s="253"/>
    </row>
    <row r="22" spans="1:28">
      <c r="A22" s="316" t="s">
        <v>138</v>
      </c>
      <c r="B22" s="202">
        <v>559.53</v>
      </c>
      <c r="C22" s="253"/>
      <c r="D22" s="202"/>
      <c r="E22" s="253"/>
      <c r="F22" s="202"/>
      <c r="G22" s="253"/>
      <c r="H22" s="202"/>
      <c r="I22" s="133"/>
      <c r="J22" s="318">
        <v>65.2</v>
      </c>
      <c r="K22" s="202"/>
      <c r="L22" s="318">
        <v>61.8</v>
      </c>
      <c r="M22" s="133"/>
      <c r="N22" s="35">
        <v>66.8</v>
      </c>
      <c r="O22" s="202"/>
      <c r="P22" s="288">
        <v>65.400000000000006</v>
      </c>
      <c r="Q22" s="199">
        <v>0</v>
      </c>
      <c r="R22" s="197"/>
      <c r="S22" s="199">
        <f t="shared" si="0"/>
        <v>0</v>
      </c>
      <c r="T22" s="253" t="s">
        <v>142</v>
      </c>
    </row>
    <row r="23" spans="1:28">
      <c r="A23" s="316" t="s">
        <v>139</v>
      </c>
      <c r="B23" s="202">
        <v>31.95</v>
      </c>
      <c r="C23" s="253"/>
      <c r="D23" s="202"/>
      <c r="E23" s="253"/>
      <c r="F23" s="202"/>
      <c r="G23" s="253" t="s">
        <v>137</v>
      </c>
      <c r="H23" s="202"/>
      <c r="I23" s="133"/>
      <c r="J23" s="318">
        <v>71.8</v>
      </c>
      <c r="K23" s="202"/>
      <c r="L23" s="318">
        <v>66.599999999999994</v>
      </c>
      <c r="M23" s="133"/>
      <c r="N23" s="35">
        <f>(73.5+78.4)/2</f>
        <v>75.95</v>
      </c>
      <c r="O23" s="202"/>
      <c r="P23" s="288">
        <f>(68.5+74.9)/2</f>
        <v>71.7</v>
      </c>
      <c r="Q23" s="199">
        <v>0</v>
      </c>
      <c r="R23" s="197"/>
      <c r="S23" s="199">
        <f t="shared" si="0"/>
        <v>0</v>
      </c>
      <c r="T23" s="253"/>
    </row>
    <row r="24" spans="1:28">
      <c r="A24" s="316" t="s">
        <v>141</v>
      </c>
      <c r="B24" s="202"/>
      <c r="C24" s="253"/>
      <c r="D24" s="202"/>
      <c r="E24" s="253"/>
      <c r="F24" s="202"/>
      <c r="G24" s="253" t="s">
        <v>137</v>
      </c>
      <c r="H24" s="202"/>
      <c r="I24" s="133"/>
      <c r="J24" s="318">
        <v>72</v>
      </c>
      <c r="K24" s="202"/>
      <c r="L24" s="318">
        <f>(72.7+72.3)/2</f>
        <v>72.5</v>
      </c>
      <c r="M24" s="133"/>
      <c r="N24" s="35">
        <v>75.2</v>
      </c>
      <c r="O24" s="202"/>
      <c r="P24" s="288">
        <v>75.2</v>
      </c>
      <c r="Q24" s="199">
        <v>0</v>
      </c>
      <c r="R24" s="197"/>
      <c r="S24" s="199">
        <f t="shared" si="0"/>
        <v>0</v>
      </c>
      <c r="T24" s="253" t="s">
        <v>137</v>
      </c>
    </row>
    <row r="25" spans="1:28">
      <c r="A25" s="316" t="s">
        <v>143</v>
      </c>
      <c r="B25" s="202">
        <v>133.6</v>
      </c>
      <c r="C25" s="253"/>
      <c r="D25" s="202">
        <v>166.05</v>
      </c>
      <c r="E25" s="253"/>
      <c r="F25" s="202">
        <v>277.91000000000003</v>
      </c>
      <c r="G25" s="253" t="s">
        <v>135</v>
      </c>
      <c r="H25" s="202">
        <v>280.06</v>
      </c>
      <c r="I25" s="133"/>
      <c r="J25" s="318">
        <v>68.599999999999994</v>
      </c>
      <c r="K25" s="202">
        <v>245.82</v>
      </c>
      <c r="L25" s="318">
        <v>69</v>
      </c>
      <c r="M25" s="133">
        <v>254.65</v>
      </c>
      <c r="N25" s="35">
        <v>70.2</v>
      </c>
      <c r="O25" s="202">
        <v>214.53</v>
      </c>
      <c r="P25" s="288">
        <v>70.5</v>
      </c>
      <c r="Q25" s="199">
        <v>0</v>
      </c>
      <c r="R25" s="197"/>
      <c r="S25" s="199">
        <f t="shared" si="0"/>
        <v>214.53</v>
      </c>
      <c r="T25" s="253" t="s">
        <v>135</v>
      </c>
      <c r="W25" s="166">
        <v>132.4</v>
      </c>
      <c r="Y25" s="166">
        <v>71.099999999999994</v>
      </c>
      <c r="AA25" s="166">
        <f>(71.1+85.2+132.4+103+109.3+99.9+74)/7</f>
        <v>96.414285714285725</v>
      </c>
    </row>
    <row r="26" spans="1:28">
      <c r="A26" s="316" t="s">
        <v>145</v>
      </c>
      <c r="B26" s="202">
        <v>0</v>
      </c>
      <c r="C26" s="253"/>
      <c r="D26" s="202"/>
      <c r="E26" s="253"/>
      <c r="F26" s="202"/>
      <c r="G26" s="253" t="s">
        <v>135</v>
      </c>
      <c r="H26" s="202"/>
      <c r="I26" s="133"/>
      <c r="J26" s="318">
        <v>57.1</v>
      </c>
      <c r="K26" s="202"/>
      <c r="L26" s="318">
        <v>54.3</v>
      </c>
      <c r="M26" s="133"/>
      <c r="N26" s="35">
        <v>59</v>
      </c>
      <c r="O26" s="202"/>
      <c r="P26" s="288">
        <v>61.6</v>
      </c>
      <c r="Q26" s="199">
        <f>5.4*R26</f>
        <v>43.2</v>
      </c>
      <c r="R26" s="197">
        <v>8</v>
      </c>
      <c r="S26" s="199">
        <f t="shared" si="0"/>
        <v>43.2</v>
      </c>
      <c r="T26" s="253" t="s">
        <v>135</v>
      </c>
    </row>
    <row r="27" spans="1:28">
      <c r="A27" s="316" t="s">
        <v>147</v>
      </c>
      <c r="B27" s="202">
        <v>394.59</v>
      </c>
      <c r="C27" s="253"/>
      <c r="D27" s="202">
        <v>251.03</v>
      </c>
      <c r="E27" s="253"/>
      <c r="F27" s="202">
        <v>354.1</v>
      </c>
      <c r="G27" s="253" t="s">
        <v>149</v>
      </c>
      <c r="H27" s="202">
        <v>397.25</v>
      </c>
      <c r="I27" s="133"/>
      <c r="J27" s="318">
        <v>46.9</v>
      </c>
      <c r="K27" s="202">
        <v>285.62</v>
      </c>
      <c r="L27" s="318">
        <v>47.2</v>
      </c>
      <c r="M27" s="133">
        <v>321.43</v>
      </c>
      <c r="N27" s="35">
        <v>46.5</v>
      </c>
      <c r="O27" s="202">
        <v>276.81</v>
      </c>
      <c r="P27" s="288">
        <v>47.4</v>
      </c>
      <c r="Q27" s="199">
        <f>5.4*R27</f>
        <v>91.800000000000011</v>
      </c>
      <c r="R27" s="197">
        <v>17</v>
      </c>
      <c r="S27" s="199">
        <f t="shared" si="0"/>
        <v>368.61</v>
      </c>
      <c r="T27" s="253" t="s">
        <v>135</v>
      </c>
      <c r="W27" s="166">
        <v>210</v>
      </c>
      <c r="Y27" s="166">
        <v>126.1</v>
      </c>
      <c r="AA27" s="166">
        <f>(210+128.8+168.7+146.1+127+126.1)/6</f>
        <v>151.11666666666667</v>
      </c>
    </row>
    <row r="28" spans="1:28">
      <c r="A28" s="316" t="s">
        <v>148</v>
      </c>
      <c r="B28" s="202">
        <v>312.10000000000002</v>
      </c>
      <c r="C28" s="253"/>
      <c r="D28" s="202">
        <v>210.88</v>
      </c>
      <c r="E28" s="253"/>
      <c r="F28" s="202">
        <v>264.89</v>
      </c>
      <c r="G28" s="253" t="s">
        <v>135</v>
      </c>
      <c r="H28" s="202">
        <v>336.07</v>
      </c>
      <c r="I28" s="133"/>
      <c r="J28" s="318">
        <v>33.200000000000003</v>
      </c>
      <c r="K28" s="202">
        <v>226.02</v>
      </c>
      <c r="L28" s="318">
        <v>39.799999999999997</v>
      </c>
      <c r="M28" s="133">
        <v>351.51</v>
      </c>
      <c r="N28" s="35">
        <v>35.6</v>
      </c>
      <c r="O28" s="202">
        <v>205.43</v>
      </c>
      <c r="P28" s="288">
        <v>42.5</v>
      </c>
      <c r="Q28" s="199">
        <f>5.4*R28</f>
        <v>199.8</v>
      </c>
      <c r="R28" s="197">
        <f>32+5</f>
        <v>37</v>
      </c>
      <c r="S28" s="205">
        <f t="shared" si="0"/>
        <v>405.23</v>
      </c>
      <c r="T28" s="309"/>
      <c r="W28" s="166">
        <v>166.1</v>
      </c>
      <c r="Y28" s="166">
        <v>100.5</v>
      </c>
      <c r="AA28" s="166">
        <f>(166.1+108.2+126.2+123.6+100.5+137.9)/6</f>
        <v>127.08333333333333</v>
      </c>
    </row>
    <row r="29" spans="1:28" ht="13.5" thickBot="1">
      <c r="A29" s="211"/>
      <c r="B29" s="254">
        <f>SUM(B22:B28)</f>
        <v>1431.77</v>
      </c>
      <c r="C29" s="313"/>
      <c r="D29" s="254">
        <f>SUM(D17:D28)</f>
        <v>1446.27</v>
      </c>
      <c r="E29" s="313"/>
      <c r="F29" s="254">
        <f>SUM(F17:F28)</f>
        <v>1969.0500000000002</v>
      </c>
      <c r="G29" s="313"/>
      <c r="H29" s="254">
        <f>SUM(H17:H28)</f>
        <v>2078.36</v>
      </c>
      <c r="I29" s="319"/>
      <c r="J29" s="320">
        <f>SUM(J17:J28)/12</f>
        <v>50.016666666666673</v>
      </c>
      <c r="K29" s="254">
        <f>SUM(K17:K28)</f>
        <v>1921.7399999999998</v>
      </c>
      <c r="L29" s="320">
        <f>SUM(L17:L28)/12</f>
        <v>49.24583333333333</v>
      </c>
      <c r="M29" s="212">
        <f>SUM(M17:M28)</f>
        <v>1784.01</v>
      </c>
      <c r="N29" s="287">
        <f>SUM(N17:N28)/12</f>
        <v>51.974999999999994</v>
      </c>
      <c r="O29" s="254">
        <f>SUM(O17:O28)</f>
        <v>1709.99</v>
      </c>
      <c r="P29" s="310">
        <f>SUM(P17:P28)/12</f>
        <v>50.87083333333333</v>
      </c>
      <c r="Q29" s="311">
        <f>SUM(Q17:Q28)</f>
        <v>334.8</v>
      </c>
      <c r="R29" s="312">
        <f>SUM(R17:R28)</f>
        <v>62</v>
      </c>
      <c r="S29" s="311">
        <f>SUM(S17:S28)</f>
        <v>2044.79</v>
      </c>
      <c r="T29" s="313"/>
      <c r="W29" s="214">
        <f>SUM(W17:W28)</f>
        <v>1092.7</v>
      </c>
      <c r="Y29" s="214">
        <f>SUM(Y17:Y28)</f>
        <v>655.7</v>
      </c>
      <c r="AA29" s="214">
        <f>SUM(AA17:AA28)</f>
        <v>822.33095238095257</v>
      </c>
      <c r="AB29" s="166" t="s">
        <v>151</v>
      </c>
    </row>
    <row r="30" spans="1:28" ht="13.5" thickTop="1">
      <c r="A30" s="285" t="s">
        <v>153</v>
      </c>
      <c r="B30" s="285">
        <f>B29/10</f>
        <v>143.17699999999999</v>
      </c>
      <c r="C30" s="285"/>
      <c r="D30" s="285">
        <f>D29/12</f>
        <v>120.52249999999999</v>
      </c>
      <c r="E30" s="285"/>
      <c r="F30" s="285">
        <f>F29/12</f>
        <v>164.08750000000001</v>
      </c>
      <c r="G30" s="285"/>
      <c r="H30" s="285">
        <f>H29/12</f>
        <v>173.19666666666669</v>
      </c>
      <c r="I30" s="285"/>
      <c r="J30" s="285"/>
      <c r="K30" s="285">
        <f>K29/12</f>
        <v>160.14499999999998</v>
      </c>
      <c r="L30" s="285"/>
      <c r="M30" s="285">
        <f>M29/12</f>
        <v>148.66749999999999</v>
      </c>
      <c r="N30" s="285"/>
      <c r="O30" s="166">
        <f>O29/12</f>
        <v>142.49916666666667</v>
      </c>
      <c r="S30" s="286">
        <f>S29/12</f>
        <v>170.39916666666667</v>
      </c>
      <c r="U30" s="166" t="s">
        <v>154</v>
      </c>
      <c r="W30" s="166">
        <f>W29/12</f>
        <v>91.058333333333337</v>
      </c>
      <c r="Y30" s="166">
        <f>Y29/12</f>
        <v>54.641666666666673</v>
      </c>
      <c r="AA30" s="166">
        <f>AA29/12</f>
        <v>68.527579365079376</v>
      </c>
    </row>
    <row r="31" spans="1:28">
      <c r="A31" s="285" t="s">
        <v>155</v>
      </c>
      <c r="B31" s="285">
        <f>316.3+71.1+210+166.1</f>
        <v>763.5</v>
      </c>
      <c r="C31" s="285"/>
      <c r="D31" s="285">
        <f>122.1+142.7+118.3+52.4+85.2+128.8+108.2</f>
        <v>757.7</v>
      </c>
      <c r="E31" s="285"/>
      <c r="F31" s="285">
        <f>149.4+200.8+105.3+94.6+132.4+168.7+126.2</f>
        <v>977.40000000000009</v>
      </c>
      <c r="G31" s="285"/>
      <c r="H31" s="285">
        <f>149.2+147.5+123.3+74.2+103+146.1+123.6</f>
        <v>866.90000000000009</v>
      </c>
      <c r="I31" s="285"/>
      <c r="J31" s="285"/>
      <c r="K31" s="285">
        <f>165.5+132.6+90.8+39.3+109.3+127+100.5</f>
        <v>765</v>
      </c>
      <c r="L31" s="285"/>
      <c r="M31" s="285">
        <f>144.9+116.7+84+35.2+99.9+126.1+137.9</f>
        <v>744.7</v>
      </c>
      <c r="N31" s="285"/>
      <c r="O31" s="285">
        <f>141.1+130.2+85.2+41+74+92.3+68.5</f>
        <v>632.29999999999995</v>
      </c>
      <c r="P31" s="290" t="s">
        <v>535</v>
      </c>
      <c r="U31" s="166" t="s">
        <v>156</v>
      </c>
      <c r="W31" s="166">
        <f>W30*W32</f>
        <v>213.89602500000004</v>
      </c>
      <c r="Y31" s="166">
        <f>Y30*Y32</f>
        <v>128.35327500000002</v>
      </c>
      <c r="AA31" s="166">
        <f>AA30*AA32</f>
        <v>160.97128392857147</v>
      </c>
    </row>
    <row r="32" spans="1:28">
      <c r="A32" s="166" t="s">
        <v>157</v>
      </c>
      <c r="B32" s="166">
        <v>1.879</v>
      </c>
      <c r="D32" s="166">
        <v>1.9490000000000001</v>
      </c>
      <c r="F32" s="166">
        <v>2.0990000000000002</v>
      </c>
      <c r="H32" s="166">
        <v>2.7189999999999999</v>
      </c>
      <c r="K32" s="166">
        <v>2.2490000000000001</v>
      </c>
      <c r="M32" s="166">
        <v>2.5489999999999999</v>
      </c>
      <c r="O32" s="166">
        <v>2.9990000000000001</v>
      </c>
      <c r="U32" s="166" t="s">
        <v>158</v>
      </c>
      <c r="W32" s="166">
        <f>SUM(B32:O32)/7</f>
        <v>2.3490000000000002</v>
      </c>
      <c r="Y32" s="166">
        <f>W32</f>
        <v>2.3490000000000002</v>
      </c>
      <c r="AA32" s="166">
        <f>W32</f>
        <v>2.3490000000000002</v>
      </c>
    </row>
    <row r="33" spans="1:25">
      <c r="A33" s="166" t="s">
        <v>160</v>
      </c>
      <c r="B33" s="166">
        <f>B29/B31</f>
        <v>1.8752717747216765</v>
      </c>
      <c r="D33" s="166">
        <f>D29/D31</f>
        <v>1.9087633628084992</v>
      </c>
      <c r="F33" s="166">
        <f>F29/F31</f>
        <v>2.0145794966236954</v>
      </c>
      <c r="H33" s="166">
        <f>H29/H31</f>
        <v>2.3974622217095396</v>
      </c>
      <c r="K33" s="166">
        <f>K29/K31</f>
        <v>2.5120784313725486</v>
      </c>
      <c r="M33" s="166">
        <f>M29/M31</f>
        <v>2.3956089700550556</v>
      </c>
      <c r="O33" s="166">
        <f>O29/O31</f>
        <v>2.704396647161158</v>
      </c>
    </row>
    <row r="34" spans="1:25">
      <c r="A34" s="133" t="s">
        <v>673</v>
      </c>
      <c r="B34" s="166" t="s">
        <v>675</v>
      </c>
      <c r="D34" s="166" t="s">
        <v>675</v>
      </c>
      <c r="F34" s="166" t="s">
        <v>674</v>
      </c>
      <c r="H34" s="166" t="s">
        <v>675</v>
      </c>
      <c r="K34" s="166" t="s">
        <v>676</v>
      </c>
      <c r="M34" s="166" t="s">
        <v>676</v>
      </c>
      <c r="O34" s="166" t="s">
        <v>676</v>
      </c>
    </row>
    <row r="36" spans="1:25">
      <c r="W36" s="277" t="s">
        <v>113</v>
      </c>
    </row>
    <row r="37" spans="1:25">
      <c r="B37" s="296" t="s">
        <v>539</v>
      </c>
      <c r="C37" s="281"/>
      <c r="D37" s="298">
        <v>2012</v>
      </c>
      <c r="E37" s="281"/>
      <c r="F37" s="282" t="s">
        <v>140</v>
      </c>
      <c r="G37" s="283"/>
      <c r="H37" s="296" t="s">
        <v>542</v>
      </c>
      <c r="I37" s="282"/>
      <c r="J37" s="281"/>
      <c r="K37" s="297">
        <v>2013</v>
      </c>
      <c r="L37" s="284"/>
      <c r="M37" s="282" t="s">
        <v>526</v>
      </c>
      <c r="N37" s="172"/>
      <c r="O37" s="278" t="s">
        <v>543</v>
      </c>
      <c r="P37" s="248"/>
      <c r="Q37" s="299">
        <v>2014</v>
      </c>
      <c r="R37" s="248"/>
      <c r="S37" s="279" t="s">
        <v>527</v>
      </c>
      <c r="T37" s="249"/>
      <c r="U37" s="133"/>
      <c r="W37" s="277" t="s">
        <v>115</v>
      </c>
    </row>
    <row r="38" spans="1:25">
      <c r="B38" s="177" t="s">
        <v>125</v>
      </c>
      <c r="C38" s="176"/>
      <c r="D38" s="177" t="s">
        <v>126</v>
      </c>
      <c r="E38" s="178"/>
      <c r="F38" s="177" t="s">
        <v>127</v>
      </c>
      <c r="G38" s="176"/>
      <c r="H38" s="177" t="s">
        <v>125</v>
      </c>
      <c r="I38" s="175"/>
      <c r="J38" s="173"/>
      <c r="K38" s="179" t="s">
        <v>126</v>
      </c>
      <c r="L38" s="180"/>
      <c r="M38" s="175" t="s">
        <v>127</v>
      </c>
      <c r="N38" s="173"/>
      <c r="O38" s="196" t="s">
        <v>43</v>
      </c>
      <c r="P38" s="250"/>
      <c r="Q38" s="196" t="s">
        <v>417</v>
      </c>
      <c r="R38" s="250"/>
      <c r="S38" s="196" t="s">
        <v>127</v>
      </c>
      <c r="T38" s="250"/>
      <c r="U38" s="133"/>
      <c r="W38" s="322" t="s">
        <v>655</v>
      </c>
    </row>
    <row r="39" spans="1:25">
      <c r="B39" s="188" t="s">
        <v>130</v>
      </c>
      <c r="C39" s="184" t="s">
        <v>530</v>
      </c>
      <c r="D39" s="189" t="s">
        <v>336</v>
      </c>
      <c r="E39" s="187" t="s">
        <v>531</v>
      </c>
      <c r="F39" s="182"/>
      <c r="G39" s="184"/>
      <c r="H39" s="190"/>
      <c r="I39" s="291"/>
      <c r="J39" s="133" t="s">
        <v>530</v>
      </c>
      <c r="K39" s="192" t="s">
        <v>337</v>
      </c>
      <c r="L39" s="193" t="s">
        <v>531</v>
      </c>
      <c r="M39" s="183"/>
      <c r="N39" s="183"/>
      <c r="O39" s="251"/>
      <c r="P39" s="252" t="s">
        <v>530</v>
      </c>
      <c r="Q39" s="251" t="s">
        <v>677</v>
      </c>
      <c r="R39" s="252"/>
      <c r="S39" s="202"/>
      <c r="T39" s="253"/>
      <c r="U39" s="133">
        <v>2011</v>
      </c>
      <c r="W39" s="323" t="s">
        <v>31</v>
      </c>
      <c r="Y39" s="323" t="s">
        <v>528</v>
      </c>
    </row>
    <row r="40" spans="1:25">
      <c r="A40" s="194" t="s">
        <v>121</v>
      </c>
      <c r="B40" s="174"/>
      <c r="C40" s="178">
        <f>(31.4+32.5)/2</f>
        <v>31.95</v>
      </c>
      <c r="D40" s="174">
        <f>5.4*E40</f>
        <v>226.8</v>
      </c>
      <c r="E40" s="178">
        <v>42</v>
      </c>
      <c r="F40" s="174">
        <f t="shared" ref="F40:F51" si="1">B40+D40</f>
        <v>226.8</v>
      </c>
      <c r="G40" s="173"/>
      <c r="H40" s="196"/>
      <c r="I40" s="292"/>
      <c r="J40" s="180">
        <f>(31.7+29.7)/2</f>
        <v>30.7</v>
      </c>
      <c r="K40" s="234">
        <f>4.818*L40</f>
        <v>173.44799999999998</v>
      </c>
      <c r="L40" s="197">
        <v>36</v>
      </c>
      <c r="M40" s="174">
        <f t="shared" ref="M40:M51" si="2">H40+K40</f>
        <v>173.44799999999998</v>
      </c>
      <c r="N40" s="173"/>
      <c r="O40" s="202"/>
      <c r="P40" s="201">
        <f>(26.2+25)/2</f>
        <v>25.6</v>
      </c>
      <c r="Q40" s="202">
        <f>5.015*R40</f>
        <v>240.71999999999997</v>
      </c>
      <c r="R40" s="195">
        <v>48</v>
      </c>
      <c r="S40" s="196">
        <f>O40+Q40</f>
        <v>240.71999999999997</v>
      </c>
      <c r="T40" s="250"/>
      <c r="U40" s="133"/>
    </row>
    <row r="41" spans="1:25">
      <c r="A41" s="198" t="s">
        <v>128</v>
      </c>
      <c r="B41" s="200">
        <v>338.81</v>
      </c>
      <c r="C41" s="197">
        <v>29.5</v>
      </c>
      <c r="D41" s="199">
        <f>5.4*E41</f>
        <v>156.60000000000002</v>
      </c>
      <c r="E41" s="197">
        <v>29</v>
      </c>
      <c r="F41" s="199">
        <f t="shared" si="1"/>
        <v>495.41</v>
      </c>
      <c r="G41" s="133" t="s">
        <v>174</v>
      </c>
      <c r="H41" s="321"/>
      <c r="I41" s="191"/>
      <c r="J41" s="201">
        <v>24.9</v>
      </c>
      <c r="K41" s="234">
        <f>4.818*L41</f>
        <v>149.35799999999998</v>
      </c>
      <c r="L41" s="197">
        <v>31</v>
      </c>
      <c r="M41" s="199">
        <f t="shared" si="2"/>
        <v>149.35799999999998</v>
      </c>
      <c r="N41" s="133"/>
      <c r="O41" s="257">
        <v>298.14999999999998</v>
      </c>
      <c r="P41" s="201">
        <v>22.8</v>
      </c>
      <c r="Q41" s="202">
        <f>5.015*R41</f>
        <v>240.71999999999997</v>
      </c>
      <c r="R41" s="195">
        <v>48</v>
      </c>
      <c r="S41" s="202">
        <f t="shared" ref="S41:S51" si="3">O41+Q41</f>
        <v>538.86999999999989</v>
      </c>
      <c r="T41" s="253"/>
      <c r="U41" s="133"/>
      <c r="W41" s="166">
        <f>102.7+93.2</f>
        <v>195.9</v>
      </c>
      <c r="Y41" s="166">
        <f>W41/2</f>
        <v>97.95</v>
      </c>
    </row>
    <row r="42" spans="1:25">
      <c r="A42" s="198" t="s">
        <v>134</v>
      </c>
      <c r="B42" s="199"/>
      <c r="C42" s="197">
        <v>37.9</v>
      </c>
      <c r="D42" s="199">
        <f>5.4*E42</f>
        <v>97.2</v>
      </c>
      <c r="E42" s="197">
        <f>18</f>
        <v>18</v>
      </c>
      <c r="F42" s="199">
        <f t="shared" si="1"/>
        <v>97.2</v>
      </c>
      <c r="G42" s="133"/>
      <c r="H42" s="202"/>
      <c r="I42" s="133"/>
      <c r="J42" s="201">
        <v>34.5</v>
      </c>
      <c r="K42" s="234">
        <f>4.818*3+56+54</f>
        <v>124.45399999999999</v>
      </c>
      <c r="L42" s="197">
        <v>23</v>
      </c>
      <c r="M42" s="199">
        <f t="shared" si="2"/>
        <v>124.45399999999999</v>
      </c>
      <c r="N42" s="133"/>
      <c r="O42" s="202"/>
      <c r="P42" s="201">
        <v>27.3</v>
      </c>
      <c r="Q42" s="202">
        <f>5.015*20+5.4*17</f>
        <v>192.10000000000002</v>
      </c>
      <c r="R42" s="195">
        <v>42</v>
      </c>
      <c r="S42" s="202">
        <f t="shared" si="3"/>
        <v>192.10000000000002</v>
      </c>
      <c r="T42" s="253"/>
      <c r="U42" s="133"/>
    </row>
    <row r="43" spans="1:25">
      <c r="A43" s="198" t="s">
        <v>136</v>
      </c>
      <c r="B43" s="203">
        <v>124.21</v>
      </c>
      <c r="C43" s="197">
        <v>47.7</v>
      </c>
      <c r="D43" s="199">
        <f>5.4*E43+5.3</f>
        <v>43.1</v>
      </c>
      <c r="E43" s="197">
        <f>7</f>
        <v>7</v>
      </c>
      <c r="F43" s="199">
        <f t="shared" si="1"/>
        <v>167.31</v>
      </c>
      <c r="G43" s="133"/>
      <c r="H43" s="204">
        <v>573.14</v>
      </c>
      <c r="I43" s="234"/>
      <c r="J43" s="201">
        <v>40.4</v>
      </c>
      <c r="K43" s="234">
        <v>112</v>
      </c>
      <c r="L43" s="197">
        <v>20</v>
      </c>
      <c r="M43" s="199">
        <f t="shared" si="2"/>
        <v>685.14</v>
      </c>
      <c r="N43" s="133" t="s">
        <v>174</v>
      </c>
      <c r="O43" s="257">
        <v>233.85</v>
      </c>
      <c r="P43" s="201">
        <v>38</v>
      </c>
      <c r="Q43" s="202">
        <f>5.4*R43</f>
        <v>70.2</v>
      </c>
      <c r="R43" s="195">
        <v>13</v>
      </c>
      <c r="S43" s="202">
        <f t="shared" si="3"/>
        <v>304.05</v>
      </c>
      <c r="T43" s="253"/>
      <c r="U43" s="133"/>
      <c r="W43" s="166">
        <f>35.5+163.8+73.1</f>
        <v>272.39999999999998</v>
      </c>
      <c r="Y43" s="166">
        <f>W43/3</f>
        <v>90.8</v>
      </c>
    </row>
    <row r="44" spans="1:25">
      <c r="A44" s="198" t="s">
        <v>10</v>
      </c>
      <c r="B44" s="199"/>
      <c r="C44" s="197">
        <v>55.8</v>
      </c>
      <c r="D44" s="199">
        <v>0</v>
      </c>
      <c r="E44" s="197">
        <v>0</v>
      </c>
      <c r="F44" s="199">
        <f t="shared" si="1"/>
        <v>0</v>
      </c>
      <c r="G44" s="133"/>
      <c r="H44" s="202"/>
      <c r="I44" s="133"/>
      <c r="J44" s="201">
        <v>55.6</v>
      </c>
      <c r="K44" s="234">
        <v>0</v>
      </c>
      <c r="L44" s="197">
        <v>0</v>
      </c>
      <c r="M44" s="199">
        <f t="shared" si="2"/>
        <v>0</v>
      </c>
      <c r="N44" s="133"/>
      <c r="O44" s="202"/>
      <c r="P44" s="201">
        <v>52.2</v>
      </c>
      <c r="Q44" s="202"/>
      <c r="R44" s="195"/>
      <c r="S44" s="202">
        <f t="shared" si="3"/>
        <v>0</v>
      </c>
      <c r="T44" s="253"/>
      <c r="U44" s="133"/>
    </row>
    <row r="45" spans="1:25">
      <c r="A45" s="198" t="s">
        <v>138</v>
      </c>
      <c r="B45" s="199"/>
      <c r="C45" s="197">
        <v>65.400000000000006</v>
      </c>
      <c r="D45" s="199">
        <v>0</v>
      </c>
      <c r="E45" s="197">
        <v>0</v>
      </c>
      <c r="F45" s="199">
        <f t="shared" si="1"/>
        <v>0</v>
      </c>
      <c r="G45" s="133"/>
      <c r="H45" s="202"/>
      <c r="I45" s="133"/>
      <c r="J45" s="201">
        <v>63.8</v>
      </c>
      <c r="K45" s="234">
        <v>0</v>
      </c>
      <c r="L45" s="197">
        <v>0</v>
      </c>
      <c r="M45" s="199">
        <f t="shared" si="2"/>
        <v>0</v>
      </c>
      <c r="N45" s="133" t="s">
        <v>137</v>
      </c>
      <c r="O45" s="202"/>
      <c r="P45" s="201">
        <v>63.3</v>
      </c>
      <c r="Q45" s="202"/>
      <c r="R45" s="195"/>
      <c r="S45" s="202">
        <f t="shared" si="3"/>
        <v>0</v>
      </c>
      <c r="T45" s="253"/>
      <c r="U45" s="133"/>
    </row>
    <row r="46" spans="1:25">
      <c r="A46" s="198" t="s">
        <v>139</v>
      </c>
      <c r="B46" s="199"/>
      <c r="C46" s="197">
        <f>(76.1+70.9)/2</f>
        <v>73.5</v>
      </c>
      <c r="D46" s="199">
        <v>0</v>
      </c>
      <c r="E46" s="197">
        <v>0</v>
      </c>
      <c r="F46" s="199">
        <f t="shared" si="1"/>
        <v>0</v>
      </c>
      <c r="G46" s="133" t="s">
        <v>137</v>
      </c>
      <c r="H46" s="202"/>
      <c r="I46" s="133"/>
      <c r="J46" s="201">
        <f>(72.2+78.1)/2</f>
        <v>75.150000000000006</v>
      </c>
      <c r="K46" s="234">
        <v>0</v>
      </c>
      <c r="L46" s="197">
        <v>0</v>
      </c>
      <c r="M46" s="199">
        <f t="shared" si="2"/>
        <v>0</v>
      </c>
      <c r="N46" s="133"/>
      <c r="O46" s="202"/>
      <c r="P46" s="201">
        <v>73.3</v>
      </c>
      <c r="Q46" s="202"/>
      <c r="R46" s="195"/>
      <c r="S46" s="202">
        <f t="shared" si="3"/>
        <v>0</v>
      </c>
      <c r="T46" s="253"/>
      <c r="U46" s="133"/>
    </row>
    <row r="47" spans="1:25">
      <c r="A47" s="198" t="s">
        <v>141</v>
      </c>
      <c r="B47" s="199"/>
      <c r="C47" s="197">
        <v>76</v>
      </c>
      <c r="D47" s="199">
        <v>0</v>
      </c>
      <c r="E47" s="197">
        <v>0</v>
      </c>
      <c r="F47" s="199">
        <f t="shared" si="1"/>
        <v>0</v>
      </c>
      <c r="G47" s="133" t="s">
        <v>137</v>
      </c>
      <c r="H47" s="202"/>
      <c r="I47" s="133"/>
      <c r="J47" s="201">
        <v>73.3</v>
      </c>
      <c r="K47" s="234">
        <v>0</v>
      </c>
      <c r="L47" s="197">
        <v>0</v>
      </c>
      <c r="M47" s="199">
        <f t="shared" si="2"/>
        <v>0</v>
      </c>
      <c r="N47" s="133" t="s">
        <v>137</v>
      </c>
      <c r="O47" s="202"/>
      <c r="P47" s="201">
        <v>72</v>
      </c>
      <c r="Q47" s="202"/>
      <c r="R47" s="195"/>
      <c r="S47" s="202">
        <f t="shared" si="3"/>
        <v>0</v>
      </c>
      <c r="T47" s="253"/>
      <c r="U47" s="133"/>
    </row>
    <row r="48" spans="1:25">
      <c r="A48" s="198" t="s">
        <v>143</v>
      </c>
      <c r="B48" s="199"/>
      <c r="C48" s="197">
        <v>70.599999999999994</v>
      </c>
      <c r="D48" s="199">
        <v>0</v>
      </c>
      <c r="E48" s="197">
        <v>0</v>
      </c>
      <c r="F48" s="199">
        <f t="shared" si="1"/>
        <v>0</v>
      </c>
      <c r="G48" s="133" t="s">
        <v>174</v>
      </c>
      <c r="H48" s="202"/>
      <c r="I48" s="133"/>
      <c r="J48" s="201">
        <v>69.400000000000006</v>
      </c>
      <c r="K48" s="234">
        <v>0</v>
      </c>
      <c r="L48" s="197">
        <v>0</v>
      </c>
      <c r="M48" s="199">
        <f t="shared" si="2"/>
        <v>0</v>
      </c>
      <c r="N48" s="133" t="s">
        <v>174</v>
      </c>
      <c r="O48" s="202"/>
      <c r="P48" s="201">
        <v>68</v>
      </c>
      <c r="Q48" s="202">
        <f>4.98*R48</f>
        <v>14.940000000000001</v>
      </c>
      <c r="R48" s="195">
        <v>3</v>
      </c>
      <c r="S48" s="202">
        <f t="shared" si="3"/>
        <v>14.940000000000001</v>
      </c>
      <c r="T48" s="253"/>
      <c r="U48" s="133"/>
    </row>
    <row r="49" spans="1:29">
      <c r="A49" s="198" t="s">
        <v>145</v>
      </c>
      <c r="B49" s="199"/>
      <c r="C49" s="197">
        <v>56.7</v>
      </c>
      <c r="D49" s="199">
        <f>5.4*E49</f>
        <v>43.2</v>
      </c>
      <c r="E49" s="197">
        <v>8</v>
      </c>
      <c r="F49" s="199">
        <f t="shared" si="1"/>
        <v>43.2</v>
      </c>
      <c r="G49" s="133"/>
      <c r="H49" s="202"/>
      <c r="I49" s="133"/>
      <c r="J49" s="201">
        <v>58.7</v>
      </c>
      <c r="K49" s="234">
        <f>5.015*L49</f>
        <v>65.194999999999993</v>
      </c>
      <c r="L49" s="197">
        <v>13</v>
      </c>
      <c r="M49" s="199">
        <f t="shared" si="2"/>
        <v>65.194999999999993</v>
      </c>
      <c r="N49" s="133"/>
      <c r="O49" s="202"/>
      <c r="P49" s="201">
        <v>58.5</v>
      </c>
      <c r="Q49" s="202">
        <f>4.98*R49</f>
        <v>34.86</v>
      </c>
      <c r="R49" s="195">
        <v>7</v>
      </c>
      <c r="S49" s="202">
        <f t="shared" si="3"/>
        <v>34.86</v>
      </c>
      <c r="T49" s="253"/>
      <c r="U49" s="133"/>
    </row>
    <row r="50" spans="1:29">
      <c r="A50" s="198" t="s">
        <v>147</v>
      </c>
      <c r="B50" s="199"/>
      <c r="C50" s="197">
        <v>49.6</v>
      </c>
      <c r="D50" s="199">
        <f>5.4*E50</f>
        <v>183.60000000000002</v>
      </c>
      <c r="E50" s="197">
        <v>34</v>
      </c>
      <c r="F50" s="199">
        <f t="shared" si="1"/>
        <v>183.60000000000002</v>
      </c>
      <c r="G50" s="133"/>
      <c r="H50" s="202"/>
      <c r="I50" s="133"/>
      <c r="J50" s="201">
        <v>46</v>
      </c>
      <c r="K50" s="234">
        <f>5.015*L50</f>
        <v>140.41999999999999</v>
      </c>
      <c r="L50" s="197">
        <v>28</v>
      </c>
      <c r="M50" s="199">
        <f t="shared" si="2"/>
        <v>140.41999999999999</v>
      </c>
      <c r="N50" s="133"/>
      <c r="O50" s="202"/>
      <c r="P50" s="201">
        <v>49.7</v>
      </c>
      <c r="Q50" s="202">
        <f>4.98*R50</f>
        <v>74.7</v>
      </c>
      <c r="R50" s="195">
        <v>15</v>
      </c>
      <c r="S50" s="202">
        <f t="shared" si="3"/>
        <v>74.7</v>
      </c>
      <c r="T50" s="253"/>
      <c r="U50" s="133"/>
    </row>
    <row r="51" spans="1:29">
      <c r="A51" s="198" t="s">
        <v>148</v>
      </c>
      <c r="B51" s="203">
        <v>611.63</v>
      </c>
      <c r="C51" s="206">
        <v>36.799999999999997</v>
      </c>
      <c r="D51" s="199">
        <f>4.818*E51</f>
        <v>192.71999999999997</v>
      </c>
      <c r="E51" s="206">
        <v>40</v>
      </c>
      <c r="F51" s="205">
        <f t="shared" si="1"/>
        <v>804.34999999999991</v>
      </c>
      <c r="G51" s="207"/>
      <c r="H51" s="208">
        <v>710.5</v>
      </c>
      <c r="I51" s="293"/>
      <c r="J51" s="209">
        <v>33.4</v>
      </c>
      <c r="K51" s="234">
        <f>5.015*L51</f>
        <v>215.64499999999998</v>
      </c>
      <c r="L51" s="206">
        <v>43</v>
      </c>
      <c r="M51" s="205">
        <f t="shared" si="2"/>
        <v>926.14499999999998</v>
      </c>
      <c r="N51" s="207"/>
      <c r="O51" s="257">
        <v>653.05999999999995</v>
      </c>
      <c r="P51" s="201">
        <v>34.6</v>
      </c>
      <c r="Q51" s="202">
        <f>4.98*R51</f>
        <v>114.54</v>
      </c>
      <c r="R51" s="195">
        <v>23</v>
      </c>
      <c r="S51" s="251">
        <f t="shared" si="3"/>
        <v>767.59999999999991</v>
      </c>
      <c r="T51" s="252"/>
      <c r="U51" s="133">
        <f>74+92.3+68.5</f>
        <v>234.8</v>
      </c>
      <c r="W51" s="166">
        <f>174.8+222.1</f>
        <v>396.9</v>
      </c>
      <c r="Y51" s="166">
        <f>W51/2</f>
        <v>198.45</v>
      </c>
    </row>
    <row r="52" spans="1:29" ht="13.5" thickBot="1">
      <c r="A52" s="210"/>
      <c r="B52" s="211">
        <f>SUM(B40:B51)+150</f>
        <v>1224.6500000000001</v>
      </c>
      <c r="C52" s="256">
        <f>SUM(C40:C51)/12</f>
        <v>52.620833333333337</v>
      </c>
      <c r="D52" s="211">
        <f>SUM(D40:D51)</f>
        <v>943.22</v>
      </c>
      <c r="E52" s="255">
        <f>SUM(E40:E51)</f>
        <v>178</v>
      </c>
      <c r="F52" s="211">
        <f>SUM(F40:F51)</f>
        <v>2017.87</v>
      </c>
      <c r="G52" s="213"/>
      <c r="H52" s="215">
        <f>SUM(H40:H51)+150</f>
        <v>1433.6399999999999</v>
      </c>
      <c r="I52" s="215"/>
      <c r="J52" s="256">
        <f>SUM(J40:J51)/12</f>
        <v>50.487500000000004</v>
      </c>
      <c r="K52" s="211">
        <f>SUM(K40:K51)</f>
        <v>980.51999999999987</v>
      </c>
      <c r="L52" s="255">
        <f>SUM(L40:L51)</f>
        <v>194</v>
      </c>
      <c r="M52" s="211">
        <f>SUM(M40:M51)</f>
        <v>2264.16</v>
      </c>
      <c r="N52" s="211"/>
      <c r="O52" s="251">
        <f>SUM(O40:O51)+150</f>
        <v>1335.06</v>
      </c>
      <c r="P52" s="256">
        <f>SUM(P40:P51)/12</f>
        <v>48.775000000000006</v>
      </c>
      <c r="Q52" s="254">
        <f>SUM(Q40:Q51)</f>
        <v>982.78000000000009</v>
      </c>
      <c r="R52" s="324">
        <f>SUM(R40:R51)</f>
        <v>199</v>
      </c>
      <c r="S52" s="251">
        <f>SUM(S40:S51)</f>
        <v>2167.84</v>
      </c>
      <c r="T52" s="325">
        <f>SUM(T40:T51)</f>
        <v>0</v>
      </c>
      <c r="U52" s="202"/>
      <c r="W52" s="214">
        <f>SUM(W40:W51)</f>
        <v>865.19999999999993</v>
      </c>
      <c r="Y52" s="280">
        <f>W52/2</f>
        <v>432.59999999999997</v>
      </c>
    </row>
    <row r="53" spans="1:29" ht="13.5" thickTop="1">
      <c r="A53" s="166" t="s">
        <v>153</v>
      </c>
      <c r="B53" s="166">
        <f>B52/12</f>
        <v>102.05416666666667</v>
      </c>
      <c r="F53" s="286">
        <f>F52/12</f>
        <v>168.15583333333333</v>
      </c>
      <c r="H53" s="166">
        <f>H52/12</f>
        <v>119.46999999999998</v>
      </c>
      <c r="M53" s="286">
        <f>M52/12</f>
        <v>188.67999999999998</v>
      </c>
      <c r="O53" s="166">
        <f>O52/12</f>
        <v>111.255</v>
      </c>
      <c r="S53" s="285">
        <f>S52/12</f>
        <v>180.65333333333334</v>
      </c>
    </row>
    <row r="54" spans="1:29">
      <c r="A54" s="285" t="s">
        <v>695</v>
      </c>
      <c r="B54" s="285">
        <f>102.7+35.5+174.8</f>
        <v>313</v>
      </c>
      <c r="D54" s="166">
        <f>B54+B57</f>
        <v>355.86</v>
      </c>
      <c r="E54" s="166" t="s">
        <v>557</v>
      </c>
      <c r="H54" s="285">
        <f>163.8+222.1</f>
        <v>385.9</v>
      </c>
      <c r="I54" s="285"/>
      <c r="K54" s="166">
        <f>H54+H57</f>
        <v>432.78999999999996</v>
      </c>
      <c r="L54" s="166" t="s">
        <v>545</v>
      </c>
      <c r="O54" s="285">
        <f>93.2+73.1+195</f>
        <v>361.3</v>
      </c>
      <c r="Q54" s="166">
        <f>O54+O57</f>
        <v>406.09000000000003</v>
      </c>
      <c r="R54" s="166" t="s">
        <v>545</v>
      </c>
    </row>
    <row r="55" spans="1:29">
      <c r="A55" s="166" t="s">
        <v>157</v>
      </c>
      <c r="B55" s="166">
        <v>3.4990000000000001</v>
      </c>
      <c r="D55" s="166">
        <f>D54*B55</f>
        <v>1245.1541400000001</v>
      </c>
      <c r="H55" s="166">
        <v>3.1989999999999998</v>
      </c>
      <c r="K55" s="166">
        <f>K54*H55</f>
        <v>1384.4952099999998</v>
      </c>
      <c r="O55" s="166">
        <v>3.3490000000000002</v>
      </c>
      <c r="Q55" s="166">
        <f>O55*Q54</f>
        <v>1359.9954100000002</v>
      </c>
      <c r="R55" s="166" t="s">
        <v>403</v>
      </c>
    </row>
    <row r="56" spans="1:29">
      <c r="A56" s="166" t="s">
        <v>160</v>
      </c>
      <c r="B56" s="166">
        <f>B52/(B54+B57)</f>
        <v>3.4413814421401674</v>
      </c>
      <c r="D56" s="166">
        <f>D54*B56</f>
        <v>1224.6500000000001</v>
      </c>
      <c r="H56" s="166">
        <f>H52/(H54+H57)</f>
        <v>3.3125534323806001</v>
      </c>
      <c r="K56" s="166">
        <f>K54*H56</f>
        <v>1433.6399999999999</v>
      </c>
      <c r="O56" s="166">
        <f>O52/(O54+O57)</f>
        <v>3.2875963456376662</v>
      </c>
      <c r="Q56" s="166">
        <f>O56*Q54</f>
        <v>1335.06</v>
      </c>
      <c r="R56" s="166" t="s">
        <v>403</v>
      </c>
    </row>
    <row r="57" spans="1:29">
      <c r="A57" s="133" t="s">
        <v>546</v>
      </c>
      <c r="B57" s="166">
        <v>42.86</v>
      </c>
      <c r="C57" s="166" t="s">
        <v>545</v>
      </c>
      <c r="H57" s="166">
        <v>46.89</v>
      </c>
      <c r="I57" s="166" t="s">
        <v>545</v>
      </c>
      <c r="O57" s="166">
        <v>44.79</v>
      </c>
      <c r="P57" s="166" t="s">
        <v>545</v>
      </c>
    </row>
    <row r="58" spans="1:29">
      <c r="A58" s="133" t="s">
        <v>673</v>
      </c>
      <c r="B58" s="166" t="s">
        <v>678</v>
      </c>
      <c r="H58" s="166" t="s">
        <v>678</v>
      </c>
      <c r="O58" s="166" t="s">
        <v>737</v>
      </c>
    </row>
    <row r="59" spans="1:29">
      <c r="A59" s="133"/>
      <c r="Y59" s="166">
        <f>497.69+653.06</f>
        <v>1150.75</v>
      </c>
    </row>
    <row r="60" spans="1:29">
      <c r="A60" s="133"/>
      <c r="AC60" s="166">
        <f>195+306.4</f>
        <v>501.4</v>
      </c>
    </row>
    <row r="61" spans="1:29">
      <c r="B61" s="296" t="s">
        <v>539</v>
      </c>
      <c r="C61" s="281"/>
      <c r="D61" s="297">
        <v>2015</v>
      </c>
      <c r="E61" s="284"/>
      <c r="F61" s="282" t="s">
        <v>140</v>
      </c>
      <c r="G61" s="283"/>
      <c r="H61" s="296"/>
      <c r="I61" s="282"/>
      <c r="J61" s="281"/>
      <c r="K61" s="297">
        <v>2016</v>
      </c>
      <c r="L61" s="284"/>
      <c r="M61" s="282"/>
      <c r="N61" s="172"/>
      <c r="O61" s="278"/>
      <c r="P61" s="248"/>
      <c r="Q61" s="299">
        <v>2017</v>
      </c>
      <c r="R61" s="248"/>
      <c r="S61" s="279"/>
      <c r="T61" s="249"/>
      <c r="AC61" s="166">
        <f>AC60*3.349</f>
        <v>1679.1886</v>
      </c>
    </row>
    <row r="62" spans="1:29">
      <c r="B62" s="177" t="s">
        <v>125</v>
      </c>
      <c r="C62" s="173"/>
      <c r="D62" s="179" t="s">
        <v>126</v>
      </c>
      <c r="E62" s="180"/>
      <c r="F62" s="175" t="s">
        <v>127</v>
      </c>
      <c r="G62" s="176"/>
      <c r="H62" s="177" t="s">
        <v>125</v>
      </c>
      <c r="I62" s="175"/>
      <c r="J62" s="173"/>
      <c r="K62" s="179" t="s">
        <v>126</v>
      </c>
      <c r="L62" s="180"/>
      <c r="M62" s="175" t="s">
        <v>127</v>
      </c>
      <c r="N62" s="173"/>
      <c r="O62" s="196" t="s">
        <v>43</v>
      </c>
      <c r="P62" s="250"/>
      <c r="Q62" s="196" t="s">
        <v>417</v>
      </c>
      <c r="R62" s="250"/>
      <c r="S62" s="196" t="s">
        <v>127</v>
      </c>
      <c r="T62" s="250"/>
      <c r="AC62" s="166">
        <v>150</v>
      </c>
    </row>
    <row r="63" spans="1:29">
      <c r="B63" s="188"/>
      <c r="C63" s="183" t="s">
        <v>530</v>
      </c>
      <c r="D63" s="192"/>
      <c r="E63" s="193" t="s">
        <v>531</v>
      </c>
      <c r="F63" s="183"/>
      <c r="G63" s="184"/>
      <c r="H63" s="190"/>
      <c r="I63" s="291"/>
      <c r="J63" s="133" t="s">
        <v>530</v>
      </c>
      <c r="K63" s="192"/>
      <c r="L63" s="193" t="s">
        <v>531</v>
      </c>
      <c r="M63" s="183"/>
      <c r="N63" s="183"/>
      <c r="O63" s="251"/>
      <c r="P63" s="252" t="s">
        <v>530</v>
      </c>
      <c r="Q63" s="251"/>
      <c r="R63" s="252"/>
      <c r="S63" s="202"/>
      <c r="T63" s="253"/>
      <c r="AC63" s="166">
        <f>AC61+AC62</f>
        <v>1829.1886</v>
      </c>
    </row>
    <row r="64" spans="1:29">
      <c r="A64" s="194" t="s">
        <v>121</v>
      </c>
      <c r="B64" s="174"/>
      <c r="C64" s="416">
        <v>21.1</v>
      </c>
      <c r="D64" s="196">
        <f>4.98*E64</f>
        <v>174.3</v>
      </c>
      <c r="E64" s="180">
        <v>35</v>
      </c>
      <c r="F64" s="173">
        <f t="shared" ref="F64:F75" si="4">B64+D64</f>
        <v>174.3</v>
      </c>
      <c r="G64" s="173"/>
      <c r="H64" s="196"/>
      <c r="I64" s="292"/>
      <c r="J64" s="180"/>
      <c r="K64" s="234">
        <f>4.818*L64</f>
        <v>0</v>
      </c>
      <c r="L64" s="197"/>
      <c r="M64" s="174">
        <f t="shared" ref="M64:M75" si="5">H64+K64</f>
        <v>0</v>
      </c>
      <c r="N64" s="173"/>
      <c r="O64" s="202"/>
      <c r="P64" s="201"/>
      <c r="Q64" s="202">
        <f>5.015*R64</f>
        <v>0</v>
      </c>
      <c r="R64" s="195"/>
      <c r="S64" s="196">
        <f>O64+Q64</f>
        <v>0</v>
      </c>
      <c r="T64" s="250"/>
    </row>
    <row r="65" spans="1:20">
      <c r="A65" s="198" t="s">
        <v>128</v>
      </c>
      <c r="B65" s="200"/>
      <c r="C65" s="195">
        <v>17.899999999999999</v>
      </c>
      <c r="D65" s="202">
        <f>4.98*E65</f>
        <v>74.7</v>
      </c>
      <c r="E65" s="201">
        <v>15</v>
      </c>
      <c r="F65" s="133">
        <f t="shared" si="4"/>
        <v>74.7</v>
      </c>
      <c r="G65" s="133" t="s">
        <v>414</v>
      </c>
      <c r="H65" s="321"/>
      <c r="I65" s="191"/>
      <c r="J65" s="201"/>
      <c r="K65" s="234">
        <f>4.818*L65</f>
        <v>0</v>
      </c>
      <c r="L65" s="197"/>
      <c r="M65" s="199">
        <f t="shared" si="5"/>
        <v>0</v>
      </c>
      <c r="N65" s="133"/>
      <c r="O65" s="257"/>
      <c r="P65" s="201"/>
      <c r="Q65" s="202">
        <f>5.015*R65</f>
        <v>0</v>
      </c>
      <c r="R65" s="195"/>
      <c r="S65" s="202">
        <f t="shared" ref="S65:S75" si="6">O65+Q65</f>
        <v>0</v>
      </c>
      <c r="T65" s="253"/>
    </row>
    <row r="66" spans="1:20">
      <c r="A66" s="198" t="s">
        <v>134</v>
      </c>
      <c r="B66" s="199"/>
      <c r="C66" s="195">
        <v>25.7</v>
      </c>
      <c r="D66" s="202">
        <f>4.98*E66</f>
        <v>84.660000000000011</v>
      </c>
      <c r="E66" s="201">
        <f>2+15</f>
        <v>17</v>
      </c>
      <c r="F66" s="133">
        <f t="shared" si="4"/>
        <v>84.660000000000011</v>
      </c>
      <c r="G66" s="133"/>
      <c r="H66" s="202"/>
      <c r="I66" s="133"/>
      <c r="J66" s="201"/>
      <c r="K66" s="234"/>
      <c r="L66" s="197"/>
      <c r="M66" s="199">
        <f t="shared" si="5"/>
        <v>0</v>
      </c>
      <c r="N66" s="133"/>
      <c r="O66" s="202"/>
      <c r="P66" s="201"/>
      <c r="Q66" s="202"/>
      <c r="R66" s="195"/>
      <c r="S66" s="202">
        <f t="shared" si="6"/>
        <v>0</v>
      </c>
      <c r="T66" s="253"/>
    </row>
    <row r="67" spans="1:20">
      <c r="A67" s="198" t="s">
        <v>136</v>
      </c>
      <c r="B67" s="203">
        <v>997.89</v>
      </c>
      <c r="C67" s="195">
        <v>42.8</v>
      </c>
      <c r="D67" s="202">
        <f>4.98*E67</f>
        <v>74.7</v>
      </c>
      <c r="E67" s="201">
        <v>15</v>
      </c>
      <c r="F67" s="133">
        <f t="shared" si="4"/>
        <v>1072.5899999999999</v>
      </c>
      <c r="G67" s="133"/>
      <c r="H67" s="204"/>
      <c r="I67" s="234"/>
      <c r="J67" s="201"/>
      <c r="K67" s="234"/>
      <c r="L67" s="197"/>
      <c r="M67" s="199">
        <f t="shared" si="5"/>
        <v>0</v>
      </c>
      <c r="N67" s="133"/>
      <c r="O67" s="257"/>
      <c r="P67" s="201"/>
      <c r="Q67" s="202">
        <f>5.4*R67</f>
        <v>0</v>
      </c>
      <c r="R67" s="195"/>
      <c r="S67" s="202">
        <f t="shared" si="6"/>
        <v>0</v>
      </c>
      <c r="T67" s="253"/>
    </row>
    <row r="68" spans="1:20">
      <c r="A68" s="198" t="s">
        <v>10</v>
      </c>
      <c r="B68" s="199"/>
      <c r="C68" s="195">
        <v>58.5</v>
      </c>
      <c r="D68" s="202">
        <v>0</v>
      </c>
      <c r="E68" s="201"/>
      <c r="F68" s="133">
        <f t="shared" si="4"/>
        <v>0</v>
      </c>
      <c r="G68" s="133"/>
      <c r="H68" s="202"/>
      <c r="I68" s="133"/>
      <c r="J68" s="201"/>
      <c r="K68" s="234">
        <v>0</v>
      </c>
      <c r="L68" s="197"/>
      <c r="M68" s="199">
        <f t="shared" si="5"/>
        <v>0</v>
      </c>
      <c r="N68" s="133"/>
      <c r="O68" s="202"/>
      <c r="P68" s="201"/>
      <c r="Q68" s="202"/>
      <c r="R68" s="195"/>
      <c r="S68" s="202">
        <f t="shared" si="6"/>
        <v>0</v>
      </c>
      <c r="T68" s="253"/>
    </row>
    <row r="69" spans="1:20">
      <c r="A69" s="198" t="s">
        <v>138</v>
      </c>
      <c r="B69" s="199"/>
      <c r="C69" s="195">
        <v>67.400000000000006</v>
      </c>
      <c r="D69" s="202">
        <v>0</v>
      </c>
      <c r="E69" s="201">
        <v>0</v>
      </c>
      <c r="F69" s="133">
        <f t="shared" si="4"/>
        <v>0</v>
      </c>
      <c r="G69" s="133"/>
      <c r="H69" s="202"/>
      <c r="I69" s="133"/>
      <c r="J69" s="201"/>
      <c r="K69" s="234">
        <v>0</v>
      </c>
      <c r="L69" s="197"/>
      <c r="M69" s="199">
        <f t="shared" si="5"/>
        <v>0</v>
      </c>
      <c r="N69" s="133"/>
      <c r="O69" s="202"/>
      <c r="P69" s="201"/>
      <c r="Q69" s="202"/>
      <c r="R69" s="195"/>
      <c r="S69" s="202">
        <f t="shared" si="6"/>
        <v>0</v>
      </c>
      <c r="T69" s="253"/>
    </row>
    <row r="70" spans="1:20">
      <c r="A70" s="198" t="s">
        <v>139</v>
      </c>
      <c r="B70" s="199"/>
      <c r="C70" s="195">
        <v>73.5</v>
      </c>
      <c r="D70" s="202">
        <v>0</v>
      </c>
      <c r="E70" s="201">
        <v>0</v>
      </c>
      <c r="F70" s="133">
        <f t="shared" si="4"/>
        <v>0</v>
      </c>
      <c r="G70" s="133"/>
      <c r="H70" s="202"/>
      <c r="I70" s="133"/>
      <c r="J70" s="201"/>
      <c r="K70" s="234">
        <v>0</v>
      </c>
      <c r="L70" s="197"/>
      <c r="M70" s="199">
        <f t="shared" si="5"/>
        <v>0</v>
      </c>
      <c r="N70" s="133"/>
      <c r="O70" s="202"/>
      <c r="P70" s="201"/>
      <c r="Q70" s="202"/>
      <c r="R70" s="195"/>
      <c r="S70" s="202">
        <f t="shared" si="6"/>
        <v>0</v>
      </c>
      <c r="T70" s="253"/>
    </row>
    <row r="71" spans="1:20">
      <c r="A71" s="198" t="s">
        <v>141</v>
      </c>
      <c r="B71" s="199"/>
      <c r="C71" s="195"/>
      <c r="D71" s="202">
        <v>0</v>
      </c>
      <c r="E71" s="201">
        <v>0</v>
      </c>
      <c r="F71" s="133">
        <f t="shared" si="4"/>
        <v>0</v>
      </c>
      <c r="G71" s="133"/>
      <c r="H71" s="202"/>
      <c r="I71" s="133"/>
      <c r="J71" s="201"/>
      <c r="K71" s="234">
        <v>0</v>
      </c>
      <c r="L71" s="197"/>
      <c r="M71" s="199">
        <f t="shared" si="5"/>
        <v>0</v>
      </c>
      <c r="N71" s="133"/>
      <c r="O71" s="202"/>
      <c r="P71" s="201"/>
      <c r="Q71" s="202"/>
      <c r="R71" s="195"/>
      <c r="S71" s="202">
        <f t="shared" si="6"/>
        <v>0</v>
      </c>
      <c r="T71" s="253"/>
    </row>
    <row r="72" spans="1:20">
      <c r="A72" s="198" t="s">
        <v>143</v>
      </c>
      <c r="B72" s="199"/>
      <c r="C72" s="195"/>
      <c r="D72" s="202">
        <v>0</v>
      </c>
      <c r="E72" s="201">
        <v>0</v>
      </c>
      <c r="F72" s="133">
        <f t="shared" si="4"/>
        <v>0</v>
      </c>
      <c r="G72" s="133"/>
      <c r="H72" s="202"/>
      <c r="I72" s="133"/>
      <c r="J72" s="201"/>
      <c r="K72" s="234">
        <v>0</v>
      </c>
      <c r="L72" s="197"/>
      <c r="M72" s="199">
        <f t="shared" si="5"/>
        <v>0</v>
      </c>
      <c r="N72" s="133"/>
      <c r="O72" s="202"/>
      <c r="P72" s="201"/>
      <c r="Q72" s="202">
        <f>4.98*R72</f>
        <v>0</v>
      </c>
      <c r="R72" s="195"/>
      <c r="S72" s="202">
        <f t="shared" si="6"/>
        <v>0</v>
      </c>
      <c r="T72" s="253"/>
    </row>
    <row r="73" spans="1:20">
      <c r="A73" s="198" t="s">
        <v>145</v>
      </c>
      <c r="B73" s="199">
        <v>-1006.62</v>
      </c>
      <c r="C73" s="195"/>
      <c r="D73" s="202">
        <f>5.4*E73</f>
        <v>0</v>
      </c>
      <c r="E73" s="201"/>
      <c r="F73" s="133">
        <f t="shared" si="4"/>
        <v>-1006.62</v>
      </c>
      <c r="G73" s="133"/>
      <c r="H73" s="202"/>
      <c r="I73" s="133"/>
      <c r="J73" s="201"/>
      <c r="K73" s="234">
        <f>5.015*L73</f>
        <v>0</v>
      </c>
      <c r="L73" s="197"/>
      <c r="M73" s="199">
        <f t="shared" si="5"/>
        <v>0</v>
      </c>
      <c r="N73" s="133"/>
      <c r="O73" s="202"/>
      <c r="P73" s="201"/>
      <c r="Q73" s="202">
        <f>4.98*R73</f>
        <v>0</v>
      </c>
      <c r="R73" s="195"/>
      <c r="S73" s="202">
        <f t="shared" si="6"/>
        <v>0</v>
      </c>
      <c r="T73" s="253"/>
    </row>
    <row r="74" spans="1:20">
      <c r="A74" s="198" t="s">
        <v>147</v>
      </c>
      <c r="B74" s="199"/>
      <c r="C74" s="195"/>
      <c r="D74" s="202">
        <f>5.4*E74</f>
        <v>0</v>
      </c>
      <c r="E74" s="201"/>
      <c r="F74" s="133">
        <f t="shared" si="4"/>
        <v>0</v>
      </c>
      <c r="G74" s="133"/>
      <c r="H74" s="202"/>
      <c r="I74" s="133"/>
      <c r="J74" s="201"/>
      <c r="K74" s="234">
        <f>5.015*L74</f>
        <v>0</v>
      </c>
      <c r="L74" s="197"/>
      <c r="M74" s="199">
        <f t="shared" si="5"/>
        <v>0</v>
      </c>
      <c r="N74" s="133"/>
      <c r="O74" s="202"/>
      <c r="P74" s="201"/>
      <c r="Q74" s="202">
        <f>4.98*R74</f>
        <v>0</v>
      </c>
      <c r="R74" s="195"/>
      <c r="S74" s="202">
        <f t="shared" si="6"/>
        <v>0</v>
      </c>
      <c r="T74" s="253"/>
    </row>
    <row r="75" spans="1:20">
      <c r="A75" s="198" t="s">
        <v>148</v>
      </c>
      <c r="B75" s="203"/>
      <c r="C75" s="417"/>
      <c r="D75" s="251">
        <f>4.818*E75</f>
        <v>0</v>
      </c>
      <c r="E75" s="209"/>
      <c r="F75" s="207">
        <f t="shared" si="4"/>
        <v>0</v>
      </c>
      <c r="G75" s="207"/>
      <c r="H75" s="208"/>
      <c r="I75" s="293"/>
      <c r="J75" s="209"/>
      <c r="K75" s="234">
        <f>5.015*L75</f>
        <v>0</v>
      </c>
      <c r="L75" s="206"/>
      <c r="M75" s="205">
        <f t="shared" si="5"/>
        <v>0</v>
      </c>
      <c r="N75" s="207"/>
      <c r="O75" s="257"/>
      <c r="P75" s="201"/>
      <c r="Q75" s="202">
        <f>4.98*R75</f>
        <v>0</v>
      </c>
      <c r="R75" s="195"/>
      <c r="S75" s="251">
        <f t="shared" si="6"/>
        <v>0</v>
      </c>
      <c r="T75" s="252"/>
    </row>
    <row r="76" spans="1:20">
      <c r="A76" s="210"/>
      <c r="B76" s="211">
        <f>SUM(B64:B75)</f>
        <v>-8.7300000000000182</v>
      </c>
      <c r="C76" s="256">
        <f>SUM(C64:C75)/12</f>
        <v>25.574999999999999</v>
      </c>
      <c r="D76" s="182">
        <f>SUM(D64:D75)</f>
        <v>408.36</v>
      </c>
      <c r="E76" s="185">
        <f>SUM(E64:E75)</f>
        <v>82</v>
      </c>
      <c r="F76" s="211">
        <f>SUM(F64:F75)</f>
        <v>399.63</v>
      </c>
      <c r="G76" s="213"/>
      <c r="H76" s="215">
        <f>SUM(H64:H75)+150</f>
        <v>150</v>
      </c>
      <c r="I76" s="215"/>
      <c r="J76" s="256">
        <f>SUM(J64:J75)/12</f>
        <v>0</v>
      </c>
      <c r="K76" s="211">
        <f>SUM(K64:K75)</f>
        <v>0</v>
      </c>
      <c r="L76" s="255">
        <f>SUM(L64:L75)</f>
        <v>0</v>
      </c>
      <c r="M76" s="211">
        <f>SUM(M64:M75)</f>
        <v>0</v>
      </c>
      <c r="N76" s="211"/>
      <c r="O76" s="251">
        <f>SUM(O64:O75)+150</f>
        <v>150</v>
      </c>
      <c r="P76" s="256">
        <f>SUM(P64:P75)/12</f>
        <v>0</v>
      </c>
      <c r="Q76" s="254">
        <f>SUM(Q64:Q75)</f>
        <v>0</v>
      </c>
      <c r="R76" s="324">
        <f>SUM(R64:R75)</f>
        <v>0</v>
      </c>
      <c r="S76" s="251">
        <f>SUM(S64:S75)</f>
        <v>0</v>
      </c>
      <c r="T76" s="325">
        <f>SUM(T64:T75)</f>
        <v>0</v>
      </c>
    </row>
    <row r="77" spans="1:20">
      <c r="A77" s="166" t="s">
        <v>153</v>
      </c>
      <c r="B77" s="166">
        <f>B76/12</f>
        <v>-0.72750000000000148</v>
      </c>
      <c r="F77" s="286">
        <f>F76/12</f>
        <v>33.302500000000002</v>
      </c>
      <c r="H77" s="166">
        <f>H76/12</f>
        <v>12.5</v>
      </c>
      <c r="M77" s="286">
        <f>M76/12</f>
        <v>0</v>
      </c>
      <c r="O77" s="166">
        <f>O76/12</f>
        <v>12.5</v>
      </c>
      <c r="S77" s="285">
        <f>S76/12</f>
        <v>0</v>
      </c>
    </row>
    <row r="78" spans="1:20">
      <c r="A78" s="285" t="s">
        <v>695</v>
      </c>
      <c r="B78" s="285">
        <v>306.39999999999998</v>
      </c>
      <c r="D78" s="166">
        <f>B78+B81</f>
        <v>349.26</v>
      </c>
      <c r="E78" s="166" t="s">
        <v>557</v>
      </c>
      <c r="H78" s="285">
        <f>163.8+222.1</f>
        <v>385.9</v>
      </c>
      <c r="I78" s="285"/>
      <c r="K78" s="166">
        <f>H78+H81</f>
        <v>432.78999999999996</v>
      </c>
      <c r="L78" s="166" t="s">
        <v>545</v>
      </c>
      <c r="O78" s="285">
        <f>93.2+73.1+195</f>
        <v>361.3</v>
      </c>
      <c r="Q78" s="166">
        <f>O78+O81</f>
        <v>406.09000000000003</v>
      </c>
      <c r="R78" s="166" t="s">
        <v>545</v>
      </c>
    </row>
    <row r="79" spans="1:20">
      <c r="A79" s="166" t="s">
        <v>157</v>
      </c>
      <c r="D79" s="166">
        <f>D78*B79</f>
        <v>0</v>
      </c>
      <c r="H79" s="166">
        <v>3.1989999999999998</v>
      </c>
      <c r="K79" s="166">
        <f>K78*H79</f>
        <v>1384.4952099999998</v>
      </c>
      <c r="O79" s="166">
        <v>3.3490000000000002</v>
      </c>
      <c r="Q79" s="166">
        <f>Q78*O79</f>
        <v>1359.9954100000002</v>
      </c>
    </row>
    <row r="80" spans="1:20">
      <c r="A80" s="166" t="s">
        <v>160</v>
      </c>
      <c r="B80" s="166">
        <f>B76/(B78+B81)</f>
        <v>-2.4995705205291239E-2</v>
      </c>
      <c r="D80" s="166">
        <f>D78*B80</f>
        <v>-8.7300000000000182</v>
      </c>
      <c r="H80" s="166">
        <f>H76/(H78+H81)</f>
        <v>0.34658841470459117</v>
      </c>
      <c r="K80" s="166">
        <f>K78*H80</f>
        <v>150</v>
      </c>
      <c r="O80" s="166">
        <f>O76/(O78+O81)</f>
        <v>0.36937624664483237</v>
      </c>
    </row>
    <row r="81" spans="1:19">
      <c r="A81" s="133" t="s">
        <v>546</v>
      </c>
      <c r="B81" s="166">
        <v>42.86</v>
      </c>
      <c r="C81" s="166" t="s">
        <v>545</v>
      </c>
      <c r="H81" s="166">
        <v>46.89</v>
      </c>
      <c r="I81" s="166" t="s">
        <v>545</v>
      </c>
      <c r="O81" s="166">
        <v>44.79</v>
      </c>
    </row>
    <row r="82" spans="1:19">
      <c r="A82" s="133" t="s">
        <v>673</v>
      </c>
      <c r="B82" s="166" t="s">
        <v>678</v>
      </c>
      <c r="H82" s="166" t="s">
        <v>678</v>
      </c>
      <c r="O82" s="166" t="s">
        <v>737</v>
      </c>
    </row>
    <row r="83" spans="1:19">
      <c r="A83" s="133"/>
    </row>
    <row r="84" spans="1:19">
      <c r="A84" s="133"/>
    </row>
    <row r="85" spans="1:19">
      <c r="A85" s="133"/>
    </row>
    <row r="87" spans="1:19" ht="15.75">
      <c r="A87" s="374" t="s">
        <v>671</v>
      </c>
      <c r="B87" s="373"/>
      <c r="C87" s="373"/>
      <c r="H87" s="372" t="s">
        <v>201</v>
      </c>
    </row>
    <row r="88" spans="1:19" ht="13.5" thickBot="1">
      <c r="A88" s="223"/>
    </row>
    <row r="89" spans="1:19" ht="13.5" thickBot="1">
      <c r="A89" s="346"/>
      <c r="B89" s="348"/>
      <c r="C89" s="349" t="s">
        <v>41</v>
      </c>
      <c r="D89" s="349"/>
      <c r="E89" s="350"/>
      <c r="F89" s="348"/>
      <c r="G89" s="349" t="s">
        <v>43</v>
      </c>
      <c r="H89" s="349"/>
      <c r="I89" s="350"/>
      <c r="J89" s="348"/>
      <c r="K89" s="350" t="s">
        <v>664</v>
      </c>
      <c r="L89" s="357"/>
      <c r="M89" s="358" t="s">
        <v>124</v>
      </c>
      <c r="N89" s="359"/>
      <c r="O89" s="357" t="s">
        <v>665</v>
      </c>
      <c r="P89" s="359"/>
    </row>
    <row r="90" spans="1:19" ht="13.5" thickBot="1">
      <c r="A90" s="347" t="s">
        <v>667</v>
      </c>
      <c r="B90" s="348" t="s">
        <v>663</v>
      </c>
      <c r="C90" s="350"/>
      <c r="D90" s="352" t="s">
        <v>403</v>
      </c>
      <c r="E90" s="350"/>
      <c r="F90" s="348" t="s">
        <v>662</v>
      </c>
      <c r="G90" s="350"/>
      <c r="H90" s="352" t="s">
        <v>403</v>
      </c>
      <c r="I90" s="350"/>
      <c r="J90" s="348"/>
      <c r="K90" s="356" t="s">
        <v>403</v>
      </c>
      <c r="L90" s="360"/>
      <c r="M90" s="363" t="s">
        <v>403</v>
      </c>
      <c r="N90" s="361"/>
      <c r="O90" s="362" t="s">
        <v>403</v>
      </c>
      <c r="P90" s="361"/>
      <c r="Q90" s="166" t="s">
        <v>694</v>
      </c>
    </row>
    <row r="91" spans="1:19" ht="13.5" thickBot="1">
      <c r="A91" s="351" t="s">
        <v>659</v>
      </c>
      <c r="B91" s="348">
        <v>155</v>
      </c>
      <c r="C91" s="350"/>
      <c r="D91" s="354">
        <v>836.97</v>
      </c>
      <c r="E91" s="350"/>
      <c r="F91" s="348">
        <f>373</f>
        <v>373</v>
      </c>
      <c r="G91" s="350"/>
      <c r="H91" s="354">
        <f>214.53+276.81+205.43+338.81+124.21</f>
        <v>1159.79</v>
      </c>
      <c r="I91" s="350"/>
      <c r="J91" s="348"/>
      <c r="K91" s="355">
        <f>D91+H91</f>
        <v>1996.76</v>
      </c>
      <c r="L91" s="348"/>
      <c r="M91" s="375">
        <f>2.999*823</f>
        <v>2468.1770000000001</v>
      </c>
      <c r="N91" s="350"/>
      <c r="O91" s="354">
        <f>K91-M91</f>
        <v>-471.41700000000014</v>
      </c>
      <c r="P91" s="350"/>
      <c r="Q91" s="166">
        <v>3.109</v>
      </c>
      <c r="S91" s="166" t="s">
        <v>670</v>
      </c>
    </row>
    <row r="92" spans="1:19" ht="13.5" thickBot="1">
      <c r="A92" s="353" t="s">
        <v>660</v>
      </c>
      <c r="B92" s="348">
        <v>195</v>
      </c>
      <c r="C92" s="350"/>
      <c r="D92" s="354">
        <v>994.98</v>
      </c>
      <c r="E92" s="350"/>
      <c r="F92" s="348">
        <f>338.6+42.86</f>
        <v>381.46000000000004</v>
      </c>
      <c r="G92" s="350"/>
      <c r="H92" s="354">
        <f>150+611.63+573.14</f>
        <v>1334.77</v>
      </c>
      <c r="I92" s="350"/>
      <c r="J92" s="348"/>
      <c r="K92" s="355">
        <f>D92+H92</f>
        <v>2329.75</v>
      </c>
      <c r="L92" s="348"/>
      <c r="M92" s="375">
        <f>3.499*823</f>
        <v>2879.6770000000001</v>
      </c>
      <c r="N92" s="350"/>
      <c r="O92" s="354">
        <f>K92-M92</f>
        <v>-549.92700000000013</v>
      </c>
      <c r="P92" s="350"/>
      <c r="Q92" s="166">
        <v>3.4990000000000001</v>
      </c>
      <c r="S92" s="166" t="s">
        <v>669</v>
      </c>
    </row>
    <row r="93" spans="1:19" ht="13.5" thickBot="1">
      <c r="A93" s="353" t="s">
        <v>661</v>
      </c>
      <c r="B93" s="348">
        <v>235</v>
      </c>
      <c r="C93" s="350"/>
      <c r="D93" s="354">
        <v>1192</v>
      </c>
      <c r="E93" s="350"/>
      <c r="F93" s="348">
        <f>388.4+46.89</f>
        <v>435.28999999999996</v>
      </c>
      <c r="G93" s="350"/>
      <c r="H93" s="354">
        <f>150+710.5+298.15+233.85</f>
        <v>1392.5</v>
      </c>
      <c r="I93" s="350"/>
      <c r="J93" s="348"/>
      <c r="K93" s="355">
        <f>D93+H93</f>
        <v>2584.5</v>
      </c>
      <c r="L93" s="348"/>
      <c r="M93" s="375">
        <f>3.199*823</f>
        <v>2632.777</v>
      </c>
      <c r="N93" s="350"/>
      <c r="O93" s="354">
        <f>K93-M93</f>
        <v>-48.277000000000044</v>
      </c>
      <c r="P93" s="350"/>
      <c r="Q93" s="166">
        <v>3.1989999999999998</v>
      </c>
      <c r="S93" s="166" t="s">
        <v>668</v>
      </c>
    </row>
    <row r="94" spans="1:19" ht="13.5" thickBot="1">
      <c r="A94" s="353" t="s">
        <v>679</v>
      </c>
      <c r="B94" s="348">
        <v>130</v>
      </c>
      <c r="C94" s="350"/>
      <c r="D94" s="348">
        <f>4.98*B94</f>
        <v>647.40000000000009</v>
      </c>
      <c r="E94" s="350"/>
      <c r="F94" s="348">
        <f>44.79+195+306.4</f>
        <v>546.18999999999994</v>
      </c>
      <c r="G94" s="350"/>
      <c r="H94" s="348">
        <f>150+653.06+997.89</f>
        <v>1800.9499999999998</v>
      </c>
      <c r="I94" s="350"/>
      <c r="J94" s="348"/>
      <c r="K94" s="355">
        <f>D94+H94</f>
        <v>2448.35</v>
      </c>
      <c r="L94" s="348"/>
      <c r="M94" s="375">
        <f>3.349*823</f>
        <v>2756.2270000000003</v>
      </c>
      <c r="N94" s="350"/>
      <c r="O94" s="354">
        <f>K94-M94</f>
        <v>-307.87700000000041</v>
      </c>
      <c r="P94" s="350"/>
      <c r="Q94" s="166">
        <v>3.3490000000000002</v>
      </c>
      <c r="S94" s="166" t="s">
        <v>668</v>
      </c>
    </row>
    <row r="95" spans="1:19">
      <c r="I95" s="166" t="s">
        <v>164</v>
      </c>
      <c r="K95" s="450">
        <f>SUM(K91:K94)/4</f>
        <v>2339.84</v>
      </c>
      <c r="M95" s="364" t="s">
        <v>666</v>
      </c>
      <c r="O95" s="365">
        <f>SUM(O91:O94)</f>
        <v>-1377.4980000000007</v>
      </c>
      <c r="P95" s="166" t="s">
        <v>738</v>
      </c>
    </row>
    <row r="97" spans="1:43" ht="15.75">
      <c r="A97" s="216" t="s">
        <v>524</v>
      </c>
    </row>
    <row r="98" spans="1:43">
      <c r="F98" s="218" t="s">
        <v>164</v>
      </c>
      <c r="K98" s="323" t="s">
        <v>544</v>
      </c>
      <c r="O98" s="166">
        <v>2014</v>
      </c>
      <c r="S98" s="323" t="s">
        <v>656</v>
      </c>
    </row>
    <row r="99" spans="1:43">
      <c r="F99" s="218" t="s">
        <v>555</v>
      </c>
      <c r="K99" s="218" t="s">
        <v>556</v>
      </c>
      <c r="O99" s="218" t="s">
        <v>166</v>
      </c>
      <c r="S99" s="218" t="s">
        <v>657</v>
      </c>
    </row>
    <row r="100" spans="1:43">
      <c r="A100" s="166" t="s">
        <v>168</v>
      </c>
      <c r="F100" s="166">
        <f>(71.1+85.2+132.4+103+109.3+99.9+74)/7</f>
        <v>96.414285714285725</v>
      </c>
      <c r="H100" s="166">
        <v>100</v>
      </c>
      <c r="O100" s="166">
        <v>0</v>
      </c>
      <c r="AQ100" s="170"/>
    </row>
    <row r="101" spans="1:43">
      <c r="A101" s="166" t="s">
        <v>169</v>
      </c>
      <c r="F101" s="166">
        <f>(210+128.8+168.7+146.1+127+126.1)/6</f>
        <v>151.11666666666667</v>
      </c>
      <c r="H101" s="166">
        <v>150</v>
      </c>
      <c r="O101" s="166">
        <f>15+30</f>
        <v>45</v>
      </c>
    </row>
    <row r="102" spans="1:43">
      <c r="A102" s="166" t="s">
        <v>148</v>
      </c>
      <c r="F102" s="166">
        <f>(166.1+108.2+126.2+123.6+100.5+137.9)/6</f>
        <v>127.08333333333333</v>
      </c>
      <c r="H102" s="166">
        <v>125</v>
      </c>
      <c r="K102" s="166">
        <f>((74+92.3+68.5)+174.8+222.1)/3</f>
        <v>210.56666666666669</v>
      </c>
      <c r="O102" s="166">
        <v>50</v>
      </c>
    </row>
    <row r="103" spans="1:43">
      <c r="A103" s="166" t="s">
        <v>121</v>
      </c>
      <c r="F103" s="166">
        <f>(122.1+149.4+149.2+165.5+144.9+141.1)/6</f>
        <v>145.36666666666667</v>
      </c>
      <c r="H103" s="166">
        <v>145</v>
      </c>
      <c r="O103" s="166">
        <v>50</v>
      </c>
    </row>
    <row r="104" spans="1:43">
      <c r="A104" s="166" t="s">
        <v>128</v>
      </c>
      <c r="F104" s="166">
        <f>(142.7+200.8+147.5+132.6+116.7+130.2)/6</f>
        <v>145.08333333333334</v>
      </c>
      <c r="H104" s="166">
        <v>145</v>
      </c>
      <c r="O104" s="166">
        <v>50</v>
      </c>
      <c r="U104" s="170"/>
    </row>
    <row r="105" spans="1:43">
      <c r="A105" s="166" t="s">
        <v>8</v>
      </c>
      <c r="F105" s="166">
        <f>(118.3+105.3+123.3+90.8+84+85.2)/6</f>
        <v>101.15000000000002</v>
      </c>
      <c r="H105" s="166">
        <v>101</v>
      </c>
      <c r="O105" s="166">
        <f>30+10</f>
        <v>40</v>
      </c>
      <c r="U105" s="170"/>
    </row>
    <row r="106" spans="1:43">
      <c r="A106" s="166" t="s">
        <v>9</v>
      </c>
      <c r="F106" s="166">
        <f>(52.4+94.6+74.2+39.3+35.2+41)/6</f>
        <v>56.116666666666667</v>
      </c>
      <c r="H106" s="166">
        <v>56</v>
      </c>
      <c r="K106" s="166">
        <f>((102.7+35.5)+163.8+166.3)/3</f>
        <v>156.1</v>
      </c>
      <c r="O106" s="166">
        <v>15</v>
      </c>
      <c r="Q106" s="166" t="s">
        <v>172</v>
      </c>
      <c r="U106" s="166" t="s">
        <v>173</v>
      </c>
    </row>
    <row r="107" spans="1:43" ht="13.5" thickBot="1">
      <c r="A107" s="168"/>
      <c r="D107" s="166" t="s">
        <v>31</v>
      </c>
      <c r="F107" s="280">
        <f>SUM(F100:F106)</f>
        <v>822.33095238095245</v>
      </c>
      <c r="H107" s="329">
        <f>SUM(H100:H106)</f>
        <v>822</v>
      </c>
      <c r="K107" s="280">
        <f>SUM(K100:K106)</f>
        <v>366.66666666666669</v>
      </c>
      <c r="O107" s="219">
        <f>SUM(O100:O106)</f>
        <v>250</v>
      </c>
      <c r="S107" s="220">
        <f>SUM(S100:S105)</f>
        <v>0</v>
      </c>
      <c r="U107" s="170"/>
    </row>
    <row r="108" spans="1:43" ht="13.5" thickTop="1">
      <c r="A108" s="168"/>
      <c r="O108" s="166" t="s">
        <v>689</v>
      </c>
      <c r="S108" s="166" t="s">
        <v>176</v>
      </c>
      <c r="U108" s="170"/>
    </row>
    <row r="109" spans="1:43">
      <c r="A109" s="168"/>
      <c r="O109" s="221">
        <f>O107*5</f>
        <v>1250</v>
      </c>
      <c r="S109" s="221" t="s">
        <v>658</v>
      </c>
    </row>
    <row r="111" spans="1:43" ht="16.5" thickBot="1">
      <c r="A111" s="216" t="s">
        <v>198</v>
      </c>
    </row>
    <row r="112" spans="1:43" ht="13.5" thickBot="1">
      <c r="A112" s="168" t="s">
        <v>199</v>
      </c>
      <c r="M112" s="224">
        <v>823</v>
      </c>
      <c r="N112" s="166" t="s">
        <v>200</v>
      </c>
    </row>
    <row r="113" spans="1:31">
      <c r="A113" s="166" t="s">
        <v>201</v>
      </c>
    </row>
    <row r="114" spans="1:31">
      <c r="A114" s="166" t="s">
        <v>548</v>
      </c>
    </row>
    <row r="115" spans="1:31">
      <c r="A115" s="166" t="s">
        <v>549</v>
      </c>
    </row>
    <row r="116" spans="1:31">
      <c r="B116" s="133"/>
      <c r="C116" s="133"/>
      <c r="D116" s="225" t="s">
        <v>202</v>
      </c>
      <c r="E116" s="133"/>
      <c r="F116" s="133"/>
      <c r="G116" s="133"/>
      <c r="H116" s="133"/>
      <c r="I116" s="133"/>
      <c r="J116" s="133"/>
      <c r="K116" s="133"/>
      <c r="Q116" s="133"/>
      <c r="R116" s="133"/>
      <c r="S116" s="225" t="s">
        <v>203</v>
      </c>
      <c r="T116" s="133"/>
      <c r="U116" s="133"/>
      <c r="V116" s="133"/>
      <c r="W116" s="133"/>
      <c r="X116" s="133"/>
      <c r="Y116" s="133"/>
    </row>
    <row r="117" spans="1:31">
      <c r="A117" s="226" t="s">
        <v>182</v>
      </c>
      <c r="B117" s="323" t="s">
        <v>547</v>
      </c>
      <c r="C117" s="133"/>
      <c r="D117" s="227" t="s">
        <v>204</v>
      </c>
      <c r="E117" s="133"/>
      <c r="F117" s="227" t="s">
        <v>205</v>
      </c>
      <c r="G117" s="133"/>
      <c r="H117" s="228" t="s">
        <v>206</v>
      </c>
      <c r="I117" s="228"/>
      <c r="J117" s="133"/>
      <c r="K117" s="225" t="s">
        <v>183</v>
      </c>
      <c r="M117" s="166" t="s">
        <v>207</v>
      </c>
      <c r="Q117" s="226" t="s">
        <v>208</v>
      </c>
      <c r="R117" s="133"/>
      <c r="S117" s="226" t="s">
        <v>204</v>
      </c>
      <c r="T117" s="133"/>
      <c r="U117" s="227" t="s">
        <v>209</v>
      </c>
      <c r="V117" s="133"/>
      <c r="W117" s="226" t="s">
        <v>206</v>
      </c>
      <c r="X117" s="133"/>
      <c r="Y117" s="226" t="s">
        <v>210</v>
      </c>
      <c r="AA117" s="166" t="s">
        <v>207</v>
      </c>
    </row>
    <row r="118" spans="1:31">
      <c r="A118" s="227"/>
      <c r="C118" s="191"/>
      <c r="D118" s="227"/>
      <c r="E118" s="133"/>
      <c r="F118" s="230">
        <f>$M$112*D118</f>
        <v>0</v>
      </c>
      <c r="G118" s="133"/>
      <c r="H118" s="133"/>
      <c r="I118" s="133"/>
      <c r="J118" s="133"/>
      <c r="K118" s="133"/>
      <c r="Q118" s="133"/>
      <c r="R118" s="133"/>
      <c r="S118" s="133"/>
      <c r="T118" s="133"/>
      <c r="U118" s="133"/>
      <c r="V118" s="133"/>
      <c r="W118" s="133"/>
      <c r="X118" s="133"/>
      <c r="Y118" s="133"/>
    </row>
    <row r="119" spans="1:31">
      <c r="A119" s="334">
        <v>2014</v>
      </c>
      <c r="B119" s="166">
        <v>199</v>
      </c>
      <c r="C119" s="133"/>
      <c r="D119" s="371">
        <v>3.3490000000000002</v>
      </c>
      <c r="E119" s="133"/>
      <c r="F119" s="230">
        <f>$M$112*D119</f>
        <v>2756.2270000000003</v>
      </c>
      <c r="G119" s="133"/>
      <c r="H119" s="133">
        <f>S52</f>
        <v>2167.84</v>
      </c>
      <c r="I119" s="133"/>
      <c r="J119" s="133"/>
      <c r="K119" s="230">
        <f>F119-H119</f>
        <v>588.38700000000017</v>
      </c>
      <c r="M119" s="231">
        <f>M120+K119</f>
        <v>2242.1980000000008</v>
      </c>
      <c r="O119" s="326" t="s">
        <v>739</v>
      </c>
      <c r="Q119" s="334">
        <v>2014</v>
      </c>
      <c r="R119" s="133"/>
      <c r="S119" s="133">
        <f>O56</f>
        <v>3.2875963456376662</v>
      </c>
      <c r="T119" s="133"/>
      <c r="U119" s="234">
        <f>$M$112*S119</f>
        <v>2705.6917924597992</v>
      </c>
      <c r="V119" s="133"/>
      <c r="W119" s="133">
        <f>S52</f>
        <v>2167.84</v>
      </c>
      <c r="X119" s="133"/>
      <c r="Y119" s="234">
        <f>U119-W119</f>
        <v>537.85179245979907</v>
      </c>
      <c r="AA119" s="232">
        <f>AA120+Y119</f>
        <v>1995.2386348040241</v>
      </c>
      <c r="AC119" s="326" t="s">
        <v>739</v>
      </c>
    </row>
    <row r="120" spans="1:31">
      <c r="A120" s="133">
        <v>2013</v>
      </c>
      <c r="B120" s="166">
        <f>194</f>
        <v>194</v>
      </c>
      <c r="C120" s="133"/>
      <c r="D120" s="233">
        <v>3.1989999999999998</v>
      </c>
      <c r="E120" s="133"/>
      <c r="F120" s="230">
        <f>$M$112*D120</f>
        <v>2632.777</v>
      </c>
      <c r="G120" s="133"/>
      <c r="H120" s="133">
        <f>M52</f>
        <v>2264.16</v>
      </c>
      <c r="I120" s="133"/>
      <c r="J120" s="133"/>
      <c r="K120" s="230">
        <f>F120-H120</f>
        <v>368.61700000000019</v>
      </c>
      <c r="M120" s="231">
        <f>M121+K120</f>
        <v>1653.8110000000006</v>
      </c>
      <c r="Q120" s="133">
        <v>2013</v>
      </c>
      <c r="R120" s="133"/>
      <c r="S120" s="133">
        <f>H56</f>
        <v>3.3125534323806001</v>
      </c>
      <c r="T120" s="133"/>
      <c r="U120" s="234">
        <f>$M$112*S120</f>
        <v>2726.231474849234</v>
      </c>
      <c r="V120" s="133"/>
      <c r="W120" s="133">
        <f>M52</f>
        <v>2264.16</v>
      </c>
      <c r="X120" s="133"/>
      <c r="Y120" s="234">
        <f>U120-W120</f>
        <v>462.07147484923416</v>
      </c>
      <c r="AA120" s="232">
        <f>AA121+Y120</f>
        <v>1457.386842344225</v>
      </c>
    </row>
    <row r="121" spans="1:31">
      <c r="A121" s="133">
        <v>2012</v>
      </c>
      <c r="B121" s="166">
        <v>178</v>
      </c>
      <c r="C121" s="191"/>
      <c r="D121" s="235">
        <v>3.4990000000000001</v>
      </c>
      <c r="E121" s="133"/>
      <c r="F121" s="230">
        <f>$M$112*D121</f>
        <v>2879.6770000000001</v>
      </c>
      <c r="G121" s="133"/>
      <c r="H121" s="133">
        <f>F52</f>
        <v>2017.87</v>
      </c>
      <c r="I121" s="133"/>
      <c r="J121" s="133"/>
      <c r="K121" s="230">
        <f>F121-H121</f>
        <v>861.80700000000024</v>
      </c>
      <c r="M121" s="231">
        <f>M122+K121</f>
        <v>1285.1940000000004</v>
      </c>
      <c r="Q121" s="133">
        <v>2012</v>
      </c>
      <c r="R121" s="133"/>
      <c r="S121" s="133">
        <f>B56</f>
        <v>3.4413814421401674</v>
      </c>
      <c r="T121" s="133"/>
      <c r="U121" s="234">
        <f>$M$112*S121</f>
        <v>2832.2569268813577</v>
      </c>
      <c r="V121" s="133"/>
      <c r="W121" s="133">
        <f>F52</f>
        <v>2017.87</v>
      </c>
      <c r="X121" s="133"/>
      <c r="Y121" s="234">
        <f>U121-W121</f>
        <v>814.38692688135779</v>
      </c>
      <c r="AA121" s="232">
        <f>AA122+Y121</f>
        <v>995.31536749499082</v>
      </c>
    </row>
    <row r="122" spans="1:31">
      <c r="A122" s="133">
        <v>2011</v>
      </c>
      <c r="B122" s="166">
        <v>62</v>
      </c>
      <c r="C122" s="133"/>
      <c r="D122" s="235">
        <v>2.9990000000000001</v>
      </c>
      <c r="E122" s="133"/>
      <c r="F122" s="230">
        <f>$M$112*D122</f>
        <v>2468.1770000000001</v>
      </c>
      <c r="G122" s="133"/>
      <c r="H122" s="133">
        <f>S29</f>
        <v>2044.79</v>
      </c>
      <c r="I122" s="133"/>
      <c r="J122" s="133"/>
      <c r="K122" s="230">
        <f>F122-H122</f>
        <v>423.38700000000017</v>
      </c>
      <c r="M122" s="236">
        <f>K122</f>
        <v>423.38700000000017</v>
      </c>
      <c r="Q122" s="133">
        <v>2011</v>
      </c>
      <c r="R122" s="133"/>
      <c r="S122" s="133">
        <f>O33</f>
        <v>2.704396647161158</v>
      </c>
      <c r="T122" s="133"/>
      <c r="U122" s="234">
        <f>$M$112*S122</f>
        <v>2225.718440613633</v>
      </c>
      <c r="V122" s="133"/>
      <c r="W122" s="133">
        <f>S29</f>
        <v>2044.79</v>
      </c>
      <c r="X122" s="133"/>
      <c r="Y122" s="234">
        <f>U122-W122</f>
        <v>180.92844061363303</v>
      </c>
      <c r="AA122" s="232">
        <f>Y122</f>
        <v>180.92844061363303</v>
      </c>
    </row>
    <row r="123" spans="1:31">
      <c r="A123" s="168"/>
    </row>
    <row r="125" spans="1:31">
      <c r="A125" s="168"/>
    </row>
    <row r="127" spans="1:31" ht="15.75">
      <c r="A127" s="216" t="s">
        <v>211</v>
      </c>
    </row>
    <row r="128" spans="1:31" ht="38.25">
      <c r="A128" s="337" t="s">
        <v>182</v>
      </c>
      <c r="B128" s="319" t="s">
        <v>212</v>
      </c>
      <c r="C128" s="319"/>
      <c r="D128" s="319" t="s">
        <v>204</v>
      </c>
      <c r="E128" s="319"/>
      <c r="F128" s="319" t="s">
        <v>213</v>
      </c>
      <c r="G128" s="319"/>
      <c r="H128" s="319" t="s">
        <v>79</v>
      </c>
      <c r="I128" s="319"/>
      <c r="J128" s="319"/>
      <c r="K128" s="319" t="s">
        <v>214</v>
      </c>
      <c r="L128" s="319"/>
      <c r="M128" s="319"/>
      <c r="N128" s="319"/>
      <c r="O128" s="319"/>
      <c r="P128" s="319"/>
      <c r="Q128" s="319"/>
      <c r="R128" s="319"/>
      <c r="S128" s="319" t="s">
        <v>215</v>
      </c>
      <c r="T128" s="319"/>
      <c r="U128" s="319" t="s">
        <v>216</v>
      </c>
      <c r="V128" s="319"/>
      <c r="W128" s="338" t="s">
        <v>338</v>
      </c>
      <c r="X128" s="319"/>
      <c r="Y128" s="319" t="s">
        <v>569</v>
      </c>
      <c r="Z128" s="319"/>
      <c r="AA128" s="133" t="s">
        <v>529</v>
      </c>
      <c r="AB128" s="133"/>
      <c r="AC128" s="133"/>
      <c r="AD128" s="133"/>
      <c r="AE128" s="133"/>
    </row>
    <row r="129" spans="1:33">
      <c r="A129" s="319">
        <v>2011</v>
      </c>
      <c r="B129" s="319">
        <v>4</v>
      </c>
      <c r="C129" s="319"/>
      <c r="D129" s="319">
        <v>259.99</v>
      </c>
      <c r="E129" s="319"/>
      <c r="F129" s="319">
        <v>40</v>
      </c>
      <c r="G129" s="319"/>
      <c r="H129" s="319">
        <f>B129*D129+F129</f>
        <v>1079.96</v>
      </c>
      <c r="I129" s="319"/>
      <c r="J129" s="319"/>
      <c r="K129" s="319">
        <f>H129/(B129*50)</f>
        <v>5.3997999999999999</v>
      </c>
      <c r="L129" s="319"/>
      <c r="M129" s="319" t="s">
        <v>217</v>
      </c>
      <c r="N129" s="319"/>
      <c r="O129" s="319"/>
      <c r="P129" s="319"/>
      <c r="Q129" s="319"/>
      <c r="R129" s="319"/>
      <c r="S129" s="319">
        <v>155</v>
      </c>
      <c r="T129" s="319"/>
      <c r="U129" s="319">
        <f>K129*S129</f>
        <v>836.96899999999994</v>
      </c>
      <c r="V129" s="319"/>
      <c r="W129" s="319">
        <v>45</v>
      </c>
      <c r="X129" s="319"/>
      <c r="Y129" s="319">
        <f>U129</f>
        <v>836.96899999999994</v>
      </c>
      <c r="Z129" s="248"/>
      <c r="AA129" s="248" t="s">
        <v>550</v>
      </c>
      <c r="AB129" s="248"/>
      <c r="AC129" s="248"/>
      <c r="AD129" s="248"/>
      <c r="AE129" s="248"/>
      <c r="AF129" s="248"/>
      <c r="AG129" s="248"/>
    </row>
    <row r="130" spans="1:33">
      <c r="A130" s="166">
        <v>2012</v>
      </c>
      <c r="B130" s="166">
        <v>2</v>
      </c>
      <c r="D130" s="166">
        <v>249.99</v>
      </c>
      <c r="F130" s="166">
        <v>30</v>
      </c>
      <c r="H130" s="166">
        <f>B130*D130+F130</f>
        <v>529.98</v>
      </c>
      <c r="K130" s="166">
        <f>H130/(B130*55)</f>
        <v>4.8180000000000005</v>
      </c>
      <c r="M130" s="166" t="s">
        <v>218</v>
      </c>
      <c r="S130" s="166">
        <f>45+110</f>
        <v>155</v>
      </c>
      <c r="U130" s="166">
        <f>45*K129+110*K130</f>
        <v>772.971</v>
      </c>
      <c r="W130" s="166">
        <v>0</v>
      </c>
      <c r="AA130" s="166" t="s">
        <v>335</v>
      </c>
    </row>
    <row r="131" spans="1:33">
      <c r="A131" s="237" t="s">
        <v>333</v>
      </c>
      <c r="H131" s="166">
        <v>56</v>
      </c>
      <c r="K131" s="166">
        <v>5.6</v>
      </c>
      <c r="M131" s="166" t="s">
        <v>218</v>
      </c>
      <c r="S131" s="166">
        <v>10</v>
      </c>
      <c r="U131" s="166">
        <v>56</v>
      </c>
      <c r="W131" s="166">
        <v>0</v>
      </c>
    </row>
    <row r="132" spans="1:33">
      <c r="A132" s="166" t="s">
        <v>339</v>
      </c>
      <c r="H132" s="166">
        <v>54</v>
      </c>
      <c r="K132" s="166">
        <v>5.4</v>
      </c>
      <c r="M132" s="166" t="s">
        <v>334</v>
      </c>
      <c r="S132" s="166">
        <v>10</v>
      </c>
      <c r="U132" s="166">
        <v>54</v>
      </c>
      <c r="W132" s="166">
        <v>0</v>
      </c>
      <c r="AA132" s="166" t="s">
        <v>570</v>
      </c>
    </row>
    <row r="133" spans="1:33">
      <c r="A133" s="319"/>
      <c r="B133" s="319"/>
      <c r="C133" s="319"/>
      <c r="D133" s="319"/>
      <c r="E133" s="319"/>
      <c r="F133" s="319"/>
      <c r="G133" s="319"/>
      <c r="H133" s="319">
        <v>112</v>
      </c>
      <c r="I133" s="319"/>
      <c r="J133" s="319"/>
      <c r="K133" s="319">
        <v>5.6</v>
      </c>
      <c r="L133" s="319"/>
      <c r="M133" s="319" t="s">
        <v>340</v>
      </c>
      <c r="N133" s="319"/>
      <c r="O133" s="319"/>
      <c r="P133" s="319"/>
      <c r="Q133" s="319"/>
      <c r="R133" s="319"/>
      <c r="S133" s="319">
        <v>20</v>
      </c>
      <c r="T133" s="319"/>
      <c r="U133" s="319">
        <v>112</v>
      </c>
      <c r="V133" s="319"/>
      <c r="W133" s="319">
        <v>0</v>
      </c>
      <c r="X133" s="319"/>
      <c r="Y133" s="319">
        <f>SUM(U130:U133)</f>
        <v>994.971</v>
      </c>
      <c r="Z133" s="319"/>
      <c r="AA133" s="319"/>
      <c r="AB133" s="319"/>
      <c r="AC133" s="319"/>
      <c r="AD133" s="319"/>
      <c r="AE133" s="319"/>
      <c r="AF133" s="319"/>
      <c r="AG133" s="319"/>
    </row>
    <row r="134" spans="1:33">
      <c r="A134" s="166">
        <v>2013</v>
      </c>
      <c r="B134" s="166">
        <v>4</v>
      </c>
      <c r="D134" s="166">
        <v>242</v>
      </c>
      <c r="F134" s="166">
        <v>35</v>
      </c>
      <c r="H134" s="166">
        <f>B134*D134+F134</f>
        <v>1003</v>
      </c>
      <c r="K134" s="166">
        <f>H134/200</f>
        <v>5.0149999999999997</v>
      </c>
      <c r="L134" s="326"/>
      <c r="M134" s="166" t="s">
        <v>334</v>
      </c>
      <c r="S134" s="166">
        <f>50*4</f>
        <v>200</v>
      </c>
      <c r="U134" s="166">
        <f>1003</f>
        <v>1003</v>
      </c>
      <c r="W134" s="133">
        <v>0</v>
      </c>
      <c r="AA134" s="166" t="s">
        <v>572</v>
      </c>
    </row>
    <row r="135" spans="1:33">
      <c r="A135" s="333" t="s">
        <v>567</v>
      </c>
      <c r="B135" s="133"/>
      <c r="C135" s="133"/>
      <c r="D135" s="133"/>
      <c r="E135" s="133"/>
      <c r="F135" s="133"/>
      <c r="G135" s="133"/>
      <c r="H135" s="133">
        <v>54</v>
      </c>
      <c r="I135" s="133"/>
      <c r="J135" s="133"/>
      <c r="K135" s="133">
        <v>5.4</v>
      </c>
      <c r="L135" s="334"/>
      <c r="M135" s="133" t="s">
        <v>334</v>
      </c>
      <c r="N135" s="133"/>
      <c r="O135" s="133"/>
      <c r="P135" s="133"/>
      <c r="Q135" s="133"/>
      <c r="R135" s="133"/>
      <c r="S135" s="133">
        <v>10</v>
      </c>
      <c r="T135" s="133"/>
      <c r="U135" s="133">
        <v>54</v>
      </c>
      <c r="V135" s="133"/>
      <c r="W135" s="133">
        <v>0</v>
      </c>
    </row>
    <row r="136" spans="1:33">
      <c r="A136" s="335" t="s">
        <v>568</v>
      </c>
      <c r="B136" s="319"/>
      <c r="C136" s="319"/>
      <c r="D136" s="319"/>
      <c r="E136" s="319"/>
      <c r="F136" s="319"/>
      <c r="G136" s="319"/>
      <c r="H136" s="319">
        <f>5.4*25</f>
        <v>135</v>
      </c>
      <c r="I136" s="319"/>
      <c r="J136" s="319"/>
      <c r="K136" s="319">
        <v>5.4</v>
      </c>
      <c r="L136" s="336"/>
      <c r="M136" s="319" t="s">
        <v>334</v>
      </c>
      <c r="N136" s="319"/>
      <c r="O136" s="319"/>
      <c r="P136" s="319"/>
      <c r="Q136" s="319"/>
      <c r="R136" s="319"/>
      <c r="S136" s="319">
        <v>25</v>
      </c>
      <c r="T136" s="319"/>
      <c r="U136" s="319">
        <v>135</v>
      </c>
      <c r="V136" s="319"/>
      <c r="W136" s="319">
        <v>0</v>
      </c>
      <c r="X136" s="319"/>
      <c r="Y136" s="319">
        <f>SUM(U134:U136)</f>
        <v>1192</v>
      </c>
      <c r="Z136" s="319"/>
      <c r="AA136" s="319" t="s">
        <v>571</v>
      </c>
      <c r="AB136" s="319"/>
      <c r="AC136" s="319"/>
      <c r="AD136" s="319"/>
      <c r="AE136" s="319"/>
      <c r="AF136" s="319"/>
      <c r="AG136" s="319"/>
    </row>
    <row r="137" spans="1:33">
      <c r="A137" s="166">
        <v>2014</v>
      </c>
      <c r="B137" s="166">
        <v>4</v>
      </c>
      <c r="D137" s="166">
        <v>239</v>
      </c>
      <c r="F137" s="166">
        <v>40</v>
      </c>
      <c r="H137" s="166">
        <f>B137*D137+F137</f>
        <v>996</v>
      </c>
      <c r="K137" s="166">
        <f>H137/200</f>
        <v>4.9800000000000004</v>
      </c>
      <c r="M137" s="166" t="s">
        <v>581</v>
      </c>
      <c r="S137" s="133">
        <v>130</v>
      </c>
      <c r="U137" s="166">
        <f>S137*K137</f>
        <v>647.40000000000009</v>
      </c>
      <c r="W137" s="133">
        <v>70</v>
      </c>
      <c r="Y137" s="166">
        <f>U137</f>
        <v>647.40000000000009</v>
      </c>
      <c r="AA137" s="133" t="s">
        <v>988</v>
      </c>
    </row>
    <row r="141" spans="1:33" ht="15.75">
      <c r="A141" s="216" t="s">
        <v>178</v>
      </c>
    </row>
    <row r="142" spans="1:33">
      <c r="A142" s="222" t="s">
        <v>179</v>
      </c>
      <c r="H142" s="166" t="s">
        <v>180</v>
      </c>
    </row>
    <row r="143" spans="1:33">
      <c r="A143" s="223" t="s">
        <v>181</v>
      </c>
    </row>
    <row r="144" spans="1:33">
      <c r="A144" s="166" t="s">
        <v>182</v>
      </c>
      <c r="B144" s="166">
        <v>2005</v>
      </c>
      <c r="D144" s="166">
        <v>2006</v>
      </c>
      <c r="F144" s="166">
        <v>2007</v>
      </c>
      <c r="H144" s="166">
        <v>2008</v>
      </c>
      <c r="K144" s="166">
        <v>2009</v>
      </c>
      <c r="M144" s="166">
        <v>2010</v>
      </c>
      <c r="O144" s="166">
        <v>2011</v>
      </c>
      <c r="P144" s="166" t="s">
        <v>140</v>
      </c>
      <c r="Q144" s="166">
        <v>2012</v>
      </c>
    </row>
    <row r="145" spans="1:17">
      <c r="A145" s="166" t="s">
        <v>43</v>
      </c>
      <c r="B145" s="166">
        <f>350*B33+150</f>
        <v>806.34512115258678</v>
      </c>
      <c r="C145" s="166">
        <f>350*C33+150</f>
        <v>150</v>
      </c>
      <c r="D145" s="166">
        <f>350*D33+150</f>
        <v>818.06717698297473</v>
      </c>
      <c r="E145" s="166">
        <f>350*E33+150</f>
        <v>150</v>
      </c>
      <c r="F145" s="166">
        <f>350*F33+150</f>
        <v>855.10282381829336</v>
      </c>
      <c r="H145" s="166">
        <f>350*H33+150</f>
        <v>989.1117775983389</v>
      </c>
      <c r="K145" s="166">
        <f>350*K33+150</f>
        <v>1029.2274509803919</v>
      </c>
      <c r="M145" s="166">
        <f>350*M33+150</f>
        <v>988.46313951926948</v>
      </c>
      <c r="O145" s="166">
        <f>350*O33+150</f>
        <v>1096.5388265064053</v>
      </c>
      <c r="Q145" s="166">
        <f>350*B56+150</f>
        <v>1354.4835047490585</v>
      </c>
    </row>
    <row r="146" spans="1:17">
      <c r="A146" s="166" t="s">
        <v>41</v>
      </c>
      <c r="B146" s="166">
        <v>810</v>
      </c>
      <c r="C146" s="166">
        <v>810</v>
      </c>
      <c r="D146" s="166">
        <v>810</v>
      </c>
      <c r="E146" s="166">
        <v>810</v>
      </c>
      <c r="F146" s="166">
        <v>810</v>
      </c>
      <c r="H146" s="166">
        <v>810</v>
      </c>
      <c r="K146" s="166">
        <v>810</v>
      </c>
      <c r="M146" s="166">
        <v>810</v>
      </c>
      <c r="O146" s="166">
        <v>810</v>
      </c>
      <c r="Q146" s="166">
        <v>810</v>
      </c>
    </row>
    <row r="147" spans="1:17">
      <c r="A147" s="166" t="s">
        <v>79</v>
      </c>
      <c r="B147" s="166">
        <f>SUM(B145:B146)</f>
        <v>1616.3451211525867</v>
      </c>
      <c r="C147" s="166">
        <f>SUM(C145:C146)</f>
        <v>960</v>
      </c>
      <c r="D147" s="166">
        <f>SUM(D145:D146)</f>
        <v>1628.0671769829746</v>
      </c>
      <c r="E147" s="166">
        <f>SUM(E145:E146)</f>
        <v>960</v>
      </c>
      <c r="F147" s="166">
        <f>SUM(F145:F146)</f>
        <v>1665.1028238182935</v>
      </c>
      <c r="H147" s="166">
        <f>SUM(H145:H146)</f>
        <v>1799.1117775983389</v>
      </c>
      <c r="K147" s="166">
        <f>SUM(K145:K146)</f>
        <v>1839.2274509803919</v>
      </c>
      <c r="M147" s="166">
        <f>SUM(M145:M146)</f>
        <v>1798.4631395192696</v>
      </c>
      <c r="O147" s="166">
        <f>SUM(O145:O146)</f>
        <v>1906.5388265064053</v>
      </c>
      <c r="Q147" s="166">
        <f>SUM(Q145:Q146)</f>
        <v>2164.4835047490587</v>
      </c>
    </row>
    <row r="148" spans="1:17">
      <c r="A148" s="166" t="s">
        <v>183</v>
      </c>
      <c r="B148" s="166">
        <f>B29-B147</f>
        <v>-184.57512115258669</v>
      </c>
      <c r="C148" s="166">
        <f>C29-C147</f>
        <v>-960</v>
      </c>
      <c r="D148" s="166">
        <f>D29-D147</f>
        <v>-181.79717698297463</v>
      </c>
      <c r="E148" s="166">
        <f>E29-E147</f>
        <v>-960</v>
      </c>
      <c r="F148" s="166">
        <f>F29-F147</f>
        <v>303.94717618170671</v>
      </c>
      <c r="H148" s="166">
        <f>H29-H147</f>
        <v>279.24822240166122</v>
      </c>
      <c r="K148" s="166">
        <f>K29-K147</f>
        <v>82.512549019607832</v>
      </c>
      <c r="M148" s="166">
        <f>M29-M147</f>
        <v>-14.453139519269598</v>
      </c>
      <c r="O148" s="166">
        <f>S29-O147</f>
        <v>138.25117349359471</v>
      </c>
    </row>
    <row r="149" spans="1:17">
      <c r="A149" s="166" t="s">
        <v>184</v>
      </c>
      <c r="B149" s="217" t="s">
        <v>185</v>
      </c>
      <c r="C149" s="217"/>
      <c r="D149" s="217" t="s">
        <v>185</v>
      </c>
      <c r="E149" s="217"/>
      <c r="F149" s="217" t="s">
        <v>186</v>
      </c>
      <c r="G149" s="217"/>
      <c r="H149" s="217" t="s">
        <v>186</v>
      </c>
      <c r="I149" s="217"/>
      <c r="J149" s="217"/>
      <c r="K149" s="217" t="s">
        <v>186</v>
      </c>
      <c r="M149" s="217" t="s">
        <v>187</v>
      </c>
      <c r="O149" s="217" t="s">
        <v>186</v>
      </c>
    </row>
    <row r="151" spans="1:17">
      <c r="A151" s="166" t="s">
        <v>188</v>
      </c>
      <c r="B151" s="166">
        <v>1431.77</v>
      </c>
      <c r="D151" s="166">
        <v>1446.27</v>
      </c>
      <c r="F151" s="166">
        <v>1969.0500000000002</v>
      </c>
      <c r="H151" s="166">
        <v>2078.36</v>
      </c>
      <c r="K151" s="166">
        <v>1921.7399999999998</v>
      </c>
      <c r="M151" s="166">
        <v>1784.01</v>
      </c>
      <c r="O151" s="166">
        <v>2017.79</v>
      </c>
    </row>
    <row r="152" spans="1:17">
      <c r="A152" s="166" t="s">
        <v>189</v>
      </c>
      <c r="B152" s="166">
        <f>316.3+71.1+210+166.1</f>
        <v>763.5</v>
      </c>
      <c r="D152" s="166">
        <f>122.1+142.7+118.3+52.4+85.2+128.8+108.2</f>
        <v>757.7</v>
      </c>
      <c r="F152" s="166">
        <f>149.4+200.8+105.3+94.6+132.4+168.7+126.2</f>
        <v>977.40000000000009</v>
      </c>
      <c r="H152" s="166">
        <f>149.2+147.5+123.3+74.2+103+146.1+123.6</f>
        <v>866.90000000000009</v>
      </c>
      <c r="K152" s="166">
        <f>165.5+132.6+90.8+39.3+109.3+127+100.5</f>
        <v>765</v>
      </c>
      <c r="M152" s="166">
        <f>144.9+116.7+84+35.2+99.9+126.1+137.9</f>
        <v>744.7</v>
      </c>
      <c r="O152" s="166">
        <f>141.1+130.2+85.2+41+74+92.3+68.5</f>
        <v>632.29999999999995</v>
      </c>
    </row>
    <row r="153" spans="1:17">
      <c r="A153" s="166" t="s">
        <v>190</v>
      </c>
      <c r="B153" s="166">
        <v>1.8752717747216765</v>
      </c>
      <c r="D153" s="166">
        <v>1.9087633628084992</v>
      </c>
      <c r="F153" s="166">
        <v>2.0145794966236954</v>
      </c>
      <c r="H153" s="166">
        <v>2.3974622217095396</v>
      </c>
      <c r="K153" s="166">
        <v>2.5120784313725486</v>
      </c>
      <c r="M153" s="166">
        <v>2.3956089700550556</v>
      </c>
      <c r="O153" s="166">
        <v>2.704396647161158</v>
      </c>
      <c r="Q153" s="166">
        <f>B56</f>
        <v>3.4413814421401674</v>
      </c>
    </row>
    <row r="155" spans="1:17">
      <c r="A155" s="223" t="s">
        <v>191</v>
      </c>
    </row>
    <row r="156" spans="1:17">
      <c r="A156" s="166" t="s">
        <v>182</v>
      </c>
      <c r="B156" s="166">
        <v>2005</v>
      </c>
      <c r="D156" s="166">
        <v>2006</v>
      </c>
      <c r="F156" s="166">
        <v>2007</v>
      </c>
      <c r="H156" s="166">
        <v>2008</v>
      </c>
      <c r="K156" s="166">
        <v>2009</v>
      </c>
      <c r="M156" s="166">
        <v>2010</v>
      </c>
      <c r="O156" s="166">
        <v>2011</v>
      </c>
      <c r="Q156" s="166">
        <v>2012</v>
      </c>
    </row>
    <row r="157" spans="1:17">
      <c r="A157" s="166" t="s">
        <v>192</v>
      </c>
      <c r="B157" s="166">
        <f>806*B153</f>
        <v>1511.4690504256712</v>
      </c>
      <c r="C157" s="166">
        <f>806*C153</f>
        <v>0</v>
      </c>
      <c r="D157" s="166">
        <f>806*D153</f>
        <v>1538.4632704236503</v>
      </c>
      <c r="E157" s="166">
        <f>806*E153</f>
        <v>0</v>
      </c>
      <c r="F157" s="166">
        <f>806*F153</f>
        <v>1623.7510742786985</v>
      </c>
      <c r="H157" s="166">
        <f>806*H153</f>
        <v>1932.354550697889</v>
      </c>
      <c r="K157" s="166">
        <f>806*K153</f>
        <v>2024.7352156862742</v>
      </c>
      <c r="M157" s="166">
        <f>806*M153</f>
        <v>1930.8608298643749</v>
      </c>
      <c r="O157" s="166">
        <f>806*O153</f>
        <v>2179.7436976118934</v>
      </c>
      <c r="Q157" s="166">
        <f>806*Q153</f>
        <v>2773.7534423649749</v>
      </c>
    </row>
    <row r="158" spans="1:17">
      <c r="A158" s="166" t="s">
        <v>183</v>
      </c>
      <c r="B158" s="166">
        <f>B157-B147</f>
        <v>-104.87607072691549</v>
      </c>
      <c r="C158" s="166">
        <f>C157-C147</f>
        <v>-960</v>
      </c>
      <c r="D158" s="166">
        <f>D157-D147</f>
        <v>-89.603906559324287</v>
      </c>
      <c r="E158" s="166">
        <f>E157-E147</f>
        <v>-960</v>
      </c>
      <c r="F158" s="166">
        <f>F157-F147</f>
        <v>-41.351749539594948</v>
      </c>
      <c r="H158" s="166">
        <f>H157-H147</f>
        <v>133.24277309955005</v>
      </c>
      <c r="K158" s="166">
        <f>K157-K147</f>
        <v>185.50776470588221</v>
      </c>
      <c r="M158" s="166">
        <f>M157-M147</f>
        <v>132.39769034510527</v>
      </c>
      <c r="O158" s="166">
        <f>O157-O147</f>
        <v>273.20487110548811</v>
      </c>
      <c r="Q158" s="166">
        <f>Q157-Q147</f>
        <v>609.26993761591621</v>
      </c>
    </row>
    <row r="159" spans="1:17">
      <c r="A159" s="166" t="s">
        <v>184</v>
      </c>
      <c r="B159" s="217" t="s">
        <v>185</v>
      </c>
      <c r="C159" s="217"/>
      <c r="D159" s="217" t="s">
        <v>185</v>
      </c>
      <c r="E159" s="217"/>
      <c r="F159" s="217" t="s">
        <v>187</v>
      </c>
      <c r="G159" s="217"/>
      <c r="H159" s="217" t="s">
        <v>186</v>
      </c>
      <c r="I159" s="217"/>
      <c r="J159" s="217"/>
      <c r="K159" s="217" t="s">
        <v>186</v>
      </c>
      <c r="L159" s="217"/>
      <c r="M159" s="217" t="s">
        <v>186</v>
      </c>
      <c r="N159" s="217"/>
      <c r="O159" s="217" t="s">
        <v>186</v>
      </c>
    </row>
    <row r="160" spans="1:17">
      <c r="A160" s="166" t="s">
        <v>190</v>
      </c>
      <c r="B160" s="166">
        <v>1.8752717747216765</v>
      </c>
      <c r="D160" s="166">
        <v>1.9087633628084992</v>
      </c>
      <c r="F160" s="166">
        <v>2.0145794966236954</v>
      </c>
      <c r="H160" s="166">
        <v>2.3974622217095396</v>
      </c>
      <c r="K160" s="166">
        <v>2.5120784313725486</v>
      </c>
      <c r="M160" s="166">
        <v>2.3956089700550556</v>
      </c>
      <c r="O160" s="166">
        <v>2.704396647161158</v>
      </c>
      <c r="Q160" s="166">
        <v>3.2990262901655307</v>
      </c>
    </row>
    <row r="163" spans="1:17">
      <c r="A163" s="222" t="s">
        <v>193</v>
      </c>
      <c r="H163" s="166" t="s">
        <v>180</v>
      </c>
    </row>
    <row r="164" spans="1:17">
      <c r="A164" s="223" t="s">
        <v>181</v>
      </c>
    </row>
    <row r="165" spans="1:17">
      <c r="A165" s="166" t="s">
        <v>182</v>
      </c>
      <c r="B165" s="166">
        <v>2005</v>
      </c>
      <c r="D165" s="166">
        <v>2006</v>
      </c>
      <c r="F165" s="166">
        <v>2007</v>
      </c>
      <c r="H165" s="166">
        <v>2008</v>
      </c>
      <c r="K165" s="166">
        <v>2009</v>
      </c>
      <c r="M165" s="166">
        <v>2010</v>
      </c>
      <c r="O165" s="166">
        <v>2011</v>
      </c>
      <c r="P165" s="166" t="s">
        <v>140</v>
      </c>
      <c r="Q165" s="166">
        <v>2012</v>
      </c>
    </row>
    <row r="166" spans="1:17">
      <c r="A166" s="166" t="s">
        <v>43</v>
      </c>
      <c r="B166" s="166">
        <f>350*B32+150</f>
        <v>807.65</v>
      </c>
      <c r="C166" s="166">
        <f>350*C32+150</f>
        <v>150</v>
      </c>
      <c r="D166" s="166">
        <f>350*D32+150</f>
        <v>832.15</v>
      </c>
      <c r="E166" s="166">
        <f>350*E32+150</f>
        <v>150</v>
      </c>
      <c r="F166" s="166">
        <f>350*F32+150</f>
        <v>884.65000000000009</v>
      </c>
      <c r="H166" s="166">
        <f>350*H32+150</f>
        <v>1101.6500000000001</v>
      </c>
      <c r="K166" s="166">
        <f>350*K32+150</f>
        <v>937.15000000000009</v>
      </c>
      <c r="M166" s="166">
        <f>350*M32+150</f>
        <v>1042.1500000000001</v>
      </c>
      <c r="O166" s="166">
        <f>350*O32+150</f>
        <v>1199.6500000000001</v>
      </c>
      <c r="Q166" s="166">
        <f>350*B55+150</f>
        <v>1374.65</v>
      </c>
    </row>
    <row r="167" spans="1:17">
      <c r="A167" s="166" t="s">
        <v>41</v>
      </c>
      <c r="B167" s="166">
        <v>810</v>
      </c>
      <c r="C167" s="166">
        <v>810</v>
      </c>
      <c r="D167" s="166">
        <v>810</v>
      </c>
      <c r="E167" s="166">
        <v>810</v>
      </c>
      <c r="F167" s="166">
        <v>810</v>
      </c>
      <c r="H167" s="166">
        <v>810</v>
      </c>
      <c r="K167" s="166">
        <v>810</v>
      </c>
      <c r="M167" s="166">
        <v>810</v>
      </c>
      <c r="O167" s="166">
        <v>810</v>
      </c>
      <c r="Q167" s="166">
        <v>810</v>
      </c>
    </row>
    <row r="168" spans="1:17">
      <c r="A168" s="166" t="s">
        <v>79</v>
      </c>
      <c r="B168" s="166">
        <f>SUM(B166:B167)</f>
        <v>1617.65</v>
      </c>
      <c r="C168" s="166">
        <f>SUM(C166:C167)</f>
        <v>960</v>
      </c>
      <c r="D168" s="166">
        <f>SUM(D166:D167)</f>
        <v>1642.15</v>
      </c>
      <c r="E168" s="166">
        <f>SUM(E166:E167)</f>
        <v>960</v>
      </c>
      <c r="F168" s="166">
        <f>SUM(F166:F167)</f>
        <v>1694.65</v>
      </c>
      <c r="H168" s="166">
        <f>SUM(H166:H167)</f>
        <v>1911.65</v>
      </c>
      <c r="K168" s="166">
        <f>SUM(K166:K167)</f>
        <v>1747.15</v>
      </c>
      <c r="M168" s="166">
        <f>SUM(M166:M167)</f>
        <v>1852.15</v>
      </c>
      <c r="O168" s="166">
        <f>SUM(O166:O167)</f>
        <v>2009.65</v>
      </c>
      <c r="Q168" s="166">
        <f>SUM(Q166:Q167)</f>
        <v>2184.65</v>
      </c>
    </row>
    <row r="169" spans="1:17">
      <c r="A169" s="166" t="s">
        <v>183</v>
      </c>
      <c r="B169" s="166">
        <f>B172-B168</f>
        <v>-185.88000000000011</v>
      </c>
      <c r="C169" s="166">
        <f>C29-C168</f>
        <v>-960</v>
      </c>
      <c r="D169" s="166">
        <f>D172-D168</f>
        <v>-195.88000000000011</v>
      </c>
      <c r="E169" s="166">
        <f>E29-E168</f>
        <v>-960</v>
      </c>
      <c r="F169" s="166">
        <f>F172-F168</f>
        <v>274.40000000000009</v>
      </c>
      <c r="H169" s="166">
        <f>H172-H168</f>
        <v>166.71000000000004</v>
      </c>
      <c r="K169" s="166">
        <f>K172-K168</f>
        <v>174.58999999999969</v>
      </c>
      <c r="M169" s="166">
        <f>M172-M168</f>
        <v>-68.1400000000001</v>
      </c>
      <c r="O169" s="166">
        <f>O172-O168</f>
        <v>8.1399999999998727</v>
      </c>
      <c r="Q169" s="166">
        <f>Q172-Q168</f>
        <v>-2184.65</v>
      </c>
    </row>
    <row r="170" spans="1:17">
      <c r="A170" s="166" t="s">
        <v>184</v>
      </c>
      <c r="B170" s="217" t="s">
        <v>185</v>
      </c>
      <c r="C170" s="217"/>
      <c r="D170" s="217" t="s">
        <v>185</v>
      </c>
      <c r="E170" s="217"/>
      <c r="F170" s="217" t="s">
        <v>186</v>
      </c>
      <c r="G170" s="217"/>
      <c r="H170" s="217" t="s">
        <v>185</v>
      </c>
      <c r="I170" s="217"/>
      <c r="J170" s="217"/>
      <c r="K170" s="217" t="s">
        <v>186</v>
      </c>
      <c r="L170" s="217"/>
      <c r="M170" s="217" t="s">
        <v>187</v>
      </c>
      <c r="N170" s="217"/>
      <c r="O170" s="217" t="s">
        <v>186</v>
      </c>
    </row>
    <row r="172" spans="1:17">
      <c r="A172" s="166" t="s">
        <v>188</v>
      </c>
      <c r="B172" s="166">
        <v>1431.77</v>
      </c>
      <c r="D172" s="166">
        <v>1446.27</v>
      </c>
      <c r="F172" s="166">
        <v>1969.0500000000002</v>
      </c>
      <c r="H172" s="166">
        <v>2078.36</v>
      </c>
      <c r="K172" s="166">
        <v>1921.7399999999998</v>
      </c>
      <c r="M172" s="166">
        <v>1784.01</v>
      </c>
      <c r="O172" s="166">
        <v>2017.79</v>
      </c>
      <c r="Q172" s="166">
        <v>0</v>
      </c>
    </row>
    <row r="173" spans="1:17">
      <c r="A173" s="166" t="s">
        <v>189</v>
      </c>
      <c r="B173" s="166">
        <f>316.3+71.1+210+166.1</f>
        <v>763.5</v>
      </c>
      <c r="D173" s="166">
        <f>122.1+142.7+118.3+52.4+85.2+128.8+108.2</f>
        <v>757.7</v>
      </c>
      <c r="F173" s="166">
        <f>149.4+200.8+105.3+94.6+132.4+168.7+126.2</f>
        <v>977.40000000000009</v>
      </c>
      <c r="H173" s="166">
        <f>149.2+147.5+123.3+74.2+103+146.1+123.6</f>
        <v>866.90000000000009</v>
      </c>
      <c r="K173" s="166">
        <f>165.5+132.6+90.8+39.3+109.3+127+100.5</f>
        <v>765</v>
      </c>
      <c r="M173" s="166">
        <f>144.9+116.7+84+35.2+99.9+126.1+137.9</f>
        <v>744.7</v>
      </c>
      <c r="O173" s="166">
        <f>141.1+130.2+85.2+41+74+92.3+68.5</f>
        <v>632.29999999999995</v>
      </c>
    </row>
    <row r="174" spans="1:17">
      <c r="A174" s="166" t="s">
        <v>194</v>
      </c>
      <c r="B174" s="166">
        <v>1.879</v>
      </c>
      <c r="D174" s="166">
        <v>1.9490000000000001</v>
      </c>
      <c r="F174" s="166">
        <v>2.0990000000000002</v>
      </c>
      <c r="H174" s="166">
        <v>2.7189999999999999</v>
      </c>
      <c r="K174" s="166">
        <v>2.2490000000000001</v>
      </c>
      <c r="M174" s="166">
        <v>2.5489999999999999</v>
      </c>
      <c r="O174" s="166">
        <v>2.9990000000000001</v>
      </c>
      <c r="Q174" s="166">
        <v>3.4998999999999998</v>
      </c>
    </row>
    <row r="176" spans="1:17">
      <c r="A176" s="223" t="s">
        <v>191</v>
      </c>
    </row>
    <row r="177" spans="1:17">
      <c r="A177" s="166" t="s">
        <v>182</v>
      </c>
      <c r="B177" s="166">
        <v>2005</v>
      </c>
      <c r="D177" s="166">
        <v>2006</v>
      </c>
      <c r="F177" s="166">
        <v>2007</v>
      </c>
      <c r="H177" s="166">
        <v>2008</v>
      </c>
      <c r="K177" s="166">
        <v>2009</v>
      </c>
      <c r="M177" s="166">
        <v>2010</v>
      </c>
      <c r="O177" s="166">
        <v>2011</v>
      </c>
      <c r="Q177" s="166">
        <v>2012</v>
      </c>
    </row>
    <row r="178" spans="1:17">
      <c r="A178" s="166" t="s">
        <v>192</v>
      </c>
      <c r="B178" s="166">
        <f>806*B174</f>
        <v>1514.4739999999999</v>
      </c>
      <c r="C178" s="166">
        <f>806*C174</f>
        <v>0</v>
      </c>
      <c r="D178" s="166">
        <f>806*D174</f>
        <v>1570.894</v>
      </c>
      <c r="E178" s="166">
        <f>806*E174</f>
        <v>0</v>
      </c>
      <c r="F178" s="166">
        <f>806*F174</f>
        <v>1691.7940000000001</v>
      </c>
      <c r="H178" s="166">
        <f>806*H174</f>
        <v>2191.5139999999997</v>
      </c>
      <c r="K178" s="166">
        <f>806*K174</f>
        <v>1812.6940000000002</v>
      </c>
      <c r="M178" s="166">
        <f>806*M174</f>
        <v>2054.4940000000001</v>
      </c>
      <c r="O178" s="166">
        <f>806*O174</f>
        <v>2417.194</v>
      </c>
      <c r="Q178" s="166">
        <f>806*Q174</f>
        <v>2820.9193999999998</v>
      </c>
    </row>
    <row r="179" spans="1:17">
      <c r="A179" s="166" t="s">
        <v>183</v>
      </c>
      <c r="B179" s="166">
        <f>B178-B168</f>
        <v>-103.17600000000016</v>
      </c>
      <c r="C179" s="166">
        <f>C178-C168</f>
        <v>-960</v>
      </c>
      <c r="D179" s="166">
        <f>D178-D168</f>
        <v>-71.256000000000085</v>
      </c>
      <c r="E179" s="166">
        <f>E178-E168</f>
        <v>-960</v>
      </c>
      <c r="F179" s="166">
        <f>F178-F168</f>
        <v>-2.8559999999999945</v>
      </c>
      <c r="H179" s="166">
        <f>H178-H168</f>
        <v>279.86399999999958</v>
      </c>
      <c r="K179" s="166">
        <f>K178-K168</f>
        <v>65.544000000000096</v>
      </c>
      <c r="M179" s="166">
        <f>M178-M168</f>
        <v>202.34400000000005</v>
      </c>
      <c r="O179" s="166">
        <f>O178-O168</f>
        <v>407.54399999999987</v>
      </c>
      <c r="Q179" s="166">
        <f>Q178-Q168</f>
        <v>636.26939999999968</v>
      </c>
    </row>
    <row r="180" spans="1:17">
      <c r="A180" s="166" t="s">
        <v>184</v>
      </c>
      <c r="B180" s="217" t="s">
        <v>185</v>
      </c>
      <c r="C180" s="217"/>
      <c r="D180" s="217" t="s">
        <v>185</v>
      </c>
      <c r="E180" s="217"/>
      <c r="F180" s="217" t="s">
        <v>187</v>
      </c>
      <c r="G180" s="217"/>
      <c r="H180" s="217" t="s">
        <v>186</v>
      </c>
      <c r="I180" s="217"/>
      <c r="J180" s="217"/>
      <c r="K180" s="217" t="s">
        <v>186</v>
      </c>
      <c r="L180" s="217"/>
      <c r="M180" s="217" t="s">
        <v>186</v>
      </c>
      <c r="N180" s="217"/>
      <c r="O180" s="217" t="s">
        <v>186</v>
      </c>
      <c r="Q180" s="217" t="s">
        <v>186</v>
      </c>
    </row>
    <row r="181" spans="1:17">
      <c r="A181" s="166" t="s">
        <v>194</v>
      </c>
      <c r="B181" s="166">
        <v>1.879</v>
      </c>
      <c r="D181" s="166">
        <v>1.9490000000000001</v>
      </c>
      <c r="F181" s="166">
        <v>2.0990000000000002</v>
      </c>
      <c r="H181" s="166">
        <v>2.7189999999999999</v>
      </c>
      <c r="K181" s="166">
        <v>2.2490000000000001</v>
      </c>
      <c r="M181" s="166">
        <v>2.5489999999999999</v>
      </c>
      <c r="O181" s="166">
        <v>2.9990000000000001</v>
      </c>
      <c r="Q181" s="166">
        <v>3.5998999999999999</v>
      </c>
    </row>
    <row r="184" spans="1:17" ht="15.75">
      <c r="A184" s="165" t="s">
        <v>195</v>
      </c>
    </row>
    <row r="185" spans="1:17" ht="15.75">
      <c r="A185" s="165" t="s">
        <v>196</v>
      </c>
    </row>
    <row r="186" spans="1:17" ht="15.75">
      <c r="A186" s="165" t="s">
        <v>197</v>
      </c>
    </row>
    <row r="196" spans="40:40">
      <c r="AN196" s="229" t="s">
        <v>207</v>
      </c>
    </row>
    <row r="198" spans="40:40">
      <c r="AN198" s="232">
        <f>AN199+Y119</f>
        <v>1995.2386348040241</v>
      </c>
    </row>
    <row r="199" spans="40:40">
      <c r="AN199" s="232">
        <f>AN200+Y120</f>
        <v>1457.386842344225</v>
      </c>
    </row>
    <row r="200" spans="40:40">
      <c r="AN200" s="232">
        <f>AN201+Y121</f>
        <v>995.31536749499082</v>
      </c>
    </row>
    <row r="201" spans="40:40">
      <c r="AN201" s="232">
        <f>Y122</f>
        <v>180.92844061363303</v>
      </c>
    </row>
    <row r="218" spans="1:20">
      <c r="A218" s="168"/>
      <c r="O218" s="236"/>
      <c r="P218" s="170"/>
    </row>
    <row r="219" spans="1:20">
      <c r="A219" s="168"/>
      <c r="O219" s="221"/>
      <c r="S219" s="238"/>
      <c r="T219" s="238"/>
    </row>
    <row r="220" spans="1:20">
      <c r="A220" s="168" t="s">
        <v>219</v>
      </c>
      <c r="K220" s="166" t="s">
        <v>220</v>
      </c>
      <c r="M220" s="166" t="s">
        <v>221</v>
      </c>
      <c r="O220" s="166" t="s">
        <v>176</v>
      </c>
    </row>
    <row r="221" spans="1:20">
      <c r="A221" s="168"/>
      <c r="D221" s="166" t="s">
        <v>222</v>
      </c>
      <c r="K221" s="166">
        <v>110</v>
      </c>
      <c r="M221" s="166">
        <v>75</v>
      </c>
    </row>
    <row r="222" spans="1:20">
      <c r="A222" s="168"/>
      <c r="D222" s="166" t="s">
        <v>223</v>
      </c>
      <c r="K222" s="239">
        <f>7*L222</f>
        <v>210</v>
      </c>
      <c r="L222" s="166">
        <v>30</v>
      </c>
      <c r="M222" s="239">
        <f>7*N222</f>
        <v>210</v>
      </c>
      <c r="N222" s="166">
        <v>30</v>
      </c>
    </row>
    <row r="223" spans="1:20">
      <c r="A223" s="168"/>
      <c r="K223" s="239"/>
      <c r="M223" s="239"/>
    </row>
    <row r="224" spans="1:20" ht="13.5" thickBot="1">
      <c r="A224" s="168"/>
      <c r="K224" s="214">
        <f>K221+K222</f>
        <v>320</v>
      </c>
      <c r="M224" s="214">
        <f>M221+M222</f>
        <v>285</v>
      </c>
      <c r="O224" s="166" t="s">
        <v>224</v>
      </c>
    </row>
    <row r="225" spans="1:15" ht="13.5" thickTop="1">
      <c r="A225" s="168"/>
      <c r="F225" s="166" t="s">
        <v>225</v>
      </c>
      <c r="K225" s="240">
        <f>3*K224+150</f>
        <v>1110</v>
      </c>
      <c r="M225" s="240">
        <f>3*M224+150</f>
        <v>1005</v>
      </c>
      <c r="N225" s="166" t="s">
        <v>226</v>
      </c>
    </row>
    <row r="227" spans="1:15">
      <c r="D227" s="166" t="s">
        <v>227</v>
      </c>
      <c r="K227" s="240">
        <v>810</v>
      </c>
      <c r="M227" s="240">
        <v>810</v>
      </c>
      <c r="O227" s="168" t="s">
        <v>228</v>
      </c>
    </row>
    <row r="228" spans="1:15" ht="13.5" thickBot="1">
      <c r="E228" s="170" t="s">
        <v>229</v>
      </c>
      <c r="F228" s="170"/>
      <c r="G228" s="170"/>
      <c r="H228" s="170"/>
      <c r="I228" s="170"/>
      <c r="J228" s="170"/>
      <c r="K228" s="241">
        <f>K225+K227</f>
        <v>1920</v>
      </c>
      <c r="L228" s="170"/>
      <c r="M228" s="241">
        <f>M225+M227</f>
        <v>1815</v>
      </c>
    </row>
    <row r="229" spans="1:15" ht="13.5" thickTop="1"/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1"/>
  <sheetViews>
    <sheetView topLeftCell="A42" zoomScaleNormal="100" workbookViewId="0">
      <selection activeCell="E20" sqref="E20"/>
    </sheetView>
  </sheetViews>
  <sheetFormatPr defaultRowHeight="12.75"/>
  <cols>
    <col min="1" max="1" width="16.5703125" customWidth="1"/>
    <col min="2" max="2" width="14.28515625" customWidth="1"/>
    <col min="3" max="3" width="15.42578125" customWidth="1"/>
    <col min="4" max="4" width="14.5703125" customWidth="1"/>
    <col min="5" max="5" width="15.5703125" customWidth="1"/>
    <col min="6" max="6" width="15.28515625" customWidth="1"/>
    <col min="7" max="7" width="13.42578125" customWidth="1"/>
    <col min="8" max="8" width="12.42578125" customWidth="1"/>
    <col min="9" max="9" width="12.7109375" customWidth="1"/>
    <col min="11" max="11" width="10.28515625" customWidth="1"/>
    <col min="12" max="12" width="4.42578125" customWidth="1"/>
    <col min="13" max="13" width="18" customWidth="1"/>
    <col min="14" max="14" width="17.140625" customWidth="1"/>
    <col min="15" max="15" width="15.140625" customWidth="1"/>
    <col min="16" max="16" width="14.5703125" customWidth="1"/>
  </cols>
  <sheetData>
    <row r="1" spans="1:9" ht="15.75">
      <c r="A1" s="13" t="s">
        <v>808</v>
      </c>
    </row>
    <row r="2" spans="1:9" ht="15.75">
      <c r="A2" s="14" t="s">
        <v>69</v>
      </c>
      <c r="B2" s="14" t="s">
        <v>70</v>
      </c>
    </row>
    <row r="3" spans="1:9" s="16" customFormat="1" ht="15.75">
      <c r="C3" s="14"/>
      <c r="D3" s="14"/>
      <c r="E3" s="14"/>
      <c r="F3" s="14"/>
      <c r="G3" s="15"/>
    </row>
    <row r="4" spans="1:9">
      <c r="A4" t="s">
        <v>650</v>
      </c>
    </row>
    <row r="5" spans="1:9">
      <c r="B5" s="5" t="s">
        <v>71</v>
      </c>
      <c r="C5" s="5" t="s">
        <v>72</v>
      </c>
      <c r="D5" s="5" t="s">
        <v>73</v>
      </c>
      <c r="E5" s="5" t="s">
        <v>74</v>
      </c>
      <c r="F5" s="5" t="s">
        <v>75</v>
      </c>
      <c r="G5" s="5" t="s">
        <v>76</v>
      </c>
      <c r="H5" s="5" t="s">
        <v>77</v>
      </c>
      <c r="I5" s="5" t="s">
        <v>78</v>
      </c>
    </row>
    <row r="6" spans="1:9">
      <c r="A6" s="6" t="s">
        <v>6</v>
      </c>
      <c r="B6" s="17">
        <f>Jan!B4</f>
        <v>6679.56</v>
      </c>
      <c r="C6" s="18">
        <f t="shared" ref="C6:C19" si="0">0.1*B6</f>
        <v>667.95600000000013</v>
      </c>
      <c r="D6">
        <f>B42</f>
        <v>750</v>
      </c>
      <c r="E6">
        <f>C6-D6</f>
        <v>-82.043999999999869</v>
      </c>
      <c r="F6" s="19">
        <f t="shared" ref="F6:F17" si="1">D6/B6</f>
        <v>0.11228284497781291</v>
      </c>
      <c r="G6" s="18">
        <f>B6</f>
        <v>6679.56</v>
      </c>
      <c r="H6" s="121">
        <f>D6</f>
        <v>750</v>
      </c>
      <c r="I6" s="19">
        <f t="shared" ref="I6:I17" si="2">H6/G6</f>
        <v>0.11228284497781291</v>
      </c>
    </row>
    <row r="7" spans="1:9">
      <c r="A7" s="6" t="s">
        <v>7</v>
      </c>
      <c r="B7" s="18">
        <f>Feb!$B$4</f>
        <v>6679.55</v>
      </c>
      <c r="C7" s="18">
        <f t="shared" si="0"/>
        <v>667.95500000000004</v>
      </c>
      <c r="D7">
        <f>B55</f>
        <v>750</v>
      </c>
      <c r="E7">
        <f t="shared" ref="E7:E17" si="3">E6+C7-D7</f>
        <v>-164.08899999999983</v>
      </c>
      <c r="F7" s="19">
        <f t="shared" si="1"/>
        <v>0.11228301307722825</v>
      </c>
      <c r="G7" s="20">
        <f t="shared" ref="G7:G17" si="4">G6+B7</f>
        <v>13359.11</v>
      </c>
      <c r="H7" s="121">
        <f t="shared" ref="H7:H17" si="5">H6+D7</f>
        <v>1500</v>
      </c>
      <c r="I7" s="19">
        <f t="shared" si="2"/>
        <v>0.11228292902745766</v>
      </c>
    </row>
    <row r="8" spans="1:9">
      <c r="A8" s="6" t="s">
        <v>8</v>
      </c>
      <c r="B8" s="18">
        <f>Mar!$B$4</f>
        <v>24320.010000000002</v>
      </c>
      <c r="C8" s="18">
        <f t="shared" si="0"/>
        <v>2432.0010000000002</v>
      </c>
      <c r="D8">
        <f>B68</f>
        <v>1050</v>
      </c>
      <c r="E8">
        <f t="shared" si="3"/>
        <v>1217.9120000000003</v>
      </c>
      <c r="F8" s="19">
        <f t="shared" si="1"/>
        <v>4.3174324352662677E-2</v>
      </c>
      <c r="G8" s="20">
        <f t="shared" si="4"/>
        <v>37679.120000000003</v>
      </c>
      <c r="H8" s="121">
        <f t="shared" si="5"/>
        <v>2550</v>
      </c>
      <c r="I8" s="19">
        <f t="shared" si="2"/>
        <v>6.7676739796470819E-2</v>
      </c>
    </row>
    <row r="9" spans="1:9">
      <c r="A9" s="6" t="s">
        <v>9</v>
      </c>
      <c r="B9" s="18">
        <f>Apr!$B$4</f>
        <v>19290.239999999998</v>
      </c>
      <c r="C9" s="18">
        <f t="shared" si="0"/>
        <v>1929.0239999999999</v>
      </c>
      <c r="D9">
        <f>B82</f>
        <v>550</v>
      </c>
      <c r="E9">
        <f t="shared" si="3"/>
        <v>2596.9360000000001</v>
      </c>
      <c r="F9" s="19">
        <f t="shared" si="1"/>
        <v>2.851182774294151E-2</v>
      </c>
      <c r="G9" s="20">
        <f t="shared" si="4"/>
        <v>56969.36</v>
      </c>
      <c r="H9" s="121">
        <f t="shared" si="5"/>
        <v>3100</v>
      </c>
      <c r="I9" s="19">
        <f t="shared" si="2"/>
        <v>5.4415215477231972E-2</v>
      </c>
    </row>
    <row r="10" spans="1:9">
      <c r="A10" s="6" t="s">
        <v>10</v>
      </c>
      <c r="B10" s="18">
        <f>May!$B$4</f>
        <v>9440.36</v>
      </c>
      <c r="C10" s="18">
        <f t="shared" si="0"/>
        <v>944.03600000000006</v>
      </c>
      <c r="D10">
        <f>B97</f>
        <v>350</v>
      </c>
      <c r="E10">
        <f t="shared" si="3"/>
        <v>3190.9720000000002</v>
      </c>
      <c r="F10" s="19">
        <f t="shared" si="1"/>
        <v>3.7074857314763419E-2</v>
      </c>
      <c r="G10" s="20">
        <f t="shared" si="4"/>
        <v>66409.72</v>
      </c>
      <c r="H10" s="121">
        <f t="shared" si="5"/>
        <v>3450</v>
      </c>
      <c r="I10" s="19">
        <f t="shared" si="2"/>
        <v>5.1950226563219959E-2</v>
      </c>
    </row>
    <row r="11" spans="1:9">
      <c r="A11" s="6" t="s">
        <v>11</v>
      </c>
      <c r="B11" s="18">
        <f>Jun!$B$4</f>
        <v>12177.05</v>
      </c>
      <c r="C11" s="18">
        <f t="shared" si="0"/>
        <v>1217.7049999999999</v>
      </c>
      <c r="D11">
        <f>B111</f>
        <v>1050</v>
      </c>
      <c r="E11">
        <f t="shared" si="3"/>
        <v>3358.6769999999997</v>
      </c>
      <c r="F11" s="19">
        <f t="shared" si="1"/>
        <v>8.6227780948587712E-2</v>
      </c>
      <c r="G11" s="20">
        <f t="shared" si="4"/>
        <v>78586.77</v>
      </c>
      <c r="H11" s="121">
        <f t="shared" si="5"/>
        <v>4500</v>
      </c>
      <c r="I11" s="19">
        <f t="shared" si="2"/>
        <v>5.7261546695455225E-2</v>
      </c>
    </row>
    <row r="12" spans="1:9">
      <c r="A12" s="6" t="s">
        <v>12</v>
      </c>
      <c r="B12" s="18">
        <f>July!$B$4</f>
        <v>15968.92</v>
      </c>
      <c r="C12" s="18">
        <f t="shared" si="0"/>
        <v>1596.8920000000001</v>
      </c>
      <c r="D12">
        <f>B125</f>
        <v>750</v>
      </c>
      <c r="E12">
        <f t="shared" si="3"/>
        <v>4205.5689999999995</v>
      </c>
      <c r="F12" s="19">
        <f t="shared" si="1"/>
        <v>4.6966231905476385E-2</v>
      </c>
      <c r="G12" s="20">
        <f t="shared" si="4"/>
        <v>94555.69</v>
      </c>
      <c r="H12" s="121">
        <f t="shared" si="5"/>
        <v>5250</v>
      </c>
      <c r="I12" s="19">
        <f t="shared" si="2"/>
        <v>5.5522835273054426E-2</v>
      </c>
    </row>
    <row r="13" spans="1:9">
      <c r="A13" s="6" t="s">
        <v>13</v>
      </c>
      <c r="B13" s="18">
        <f>Aug!$B$4</f>
        <v>7904.18</v>
      </c>
      <c r="C13" s="18">
        <f t="shared" si="0"/>
        <v>790.41800000000012</v>
      </c>
      <c r="D13">
        <f>B138</f>
        <v>1397.51</v>
      </c>
      <c r="E13">
        <f t="shared" si="3"/>
        <v>3598.476999999999</v>
      </c>
      <c r="F13" s="19">
        <f t="shared" si="1"/>
        <v>0.17680644924584207</v>
      </c>
      <c r="G13" s="20">
        <f t="shared" si="4"/>
        <v>102459.87</v>
      </c>
      <c r="H13" s="121">
        <f t="shared" si="5"/>
        <v>6647.51</v>
      </c>
      <c r="I13" s="19">
        <f t="shared" si="2"/>
        <v>6.4879157078766556E-2</v>
      </c>
    </row>
    <row r="14" spans="1:9">
      <c r="A14" s="6" t="s">
        <v>14</v>
      </c>
      <c r="B14" s="18">
        <f>Sep!$B$4</f>
        <v>11605.72</v>
      </c>
      <c r="C14" s="18">
        <f t="shared" si="0"/>
        <v>1160.5719999999999</v>
      </c>
      <c r="D14">
        <f>B152</f>
        <v>1450</v>
      </c>
      <c r="E14">
        <f t="shared" si="3"/>
        <v>3309.0489999999991</v>
      </c>
      <c r="F14" s="19">
        <f t="shared" si="1"/>
        <v>0.12493839244786192</v>
      </c>
      <c r="G14" s="20">
        <f t="shared" si="4"/>
        <v>114065.59</v>
      </c>
      <c r="H14" s="121">
        <f t="shared" si="5"/>
        <v>8097.51</v>
      </c>
      <c r="I14" s="19">
        <f t="shared" si="2"/>
        <v>7.0989945346357303E-2</v>
      </c>
    </row>
    <row r="15" spans="1:9">
      <c r="A15" s="6" t="s">
        <v>15</v>
      </c>
      <c r="B15" s="18">
        <f>Oct!$B$4-432502.12</f>
        <v>7404.2999999999884</v>
      </c>
      <c r="C15" s="18">
        <f t="shared" si="0"/>
        <v>740.42999999999893</v>
      </c>
      <c r="D15">
        <f>B167</f>
        <v>1250</v>
      </c>
      <c r="E15">
        <f t="shared" si="3"/>
        <v>2799.478999999998</v>
      </c>
      <c r="F15" s="19">
        <f t="shared" si="1"/>
        <v>0.16882082033413043</v>
      </c>
      <c r="G15" s="20">
        <f t="shared" si="4"/>
        <v>121469.88999999998</v>
      </c>
      <c r="H15" s="121">
        <f t="shared" si="5"/>
        <v>9347.51</v>
      </c>
      <c r="I15" s="19">
        <f t="shared" si="2"/>
        <v>7.6953309169869186E-2</v>
      </c>
    </row>
    <row r="16" spans="1:9">
      <c r="A16" s="6" t="s">
        <v>16</v>
      </c>
      <c r="B16" s="18">
        <f>Nov!$B$4-30250</f>
        <v>11499.309999999998</v>
      </c>
      <c r="C16" s="18">
        <f t="shared" si="0"/>
        <v>1149.9309999999998</v>
      </c>
      <c r="D16">
        <f>B182</f>
        <v>1850</v>
      </c>
      <c r="E16">
        <f t="shared" si="3"/>
        <v>2099.409999999998</v>
      </c>
      <c r="F16" s="19">
        <f t="shared" si="1"/>
        <v>0.16087921797046956</v>
      </c>
      <c r="G16" s="20">
        <f t="shared" si="4"/>
        <v>132969.19999999998</v>
      </c>
      <c r="H16" s="121">
        <f t="shared" si="5"/>
        <v>11197.51</v>
      </c>
      <c r="I16" s="19">
        <f t="shared" si="2"/>
        <v>8.4211306076896017E-2</v>
      </c>
    </row>
    <row r="17" spans="1:9">
      <c r="A17" s="6" t="s">
        <v>17</v>
      </c>
      <c r="B17" s="18">
        <f>Dec!$B$4</f>
        <v>13267.8</v>
      </c>
      <c r="C17" s="18">
        <f t="shared" si="0"/>
        <v>1326.78</v>
      </c>
      <c r="D17">
        <f>B197</f>
        <v>6450</v>
      </c>
      <c r="E17">
        <f t="shared" si="3"/>
        <v>-3023.8100000000022</v>
      </c>
      <c r="F17" s="19">
        <f t="shared" si="1"/>
        <v>0.48613937502826393</v>
      </c>
      <c r="G17" s="20">
        <f t="shared" si="4"/>
        <v>146236.99999999997</v>
      </c>
      <c r="H17" s="121">
        <f t="shared" si="5"/>
        <v>17647.510000000002</v>
      </c>
      <c r="I17" s="19">
        <f t="shared" si="2"/>
        <v>0.12067746192823982</v>
      </c>
    </row>
    <row r="18" spans="1:9">
      <c r="A18" s="345" t="s">
        <v>648</v>
      </c>
      <c r="B18" s="18">
        <f>3595-165</f>
        <v>3430</v>
      </c>
      <c r="C18" s="18">
        <f t="shared" si="0"/>
        <v>343</v>
      </c>
      <c r="F18" s="19"/>
      <c r="G18" s="20"/>
      <c r="H18" s="121"/>
      <c r="I18" s="19"/>
    </row>
    <row r="19" spans="1:9">
      <c r="A19" s="345" t="s">
        <v>649</v>
      </c>
      <c r="B19" s="18">
        <f>1099</f>
        <v>1099</v>
      </c>
      <c r="C19" s="18">
        <f t="shared" si="0"/>
        <v>109.9</v>
      </c>
      <c r="F19" s="19"/>
      <c r="G19" s="20"/>
      <c r="H19" s="121"/>
      <c r="I19" s="19"/>
    </row>
    <row r="20" spans="1:9" ht="13.5" thickBot="1"/>
    <row r="21" spans="1:9" ht="13.5" thickBot="1">
      <c r="A21" t="s">
        <v>79</v>
      </c>
      <c r="B21" s="17">
        <f>SUM(B6:B19)</f>
        <v>150765.99999999997</v>
      </c>
      <c r="C21" s="17">
        <f>SUM(C6:C19)</f>
        <v>15076.599999999999</v>
      </c>
      <c r="D21" s="462">
        <f>SUM(D6:D17)</f>
        <v>17647.510000000002</v>
      </c>
    </row>
    <row r="22" spans="1:9">
      <c r="B22" s="17"/>
      <c r="C22" s="1" t="s">
        <v>80</v>
      </c>
      <c r="D22" s="17">
        <f>D21/12</f>
        <v>1470.6258333333335</v>
      </c>
    </row>
    <row r="23" spans="1:9">
      <c r="B23" s="17"/>
      <c r="C23" s="1" t="s">
        <v>81</v>
      </c>
      <c r="D23" s="21">
        <f>D21/B21</f>
        <v>0.11705231948847887</v>
      </c>
    </row>
    <row r="25" spans="1:9">
      <c r="A25" s="22" t="s">
        <v>807</v>
      </c>
      <c r="E25" s="23" t="s">
        <v>82</v>
      </c>
      <c r="F25" s="23" t="s">
        <v>83</v>
      </c>
      <c r="G25" s="22" t="s">
        <v>84</v>
      </c>
      <c r="H25" t="s">
        <v>407</v>
      </c>
      <c r="I25" t="s">
        <v>701</v>
      </c>
    </row>
    <row r="26" spans="1:9">
      <c r="A26" t="s">
        <v>681</v>
      </c>
      <c r="E26">
        <f>12*500</f>
        <v>6000</v>
      </c>
      <c r="F26">
        <f>F42+F55+F68+F82+F97+F111+F125+F138+F152+F167+F182+F197+F188+F203</f>
        <v>13200</v>
      </c>
    </row>
    <row r="27" spans="1:9">
      <c r="A27" t="s">
        <v>85</v>
      </c>
      <c r="C27" t="s">
        <v>86</v>
      </c>
      <c r="E27">
        <f>12*50</f>
        <v>600</v>
      </c>
      <c r="F27">
        <f>F43+F56+F69+F83+F98+F112+F126+F139+F153+F168+F183+F198</f>
        <v>600</v>
      </c>
      <c r="H27" s="242">
        <v>40483</v>
      </c>
      <c r="I27" t="s">
        <v>732</v>
      </c>
    </row>
    <row r="28" spans="1:9">
      <c r="A28" t="s">
        <v>85</v>
      </c>
      <c r="C28" t="s">
        <v>397</v>
      </c>
      <c r="E28">
        <f>12*100</f>
        <v>1200</v>
      </c>
      <c r="F28">
        <f>F44+F57+F70+F84+F99+F113+F127+F140+F154+F169+F184+F199</f>
        <v>1200</v>
      </c>
      <c r="I28" t="s">
        <v>733</v>
      </c>
    </row>
    <row r="29" spans="1:9">
      <c r="A29" t="s">
        <v>87</v>
      </c>
      <c r="C29" t="s">
        <v>88</v>
      </c>
      <c r="E29">
        <v>800</v>
      </c>
      <c r="F29">
        <v>800</v>
      </c>
      <c r="H29" s="242">
        <v>39448</v>
      </c>
      <c r="I29" t="s">
        <v>734</v>
      </c>
    </row>
    <row r="30" spans="1:9">
      <c r="A30" t="s">
        <v>89</v>
      </c>
      <c r="C30" s="24"/>
      <c r="E30">
        <v>400</v>
      </c>
      <c r="F30">
        <v>400</v>
      </c>
      <c r="H30">
        <v>2001</v>
      </c>
      <c r="I30" t="s">
        <v>732</v>
      </c>
    </row>
    <row r="31" spans="1:9">
      <c r="A31" t="s">
        <v>702</v>
      </c>
      <c r="C31" t="s">
        <v>703</v>
      </c>
      <c r="E31">
        <v>400</v>
      </c>
      <c r="F31">
        <v>400</v>
      </c>
      <c r="H31" t="s">
        <v>1092</v>
      </c>
      <c r="I31" t="s">
        <v>1091</v>
      </c>
    </row>
    <row r="32" spans="1:9">
      <c r="A32" t="s">
        <v>1047</v>
      </c>
      <c r="F32">
        <v>700</v>
      </c>
      <c r="H32" s="242">
        <v>42156</v>
      </c>
      <c r="I32" t="s">
        <v>1066</v>
      </c>
    </row>
    <row r="33" spans="1:9">
      <c r="A33" t="s">
        <v>681</v>
      </c>
      <c r="C33" t="s">
        <v>1093</v>
      </c>
      <c r="F33">
        <v>300</v>
      </c>
    </row>
    <row r="34" spans="1:9">
      <c r="A34" t="s">
        <v>1303</v>
      </c>
      <c r="F34">
        <v>47.51</v>
      </c>
    </row>
    <row r="35" spans="1:9">
      <c r="E35" s="25">
        <f>SUM(E26:E31)</f>
        <v>9400</v>
      </c>
      <c r="F35" s="25">
        <f>SUM(F26:F34)</f>
        <v>17647.509999999998</v>
      </c>
    </row>
    <row r="36" spans="1:9">
      <c r="E36" s="26"/>
    </row>
    <row r="37" spans="1:9">
      <c r="A37">
        <f>SUM(E31:E31)</f>
        <v>400</v>
      </c>
      <c r="B37" t="s">
        <v>90</v>
      </c>
      <c r="E37" s="27">
        <f>E35/12</f>
        <v>783.33333333333337</v>
      </c>
      <c r="F37" s="27">
        <f>F35/12</f>
        <v>1470.6258333333333</v>
      </c>
    </row>
    <row r="38" spans="1:9">
      <c r="B38" t="s">
        <v>92</v>
      </c>
      <c r="E38" s="27">
        <f>E35/52</f>
        <v>180.76923076923077</v>
      </c>
      <c r="F38" s="27">
        <f>F35/52</f>
        <v>339.37519230769226</v>
      </c>
    </row>
    <row r="40" spans="1:9">
      <c r="A40" s="28" t="s">
        <v>93</v>
      </c>
    </row>
    <row r="41" spans="1:9">
      <c r="B41" s="5" t="s">
        <v>31</v>
      </c>
      <c r="D41" t="s">
        <v>94</v>
      </c>
      <c r="E41" t="s">
        <v>95</v>
      </c>
      <c r="F41" t="s">
        <v>96</v>
      </c>
      <c r="G41" t="s">
        <v>97</v>
      </c>
    </row>
    <row r="42" spans="1:9">
      <c r="A42" s="2" t="s">
        <v>6</v>
      </c>
      <c r="B42" s="29">
        <f>SUM(F42:F53)</f>
        <v>750</v>
      </c>
      <c r="C42" t="s">
        <v>681</v>
      </c>
      <c r="D42">
        <v>1985</v>
      </c>
      <c r="E42" s="132">
        <v>42007</v>
      </c>
      <c r="F42">
        <v>500</v>
      </c>
    </row>
    <row r="43" spans="1:9">
      <c r="A43" s="2"/>
      <c r="B43" s="29"/>
      <c r="C43" t="s">
        <v>85</v>
      </c>
      <c r="D43" s="127" t="s">
        <v>496</v>
      </c>
      <c r="E43" s="132">
        <v>42009</v>
      </c>
      <c r="F43">
        <v>50</v>
      </c>
      <c r="G43" t="s">
        <v>86</v>
      </c>
      <c r="I43" t="s">
        <v>404</v>
      </c>
    </row>
    <row r="44" spans="1:9">
      <c r="A44" s="2"/>
      <c r="B44" s="29"/>
      <c r="C44" t="s">
        <v>85</v>
      </c>
      <c r="D44" s="127" t="s">
        <v>496</v>
      </c>
      <c r="E44" s="132">
        <v>42009</v>
      </c>
      <c r="F44">
        <v>100</v>
      </c>
      <c r="G44" t="s">
        <v>397</v>
      </c>
      <c r="I44" t="s">
        <v>410</v>
      </c>
    </row>
    <row r="45" spans="1:9">
      <c r="C45" t="s">
        <v>87</v>
      </c>
      <c r="D45" s="127"/>
      <c r="G45" t="s">
        <v>88</v>
      </c>
      <c r="I45" t="s">
        <v>809</v>
      </c>
    </row>
    <row r="46" spans="1:9">
      <c r="C46" t="s">
        <v>89</v>
      </c>
      <c r="D46" s="127"/>
      <c r="G46" t="s">
        <v>99</v>
      </c>
      <c r="I46" t="s">
        <v>100</v>
      </c>
    </row>
    <row r="47" spans="1:9">
      <c r="C47" t="s">
        <v>697</v>
      </c>
      <c r="D47" s="127" t="s">
        <v>496</v>
      </c>
      <c r="E47" s="132">
        <v>42009</v>
      </c>
      <c r="F47">
        <v>100</v>
      </c>
      <c r="G47" t="s">
        <v>699</v>
      </c>
    </row>
    <row r="48" spans="1:9">
      <c r="D48" s="127"/>
      <c r="E48" s="132"/>
    </row>
    <row r="50" spans="1:10">
      <c r="D50" s="127"/>
    </row>
    <row r="52" spans="1:10">
      <c r="D52" s="127"/>
    </row>
    <row r="53" spans="1:10">
      <c r="D53" s="127"/>
      <c r="E53" s="132"/>
    </row>
    <row r="54" spans="1:10">
      <c r="D54" s="127"/>
    </row>
    <row r="55" spans="1:10">
      <c r="A55" s="2" t="s">
        <v>7</v>
      </c>
      <c r="B55" s="2">
        <f>SUM(F55:F66)</f>
        <v>750</v>
      </c>
      <c r="C55" t="s">
        <v>681</v>
      </c>
      <c r="D55">
        <v>1994</v>
      </c>
      <c r="E55" s="132">
        <v>42043</v>
      </c>
      <c r="F55">
        <v>500</v>
      </c>
    </row>
    <row r="56" spans="1:10">
      <c r="A56" s="2"/>
      <c r="B56" s="2"/>
      <c r="C56" t="s">
        <v>85</v>
      </c>
      <c r="D56" s="127" t="s">
        <v>496</v>
      </c>
      <c r="E56" s="132">
        <v>42040</v>
      </c>
      <c r="F56">
        <v>50</v>
      </c>
      <c r="G56" t="s">
        <v>86</v>
      </c>
      <c r="I56" t="s">
        <v>404</v>
      </c>
    </row>
    <row r="57" spans="1:10">
      <c r="A57" s="2"/>
      <c r="B57" s="2"/>
      <c r="C57" t="s">
        <v>85</v>
      </c>
      <c r="D57" s="127" t="s">
        <v>496</v>
      </c>
      <c r="E57" s="132">
        <v>42040</v>
      </c>
      <c r="F57">
        <v>100</v>
      </c>
      <c r="G57" t="s">
        <v>397</v>
      </c>
      <c r="I57" t="s">
        <v>410</v>
      </c>
    </row>
    <row r="58" spans="1:10">
      <c r="A58" s="2"/>
      <c r="B58" s="2"/>
      <c r="C58" t="s">
        <v>87</v>
      </c>
      <c r="D58" s="127"/>
      <c r="G58" t="s">
        <v>88</v>
      </c>
      <c r="I58" t="s">
        <v>809</v>
      </c>
    </row>
    <row r="59" spans="1:10">
      <c r="A59" s="2"/>
      <c r="B59" s="2"/>
      <c r="C59" t="s">
        <v>89</v>
      </c>
      <c r="D59" s="127"/>
      <c r="F59">
        <v>0</v>
      </c>
      <c r="G59" t="s">
        <v>99</v>
      </c>
      <c r="I59" t="s">
        <v>100</v>
      </c>
    </row>
    <row r="60" spans="1:10">
      <c r="A60" s="2"/>
      <c r="B60" s="2"/>
      <c r="C60" t="s">
        <v>697</v>
      </c>
      <c r="D60" s="127" t="s">
        <v>496</v>
      </c>
      <c r="E60" s="132">
        <v>42040</v>
      </c>
      <c r="F60">
        <v>100</v>
      </c>
      <c r="G60" t="s">
        <v>699</v>
      </c>
      <c r="J60" t="s">
        <v>98</v>
      </c>
    </row>
    <row r="61" spans="1:10">
      <c r="A61" s="2"/>
      <c r="B61" s="2"/>
    </row>
    <row r="62" spans="1:10">
      <c r="A62" s="2"/>
      <c r="B62" s="2"/>
    </row>
    <row r="63" spans="1:10">
      <c r="A63" s="2"/>
      <c r="B63" s="2"/>
    </row>
    <row r="64" spans="1:10">
      <c r="A64" s="2"/>
      <c r="B64" s="2"/>
    </row>
    <row r="65" spans="1:10">
      <c r="A65" s="2"/>
      <c r="B65" s="2"/>
    </row>
    <row r="66" spans="1:10">
      <c r="A66" s="2"/>
      <c r="B66" s="2"/>
    </row>
    <row r="67" spans="1:10">
      <c r="D67" s="127"/>
    </row>
    <row r="68" spans="1:10">
      <c r="A68" s="2" t="s">
        <v>8</v>
      </c>
      <c r="B68" s="2">
        <f>SUM(F68:F80)</f>
        <v>1050</v>
      </c>
      <c r="C68" t="s">
        <v>681</v>
      </c>
      <c r="D68">
        <v>1999</v>
      </c>
      <c r="E68" s="132">
        <v>42078</v>
      </c>
      <c r="F68">
        <v>500</v>
      </c>
    </row>
    <row r="69" spans="1:10">
      <c r="A69" s="2"/>
      <c r="B69" s="2"/>
      <c r="C69" t="s">
        <v>85</v>
      </c>
      <c r="D69" s="127" t="s">
        <v>496</v>
      </c>
      <c r="E69" s="132">
        <v>42068</v>
      </c>
      <c r="F69">
        <v>50</v>
      </c>
      <c r="G69" t="s">
        <v>86</v>
      </c>
      <c r="I69" t="s">
        <v>404</v>
      </c>
    </row>
    <row r="70" spans="1:10">
      <c r="A70" s="2"/>
      <c r="B70" s="2"/>
      <c r="C70" t="s">
        <v>85</v>
      </c>
      <c r="D70" s="127" t="s">
        <v>496</v>
      </c>
      <c r="E70" s="132">
        <v>42068</v>
      </c>
      <c r="F70">
        <v>100</v>
      </c>
      <c r="G70" t="s">
        <v>397</v>
      </c>
      <c r="I70" t="s">
        <v>410</v>
      </c>
    </row>
    <row r="71" spans="1:10">
      <c r="A71" s="2"/>
      <c r="B71" s="2"/>
      <c r="C71" t="s">
        <v>87</v>
      </c>
      <c r="D71" s="127">
        <v>2001</v>
      </c>
      <c r="E71" s="132">
        <v>42078</v>
      </c>
      <c r="F71">
        <v>200</v>
      </c>
      <c r="G71" t="s">
        <v>88</v>
      </c>
      <c r="I71" t="s">
        <v>809</v>
      </c>
    </row>
    <row r="72" spans="1:10">
      <c r="C72" t="s">
        <v>89</v>
      </c>
      <c r="D72" s="127">
        <v>2002</v>
      </c>
      <c r="E72" s="132">
        <v>42078</v>
      </c>
      <c r="F72">
        <v>100</v>
      </c>
      <c r="G72" t="s">
        <v>99</v>
      </c>
      <c r="I72" t="s">
        <v>100</v>
      </c>
    </row>
    <row r="73" spans="1:10">
      <c r="C73" t="s">
        <v>697</v>
      </c>
      <c r="D73" s="127" t="s">
        <v>496</v>
      </c>
      <c r="E73" s="132">
        <v>42078</v>
      </c>
      <c r="F73">
        <v>100</v>
      </c>
      <c r="G73" t="s">
        <v>699</v>
      </c>
      <c r="J73" t="s">
        <v>98</v>
      </c>
    </row>
    <row r="79" spans="1:10">
      <c r="A79" s="2"/>
      <c r="B79" s="2"/>
    </row>
    <row r="80" spans="1:10">
      <c r="A80" s="2"/>
      <c r="B80" s="2"/>
    </row>
    <row r="81" spans="1:9">
      <c r="A81" s="2"/>
      <c r="B81" s="2"/>
      <c r="D81" s="127"/>
    </row>
    <row r="82" spans="1:9">
      <c r="A82" s="2" t="s">
        <v>9</v>
      </c>
      <c r="B82" s="2">
        <f>SUM(F82:F95)</f>
        <v>550</v>
      </c>
      <c r="C82" t="s">
        <v>681</v>
      </c>
      <c r="E82" s="132"/>
      <c r="F82">
        <v>0</v>
      </c>
    </row>
    <row r="83" spans="1:9">
      <c r="C83" t="s">
        <v>85</v>
      </c>
      <c r="D83" s="127" t="s">
        <v>496</v>
      </c>
      <c r="E83" s="132">
        <v>42099</v>
      </c>
      <c r="F83">
        <v>50</v>
      </c>
      <c r="G83" t="s">
        <v>86</v>
      </c>
      <c r="I83" t="s">
        <v>404</v>
      </c>
    </row>
    <row r="84" spans="1:9">
      <c r="C84" t="s">
        <v>85</v>
      </c>
      <c r="D84" s="127" t="s">
        <v>496</v>
      </c>
      <c r="E84" s="132">
        <v>42099</v>
      </c>
      <c r="F84">
        <v>100</v>
      </c>
      <c r="G84" t="s">
        <v>397</v>
      </c>
      <c r="I84" t="s">
        <v>410</v>
      </c>
    </row>
    <row r="85" spans="1:9">
      <c r="C85" t="s">
        <v>87</v>
      </c>
      <c r="D85" s="127"/>
      <c r="G85" t="s">
        <v>88</v>
      </c>
      <c r="I85" t="s">
        <v>809</v>
      </c>
    </row>
    <row r="86" spans="1:9">
      <c r="C86" t="s">
        <v>89</v>
      </c>
      <c r="D86" s="127"/>
      <c r="G86" t="s">
        <v>99</v>
      </c>
      <c r="I86" t="s">
        <v>100</v>
      </c>
    </row>
    <row r="87" spans="1:9">
      <c r="C87" t="s">
        <v>697</v>
      </c>
      <c r="D87" s="127" t="s">
        <v>496</v>
      </c>
      <c r="E87" s="132">
        <v>42099</v>
      </c>
      <c r="F87">
        <v>100</v>
      </c>
      <c r="G87" t="s">
        <v>699</v>
      </c>
    </row>
    <row r="88" spans="1:9">
      <c r="C88" t="s">
        <v>681</v>
      </c>
      <c r="D88">
        <v>2005</v>
      </c>
      <c r="E88" s="132">
        <v>42096</v>
      </c>
      <c r="F88">
        <v>300</v>
      </c>
      <c r="G88" t="s">
        <v>962</v>
      </c>
    </row>
    <row r="96" spans="1:9">
      <c r="D96" s="127"/>
    </row>
    <row r="97" spans="1:9">
      <c r="A97" s="2" t="s">
        <v>10</v>
      </c>
      <c r="B97" s="2">
        <f>SUM(F97:F110)</f>
        <v>350</v>
      </c>
      <c r="C97" t="s">
        <v>681</v>
      </c>
      <c r="D97">
        <v>2011</v>
      </c>
      <c r="E97" s="132">
        <v>42148</v>
      </c>
      <c r="F97">
        <v>200</v>
      </c>
    </row>
    <row r="98" spans="1:9">
      <c r="A98" s="2"/>
      <c r="B98" s="2"/>
      <c r="C98" t="s">
        <v>85</v>
      </c>
      <c r="D98" s="127" t="s">
        <v>496</v>
      </c>
      <c r="E98" s="132">
        <v>42129</v>
      </c>
      <c r="F98">
        <v>50</v>
      </c>
      <c r="G98" t="s">
        <v>86</v>
      </c>
      <c r="I98" t="s">
        <v>404</v>
      </c>
    </row>
    <row r="99" spans="1:9">
      <c r="A99" s="2"/>
      <c r="B99" s="2"/>
      <c r="C99" t="s">
        <v>85</v>
      </c>
      <c r="D99" s="127" t="s">
        <v>496</v>
      </c>
      <c r="E99" s="132">
        <v>42129</v>
      </c>
      <c r="F99">
        <v>100</v>
      </c>
      <c r="G99" t="s">
        <v>397</v>
      </c>
      <c r="I99" t="s">
        <v>410</v>
      </c>
    </row>
    <row r="100" spans="1:9">
      <c r="A100" s="2"/>
      <c r="B100" s="2"/>
      <c r="C100" t="s">
        <v>87</v>
      </c>
      <c r="D100" s="127"/>
      <c r="G100" t="s">
        <v>88</v>
      </c>
      <c r="I100" t="s">
        <v>809</v>
      </c>
    </row>
    <row r="101" spans="1:9">
      <c r="A101" s="2"/>
      <c r="B101" s="2"/>
      <c r="C101" t="s">
        <v>89</v>
      </c>
      <c r="D101" s="127"/>
      <c r="F101">
        <v>0</v>
      </c>
      <c r="G101" t="s">
        <v>99</v>
      </c>
      <c r="I101" t="s">
        <v>100</v>
      </c>
    </row>
    <row r="102" spans="1:9">
      <c r="A102" s="2"/>
      <c r="B102" s="2"/>
      <c r="C102" t="s">
        <v>697</v>
      </c>
      <c r="D102" s="127" t="s">
        <v>496</v>
      </c>
      <c r="E102" s="132"/>
      <c r="F102">
        <v>0</v>
      </c>
      <c r="G102" t="s">
        <v>699</v>
      </c>
    </row>
    <row r="103" spans="1:9">
      <c r="A103" s="2"/>
      <c r="B103" s="2"/>
      <c r="D103" s="127"/>
    </row>
    <row r="104" spans="1:9">
      <c r="A104" s="2"/>
      <c r="B104" s="2"/>
      <c r="D104" s="127"/>
    </row>
    <row r="105" spans="1:9">
      <c r="A105" s="2"/>
      <c r="B105" s="2"/>
      <c r="D105" s="127"/>
    </row>
    <row r="106" spans="1:9">
      <c r="A106" s="2"/>
      <c r="B106" s="2"/>
      <c r="D106" s="127"/>
      <c r="E106" s="132"/>
    </row>
    <row r="107" spans="1:9">
      <c r="A107" s="2"/>
      <c r="B107" s="2"/>
      <c r="D107" s="127"/>
      <c r="E107" s="132"/>
    </row>
    <row r="108" spans="1:9">
      <c r="A108" s="2"/>
      <c r="B108" s="2"/>
      <c r="D108" s="127"/>
      <c r="E108" s="132"/>
    </row>
    <row r="109" spans="1:9">
      <c r="A109" s="2"/>
      <c r="B109" s="2"/>
      <c r="D109" s="127"/>
      <c r="E109" s="132"/>
    </row>
    <row r="110" spans="1:9">
      <c r="A110" s="2"/>
      <c r="B110" s="2"/>
      <c r="D110" s="127"/>
    </row>
    <row r="111" spans="1:9">
      <c r="A111" s="2" t="s">
        <v>11</v>
      </c>
      <c r="B111" s="2">
        <f>SUM(F111:F123)</f>
        <v>1050</v>
      </c>
      <c r="C111" t="s">
        <v>681</v>
      </c>
      <c r="D111">
        <v>2023</v>
      </c>
      <c r="E111" s="132">
        <v>42183</v>
      </c>
      <c r="F111">
        <v>500</v>
      </c>
    </row>
    <row r="112" spans="1:9">
      <c r="A112" s="2"/>
      <c r="B112" s="2"/>
      <c r="C112" t="s">
        <v>85</v>
      </c>
      <c r="D112" s="127" t="s">
        <v>496</v>
      </c>
      <c r="E112" s="132">
        <v>42160</v>
      </c>
      <c r="F112">
        <v>50</v>
      </c>
      <c r="G112" t="s">
        <v>86</v>
      </c>
      <c r="I112" t="s">
        <v>404</v>
      </c>
    </row>
    <row r="113" spans="1:9">
      <c r="A113" s="2"/>
      <c r="B113" s="2"/>
      <c r="C113" t="s">
        <v>85</v>
      </c>
      <c r="D113" s="127" t="s">
        <v>496</v>
      </c>
      <c r="E113" s="132">
        <v>42160</v>
      </c>
      <c r="F113">
        <v>100</v>
      </c>
      <c r="G113" t="s">
        <v>397</v>
      </c>
      <c r="I113" t="s">
        <v>410</v>
      </c>
    </row>
    <row r="114" spans="1:9">
      <c r="A114" s="2"/>
      <c r="B114" s="2"/>
      <c r="C114" t="s">
        <v>87</v>
      </c>
      <c r="D114" s="127">
        <v>2019</v>
      </c>
      <c r="E114" s="132">
        <v>42174</v>
      </c>
      <c r="F114">
        <v>200</v>
      </c>
      <c r="G114" t="s">
        <v>88</v>
      </c>
      <c r="I114" t="s">
        <v>809</v>
      </c>
    </row>
    <row r="115" spans="1:9">
      <c r="A115" s="2"/>
      <c r="B115" s="2"/>
      <c r="C115" t="s">
        <v>89</v>
      </c>
      <c r="D115" s="127">
        <v>2018</v>
      </c>
      <c r="E115" s="132">
        <v>42174</v>
      </c>
      <c r="F115">
        <v>100</v>
      </c>
      <c r="G115" t="s">
        <v>99</v>
      </c>
      <c r="I115" t="s">
        <v>100</v>
      </c>
    </row>
    <row r="116" spans="1:9">
      <c r="A116" s="2"/>
      <c r="B116" s="2"/>
      <c r="C116" t="s">
        <v>697</v>
      </c>
      <c r="D116" s="127" t="s">
        <v>496</v>
      </c>
      <c r="E116" s="132"/>
      <c r="F116">
        <v>0</v>
      </c>
      <c r="G116" t="s">
        <v>699</v>
      </c>
    </row>
    <row r="117" spans="1:9">
      <c r="A117" s="2"/>
      <c r="B117" s="2"/>
      <c r="C117" t="s">
        <v>1047</v>
      </c>
      <c r="D117" s="127" t="s">
        <v>1046</v>
      </c>
      <c r="E117" s="132">
        <v>42156</v>
      </c>
      <c r="F117">
        <v>100</v>
      </c>
      <c r="G117" t="s">
        <v>1066</v>
      </c>
    </row>
    <row r="118" spans="1:9">
      <c r="A118" s="2"/>
      <c r="B118" s="2"/>
    </row>
    <row r="119" spans="1:9">
      <c r="A119" s="2"/>
      <c r="B119" s="2"/>
    </row>
    <row r="120" spans="1:9">
      <c r="A120" s="2"/>
      <c r="B120" s="2"/>
    </row>
    <row r="121" spans="1:9">
      <c r="A121" s="2"/>
      <c r="B121" s="2"/>
    </row>
    <row r="122" spans="1:9">
      <c r="A122" s="2"/>
      <c r="B122" s="2"/>
    </row>
    <row r="123" spans="1:9">
      <c r="A123" s="2"/>
      <c r="B123" s="2"/>
    </row>
    <row r="124" spans="1:9">
      <c r="A124" s="2"/>
      <c r="B124" s="2"/>
      <c r="D124" s="127"/>
    </row>
    <row r="125" spans="1:9">
      <c r="A125" s="2" t="s">
        <v>12</v>
      </c>
      <c r="B125" s="2">
        <f>SUM(F125:F137)</f>
        <v>750</v>
      </c>
      <c r="C125" t="s">
        <v>681</v>
      </c>
      <c r="D125">
        <v>2024</v>
      </c>
      <c r="E125" s="132">
        <v>42204</v>
      </c>
      <c r="F125">
        <v>500</v>
      </c>
    </row>
    <row r="126" spans="1:9">
      <c r="A126" s="2"/>
      <c r="B126" s="2"/>
      <c r="C126" t="s">
        <v>85</v>
      </c>
      <c r="D126" s="127" t="s">
        <v>496</v>
      </c>
      <c r="E126" s="132"/>
      <c r="F126">
        <v>50</v>
      </c>
      <c r="G126" t="s">
        <v>86</v>
      </c>
      <c r="I126" t="s">
        <v>404</v>
      </c>
    </row>
    <row r="127" spans="1:9">
      <c r="A127" s="2"/>
      <c r="B127" s="2"/>
      <c r="C127" t="s">
        <v>85</v>
      </c>
      <c r="D127" s="127" t="s">
        <v>496</v>
      </c>
      <c r="E127" s="132"/>
      <c r="F127">
        <v>100</v>
      </c>
      <c r="G127" t="s">
        <v>397</v>
      </c>
      <c r="I127" t="s">
        <v>410</v>
      </c>
    </row>
    <row r="128" spans="1:9">
      <c r="A128" s="2"/>
      <c r="B128" s="2"/>
      <c r="C128" t="s">
        <v>87</v>
      </c>
      <c r="D128" s="127"/>
      <c r="G128" t="s">
        <v>88</v>
      </c>
      <c r="I128" t="s">
        <v>809</v>
      </c>
    </row>
    <row r="129" spans="1:13">
      <c r="A129" s="2"/>
      <c r="B129" s="2"/>
      <c r="C129" t="s">
        <v>89</v>
      </c>
      <c r="D129" s="127"/>
      <c r="G129" t="s">
        <v>99</v>
      </c>
      <c r="I129" t="s">
        <v>100</v>
      </c>
    </row>
    <row r="130" spans="1:13">
      <c r="A130" s="2"/>
      <c r="B130" s="2"/>
      <c r="C130" s="399" t="s">
        <v>697</v>
      </c>
      <c r="D130" s="400" t="s">
        <v>496</v>
      </c>
      <c r="E130" s="401"/>
      <c r="F130" s="399">
        <v>0</v>
      </c>
      <c r="G130" s="399" t="s">
        <v>699</v>
      </c>
      <c r="H130" s="399"/>
      <c r="I130" s="399"/>
      <c r="J130" s="399"/>
      <c r="K130" s="399"/>
      <c r="L130" s="399"/>
      <c r="M130" s="399">
        <v>0</v>
      </c>
    </row>
    <row r="131" spans="1:13">
      <c r="A131" s="2"/>
      <c r="B131" s="2"/>
      <c r="C131" t="s">
        <v>1047</v>
      </c>
      <c r="D131" s="127" t="s">
        <v>1046</v>
      </c>
      <c r="E131" s="132">
        <v>42156</v>
      </c>
      <c r="F131">
        <v>100</v>
      </c>
      <c r="G131" t="s">
        <v>1066</v>
      </c>
    </row>
    <row r="132" spans="1:13">
      <c r="A132" s="2"/>
      <c r="B132" s="2"/>
    </row>
    <row r="133" spans="1:13">
      <c r="A133" s="2"/>
      <c r="B133" s="2"/>
    </row>
    <row r="134" spans="1:13">
      <c r="A134" s="2"/>
      <c r="B134" s="2"/>
    </row>
    <row r="135" spans="1:13">
      <c r="A135" s="2"/>
      <c r="B135" s="2"/>
    </row>
    <row r="136" spans="1:13">
      <c r="A136" s="2"/>
      <c r="B136" s="2"/>
    </row>
    <row r="137" spans="1:13">
      <c r="A137" s="2"/>
      <c r="B137" s="2"/>
      <c r="D137" s="127"/>
    </row>
    <row r="138" spans="1:13">
      <c r="A138" s="2" t="s">
        <v>13</v>
      </c>
      <c r="B138" s="2">
        <f>SUM(F138:F150)</f>
        <v>1397.51</v>
      </c>
      <c r="C138" t="s">
        <v>681</v>
      </c>
      <c r="D138" t="s">
        <v>1113</v>
      </c>
      <c r="E138" s="132" t="s">
        <v>1114</v>
      </c>
      <c r="F138">
        <f>500+500</f>
        <v>1000</v>
      </c>
    </row>
    <row r="139" spans="1:13">
      <c r="A139" s="2"/>
      <c r="B139" s="2"/>
      <c r="C139" t="s">
        <v>85</v>
      </c>
      <c r="D139" s="127" t="s">
        <v>496</v>
      </c>
      <c r="E139" s="132"/>
      <c r="F139">
        <v>50</v>
      </c>
      <c r="G139" t="s">
        <v>86</v>
      </c>
      <c r="I139" t="s">
        <v>404</v>
      </c>
    </row>
    <row r="140" spans="1:13">
      <c r="A140" s="2"/>
      <c r="B140" s="2"/>
      <c r="C140" t="s">
        <v>85</v>
      </c>
      <c r="D140" s="127" t="s">
        <v>496</v>
      </c>
      <c r="E140" s="132"/>
      <c r="F140">
        <v>100</v>
      </c>
      <c r="G140" t="s">
        <v>397</v>
      </c>
      <c r="I140" t="s">
        <v>410</v>
      </c>
    </row>
    <row r="141" spans="1:13">
      <c r="A141" s="2"/>
      <c r="B141" s="2"/>
      <c r="C141" t="s">
        <v>87</v>
      </c>
      <c r="D141" s="127"/>
      <c r="G141" t="s">
        <v>88</v>
      </c>
      <c r="I141" t="s">
        <v>809</v>
      </c>
    </row>
    <row r="142" spans="1:13">
      <c r="A142" s="2"/>
      <c r="B142" s="2"/>
      <c r="C142" t="s">
        <v>89</v>
      </c>
      <c r="D142" s="127">
        <v>2037</v>
      </c>
      <c r="E142" s="132">
        <v>42221</v>
      </c>
      <c r="F142">
        <v>100</v>
      </c>
      <c r="G142" t="s">
        <v>99</v>
      </c>
      <c r="I142" t="s">
        <v>100</v>
      </c>
    </row>
    <row r="143" spans="1:13">
      <c r="A143" s="2"/>
      <c r="B143" s="2"/>
      <c r="C143" t="s">
        <v>1047</v>
      </c>
      <c r="D143" s="127" t="s">
        <v>1046</v>
      </c>
      <c r="E143" s="132">
        <v>42156</v>
      </c>
      <c r="F143">
        <v>100</v>
      </c>
      <c r="G143" t="s">
        <v>1048</v>
      </c>
    </row>
    <row r="144" spans="1:13">
      <c r="A144" s="2"/>
      <c r="B144" s="2"/>
      <c r="C144" t="s">
        <v>1128</v>
      </c>
    </row>
    <row r="145" spans="1:9">
      <c r="A145" s="2"/>
      <c r="B145" s="2"/>
      <c r="E145" s="132">
        <v>42217</v>
      </c>
      <c r="F145">
        <f>22.51+25</f>
        <v>47.510000000000005</v>
      </c>
    </row>
    <row r="152" spans="1:9">
      <c r="A152" s="2" t="s">
        <v>14</v>
      </c>
      <c r="B152" s="2">
        <f>SUM(F152:F165)</f>
        <v>1450</v>
      </c>
      <c r="C152" t="s">
        <v>681</v>
      </c>
      <c r="D152">
        <v>2040</v>
      </c>
      <c r="E152" s="132">
        <v>42260</v>
      </c>
      <c r="F152">
        <v>1000</v>
      </c>
    </row>
    <row r="153" spans="1:9">
      <c r="A153" s="2"/>
      <c r="B153" s="2"/>
      <c r="C153" t="s">
        <v>85</v>
      </c>
      <c r="D153" s="127" t="s">
        <v>496</v>
      </c>
      <c r="E153" s="132">
        <v>42252</v>
      </c>
      <c r="F153">
        <v>50</v>
      </c>
      <c r="G153" t="s">
        <v>86</v>
      </c>
      <c r="I153" t="s">
        <v>404</v>
      </c>
    </row>
    <row r="154" spans="1:9">
      <c r="A154" s="2"/>
      <c r="B154" s="2"/>
      <c r="C154" t="s">
        <v>85</v>
      </c>
      <c r="D154" s="127" t="s">
        <v>496</v>
      </c>
      <c r="E154" s="132">
        <v>42252</v>
      </c>
      <c r="F154">
        <v>100</v>
      </c>
      <c r="G154" t="s">
        <v>397</v>
      </c>
      <c r="I154" t="s">
        <v>410</v>
      </c>
    </row>
    <row r="155" spans="1:9">
      <c r="A155" s="2"/>
      <c r="B155" s="2"/>
      <c r="C155" t="s">
        <v>87</v>
      </c>
      <c r="D155" s="127">
        <v>2042</v>
      </c>
      <c r="E155" s="132">
        <v>42248</v>
      </c>
      <c r="F155">
        <v>200</v>
      </c>
      <c r="G155" t="s">
        <v>88</v>
      </c>
      <c r="I155" t="s">
        <v>809</v>
      </c>
    </row>
    <row r="156" spans="1:9">
      <c r="A156" s="2"/>
      <c r="B156" s="2"/>
      <c r="C156" t="s">
        <v>89</v>
      </c>
      <c r="D156" s="127"/>
      <c r="G156" t="s">
        <v>99</v>
      </c>
      <c r="I156" t="s">
        <v>100</v>
      </c>
    </row>
    <row r="157" spans="1:9">
      <c r="A157" s="2"/>
      <c r="B157" s="2"/>
      <c r="C157" t="s">
        <v>1047</v>
      </c>
      <c r="D157" s="127" t="s">
        <v>1046</v>
      </c>
      <c r="E157" s="132">
        <v>42248</v>
      </c>
      <c r="F157">
        <v>100</v>
      </c>
      <c r="G157" t="s">
        <v>1048</v>
      </c>
    </row>
    <row r="158" spans="1:9">
      <c r="A158" s="2"/>
      <c r="B158" s="2"/>
    </row>
    <row r="159" spans="1:9">
      <c r="A159" s="2"/>
      <c r="B159" s="2"/>
    </row>
    <row r="160" spans="1:9">
      <c r="A160" s="2"/>
      <c r="B160" s="2"/>
    </row>
    <row r="161" spans="1:9">
      <c r="A161" s="2"/>
      <c r="B161" s="2"/>
    </row>
    <row r="162" spans="1:9">
      <c r="A162" s="2"/>
      <c r="B162" s="2"/>
    </row>
    <row r="166" spans="1:9">
      <c r="A166" s="2"/>
      <c r="B166" s="2"/>
      <c r="D166" s="127"/>
    </row>
    <row r="167" spans="1:9">
      <c r="A167" s="2" t="s">
        <v>15</v>
      </c>
      <c r="B167" s="2">
        <f>SUM(F167:F180)</f>
        <v>1250</v>
      </c>
      <c r="C167" t="s">
        <v>681</v>
      </c>
      <c r="D167">
        <v>2046</v>
      </c>
      <c r="E167" s="132">
        <v>42281</v>
      </c>
      <c r="F167">
        <v>1000</v>
      </c>
    </row>
    <row r="168" spans="1:9">
      <c r="A168" s="2"/>
      <c r="B168" s="2"/>
      <c r="C168" t="s">
        <v>85</v>
      </c>
      <c r="D168" s="127" t="s">
        <v>496</v>
      </c>
      <c r="E168" s="132">
        <v>42282</v>
      </c>
      <c r="F168">
        <v>50</v>
      </c>
      <c r="G168" t="s">
        <v>86</v>
      </c>
      <c r="I168" t="s">
        <v>404</v>
      </c>
    </row>
    <row r="169" spans="1:9">
      <c r="A169" s="2"/>
      <c r="B169" s="2"/>
      <c r="C169" t="s">
        <v>85</v>
      </c>
      <c r="D169" s="127" t="s">
        <v>496</v>
      </c>
      <c r="E169" s="132">
        <v>42282</v>
      </c>
      <c r="F169">
        <v>100</v>
      </c>
      <c r="G169" t="s">
        <v>397</v>
      </c>
      <c r="I169" t="s">
        <v>410</v>
      </c>
    </row>
    <row r="170" spans="1:9">
      <c r="A170" s="2"/>
      <c r="B170" s="2"/>
      <c r="C170" t="s">
        <v>87</v>
      </c>
      <c r="D170" s="127"/>
      <c r="G170" t="s">
        <v>88</v>
      </c>
      <c r="I170" t="s">
        <v>809</v>
      </c>
    </row>
    <row r="171" spans="1:9">
      <c r="A171" s="2"/>
      <c r="B171" s="2"/>
      <c r="C171" t="s">
        <v>89</v>
      </c>
      <c r="D171" s="127"/>
      <c r="G171" t="s">
        <v>99</v>
      </c>
      <c r="I171" t="s">
        <v>100</v>
      </c>
    </row>
    <row r="172" spans="1:9">
      <c r="A172" s="2"/>
      <c r="B172" s="2"/>
      <c r="C172" t="s">
        <v>1047</v>
      </c>
      <c r="D172" s="127" t="s">
        <v>1046</v>
      </c>
      <c r="E172" s="132">
        <v>42278</v>
      </c>
      <c r="F172">
        <v>100</v>
      </c>
      <c r="G172" t="s">
        <v>1048</v>
      </c>
    </row>
    <row r="173" spans="1:9">
      <c r="A173" s="2"/>
      <c r="B173" s="2"/>
    </row>
    <row r="174" spans="1:9">
      <c r="A174" s="2"/>
      <c r="B174" s="2"/>
    </row>
    <row r="175" spans="1:9">
      <c r="A175" s="2"/>
      <c r="B175" s="2"/>
    </row>
    <row r="176" spans="1:9">
      <c r="A176" s="2"/>
      <c r="B176" s="2"/>
    </row>
    <row r="178" spans="1:9">
      <c r="A178" s="2"/>
      <c r="B178" s="2"/>
    </row>
    <row r="179" spans="1:9">
      <c r="A179" s="2"/>
      <c r="B179" s="2"/>
    </row>
    <row r="180" spans="1:9">
      <c r="A180" s="2"/>
      <c r="B180" s="2"/>
    </row>
    <row r="181" spans="1:9">
      <c r="A181" s="2"/>
      <c r="B181" s="2"/>
      <c r="D181" s="127"/>
    </row>
    <row r="182" spans="1:9">
      <c r="A182" s="2" t="s">
        <v>16</v>
      </c>
      <c r="B182" s="2">
        <f>SUM(F182:F195)</f>
        <v>1850</v>
      </c>
      <c r="C182" t="s">
        <v>681</v>
      </c>
      <c r="D182">
        <v>2050</v>
      </c>
      <c r="E182" s="132">
        <v>42316</v>
      </c>
      <c r="F182">
        <v>1000</v>
      </c>
    </row>
    <row r="183" spans="1:9">
      <c r="A183" s="2"/>
      <c r="B183" s="2"/>
      <c r="C183" t="s">
        <v>85</v>
      </c>
      <c r="D183" s="127" t="s">
        <v>496</v>
      </c>
      <c r="E183" s="132"/>
      <c r="F183">
        <v>50</v>
      </c>
      <c r="G183" t="s">
        <v>86</v>
      </c>
      <c r="I183" t="s">
        <v>404</v>
      </c>
    </row>
    <row r="184" spans="1:9">
      <c r="A184" s="2"/>
      <c r="B184" s="2"/>
      <c r="C184" t="s">
        <v>85</v>
      </c>
      <c r="D184" s="127" t="s">
        <v>496</v>
      </c>
      <c r="E184" s="132"/>
      <c r="F184">
        <v>100</v>
      </c>
      <c r="G184" t="s">
        <v>397</v>
      </c>
      <c r="I184" t="s">
        <v>410</v>
      </c>
    </row>
    <row r="185" spans="1:9">
      <c r="A185" s="2"/>
      <c r="B185" s="2"/>
      <c r="C185" t="s">
        <v>87</v>
      </c>
      <c r="D185" s="127"/>
      <c r="G185" t="s">
        <v>88</v>
      </c>
      <c r="I185" t="s">
        <v>809</v>
      </c>
    </row>
    <row r="186" spans="1:9">
      <c r="A186" s="2"/>
      <c r="B186" s="2"/>
      <c r="C186" t="s">
        <v>89</v>
      </c>
      <c r="D186" s="127" t="s">
        <v>496</v>
      </c>
      <c r="E186" s="132">
        <v>42324</v>
      </c>
      <c r="F186">
        <v>100</v>
      </c>
      <c r="G186" t="s">
        <v>99</v>
      </c>
      <c r="I186" t="s">
        <v>100</v>
      </c>
    </row>
    <row r="187" spans="1:9">
      <c r="A187" s="2"/>
      <c r="B187" s="2"/>
      <c r="C187" t="s">
        <v>1047</v>
      </c>
      <c r="D187" s="127" t="s">
        <v>1046</v>
      </c>
      <c r="E187" s="132">
        <v>42309</v>
      </c>
      <c r="F187">
        <v>100</v>
      </c>
      <c r="G187" t="s">
        <v>1048</v>
      </c>
    </row>
    <row r="188" spans="1:9">
      <c r="A188" s="2"/>
      <c r="B188" s="2"/>
      <c r="C188" t="s">
        <v>681</v>
      </c>
      <c r="D188">
        <v>2051</v>
      </c>
      <c r="E188" s="132">
        <v>42337</v>
      </c>
      <c r="F188">
        <v>500</v>
      </c>
      <c r="G188" t="s">
        <v>1200</v>
      </c>
    </row>
    <row r="196" spans="1:9">
      <c r="D196" s="127"/>
    </row>
    <row r="197" spans="1:9">
      <c r="A197" s="2" t="s">
        <v>17</v>
      </c>
      <c r="B197" s="2">
        <f>SUM(F197:F210)</f>
        <v>6450</v>
      </c>
      <c r="C197" t="s">
        <v>681</v>
      </c>
      <c r="E197" s="132">
        <v>42344</v>
      </c>
      <c r="F197">
        <v>1000</v>
      </c>
    </row>
    <row r="198" spans="1:9">
      <c r="C198" t="s">
        <v>85</v>
      </c>
      <c r="D198" s="127" t="s">
        <v>496</v>
      </c>
      <c r="E198" s="132"/>
      <c r="F198">
        <v>50</v>
      </c>
      <c r="G198" t="s">
        <v>86</v>
      </c>
      <c r="I198" t="s">
        <v>404</v>
      </c>
    </row>
    <row r="199" spans="1:9">
      <c r="C199" t="s">
        <v>85</v>
      </c>
      <c r="D199" s="127" t="s">
        <v>496</v>
      </c>
      <c r="E199" s="132"/>
      <c r="F199">
        <v>100</v>
      </c>
      <c r="G199" t="s">
        <v>397</v>
      </c>
      <c r="I199" t="s">
        <v>410</v>
      </c>
    </row>
    <row r="200" spans="1:9">
      <c r="C200" t="s">
        <v>87</v>
      </c>
      <c r="D200" s="127" t="s">
        <v>496</v>
      </c>
      <c r="E200" s="132">
        <v>42353</v>
      </c>
      <c r="F200">
        <v>200</v>
      </c>
      <c r="G200" t="s">
        <v>88</v>
      </c>
      <c r="I200" t="s">
        <v>809</v>
      </c>
    </row>
    <row r="201" spans="1:9">
      <c r="C201" t="s">
        <v>89</v>
      </c>
      <c r="D201" s="127"/>
      <c r="G201" t="s">
        <v>99</v>
      </c>
      <c r="I201" t="s">
        <v>100</v>
      </c>
    </row>
    <row r="202" spans="1:9">
      <c r="C202" t="s">
        <v>1047</v>
      </c>
      <c r="D202" s="127" t="s">
        <v>1046</v>
      </c>
      <c r="E202" s="132">
        <v>42339</v>
      </c>
      <c r="F202">
        <v>100</v>
      </c>
      <c r="G202" t="s">
        <v>1048</v>
      </c>
    </row>
    <row r="203" spans="1:9">
      <c r="C203" t="s">
        <v>681</v>
      </c>
      <c r="E203" s="132">
        <v>42365</v>
      </c>
      <c r="F203">
        <v>5000</v>
      </c>
      <c r="G203" t="s">
        <v>1291</v>
      </c>
    </row>
    <row r="211" spans="5:6">
      <c r="E211" s="24"/>
      <c r="F211" s="30">
        <f>SUM(F42:F210)</f>
        <v>17647.510000000002</v>
      </c>
    </row>
  </sheetData>
  <sheetProtection selectLockedCells="1" selectUnlockedCells="1"/>
  <pageMargins left="0.75" right="0.75" top="1" bottom="1" header="0.51180555555555551" footer="0.51180555555555551"/>
  <pageSetup firstPageNumber="0"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4"/>
  <sheetViews>
    <sheetView topLeftCell="A17" workbookViewId="0">
      <selection activeCell="R37" sqref="R37"/>
    </sheetView>
  </sheetViews>
  <sheetFormatPr defaultRowHeight="12.75"/>
  <cols>
    <col min="1" max="1" width="18.85546875" customWidth="1"/>
    <col min="2" max="2" width="11.28515625" customWidth="1"/>
    <col min="3" max="3" width="3.140625" customWidth="1"/>
    <col min="4" max="4" width="11.28515625" customWidth="1"/>
    <col min="5" max="6" width="3.140625" customWidth="1"/>
    <col min="7" max="7" width="10.7109375" customWidth="1"/>
    <col min="8" max="9" width="11" customWidth="1"/>
    <col min="10" max="10" width="13.7109375" customWidth="1"/>
    <col min="11" max="11" width="12.85546875" customWidth="1"/>
    <col min="13" max="13" width="10.28515625" bestFit="1" customWidth="1"/>
    <col min="14" max="14" width="10.28515625" customWidth="1"/>
  </cols>
  <sheetData>
    <row r="1" spans="1:10">
      <c r="A1" s="2" t="s">
        <v>829</v>
      </c>
      <c r="D1" s="127" t="s">
        <v>1058</v>
      </c>
      <c r="G1" t="s">
        <v>844</v>
      </c>
    </row>
    <row r="2" spans="1:10">
      <c r="A2" s="2"/>
      <c r="B2" s="2"/>
      <c r="G2" t="s">
        <v>845</v>
      </c>
    </row>
    <row r="3" spans="1:10">
      <c r="A3" s="2"/>
      <c r="B3" s="2"/>
    </row>
    <row r="4" spans="1:10">
      <c r="A4" s="2" t="s">
        <v>1057</v>
      </c>
      <c r="B4" s="2"/>
      <c r="D4" s="399" t="s">
        <v>1171</v>
      </c>
    </row>
    <row r="5" spans="1:10">
      <c r="A5" s="2"/>
      <c r="B5" s="2"/>
      <c r="D5" s="399"/>
      <c r="E5" s="399" t="s">
        <v>1172</v>
      </c>
    </row>
    <row r="6" spans="1:10">
      <c r="A6" s="2"/>
      <c r="B6" s="2"/>
      <c r="D6" s="399" t="s">
        <v>1184</v>
      </c>
    </row>
    <row r="7" spans="1:10">
      <c r="A7" s="2"/>
      <c r="B7" s="2"/>
      <c r="D7" s="399" t="s">
        <v>1001</v>
      </c>
    </row>
    <row r="8" spans="1:10">
      <c r="A8" s="2"/>
      <c r="B8" s="2"/>
      <c r="D8" s="399"/>
      <c r="E8" s="130" t="s">
        <v>1017</v>
      </c>
      <c r="F8" s="130"/>
    </row>
    <row r="9" spans="1:10">
      <c r="A9" s="2" t="s">
        <v>1012</v>
      </c>
      <c r="B9" s="2"/>
      <c r="D9" s="1" t="s">
        <v>1015</v>
      </c>
      <c r="G9" s="451" t="s">
        <v>1110</v>
      </c>
      <c r="I9" t="s">
        <v>1016</v>
      </c>
    </row>
    <row r="10" spans="1:10">
      <c r="A10" s="2"/>
      <c r="B10" s="2" t="s">
        <v>1013</v>
      </c>
      <c r="D10" s="446">
        <v>2000</v>
      </c>
      <c r="G10" s="18">
        <f>D44</f>
        <v>958.68</v>
      </c>
      <c r="I10" s="139">
        <v>1300</v>
      </c>
    </row>
    <row r="11" spans="1:10">
      <c r="A11" s="2"/>
      <c r="B11" s="2" t="s">
        <v>1014</v>
      </c>
      <c r="C11" s="49" t="s">
        <v>1297</v>
      </c>
      <c r="D11" s="437">
        <f>K56+L84</f>
        <v>1530</v>
      </c>
      <c r="G11">
        <f>D75+D100</f>
        <v>1187.5700000000002</v>
      </c>
      <c r="I11" s="139">
        <v>2320</v>
      </c>
      <c r="J11" t="s">
        <v>1018</v>
      </c>
    </row>
    <row r="12" spans="1:10">
      <c r="A12" s="2"/>
      <c r="B12" s="2" t="s">
        <v>28</v>
      </c>
      <c r="D12" s="437">
        <v>500</v>
      </c>
      <c r="G12">
        <f>D126</f>
        <v>737.1099999999999</v>
      </c>
      <c r="I12" s="139">
        <v>400</v>
      </c>
      <c r="J12" t="s">
        <v>1282</v>
      </c>
    </row>
    <row r="13" spans="1:10" ht="13.5" thickBot="1">
      <c r="A13" s="2"/>
      <c r="B13" s="2"/>
      <c r="D13" s="438">
        <f>SUM(D10:D12)</f>
        <v>4030</v>
      </c>
      <c r="E13" s="438"/>
      <c r="F13" s="438"/>
      <c r="G13" s="438">
        <f>SUM(G10:G12)</f>
        <v>2883.3599999999997</v>
      </c>
      <c r="I13" s="436">
        <f>SUM(I10:I12)</f>
        <v>4020</v>
      </c>
    </row>
    <row r="14" spans="1:10" ht="13.5" thickTop="1">
      <c r="A14" s="2"/>
      <c r="B14" s="2"/>
      <c r="D14" s="399"/>
    </row>
    <row r="15" spans="1:10">
      <c r="A15" s="2"/>
      <c r="B15" s="2"/>
      <c r="D15" s="399"/>
    </row>
    <row r="16" spans="1:10">
      <c r="A16" s="2"/>
      <c r="B16" s="2" t="s">
        <v>1021</v>
      </c>
      <c r="D16" s="399"/>
    </row>
    <row r="17" spans="1:14">
      <c r="A17" s="2"/>
      <c r="B17" s="2"/>
      <c r="D17" s="399" t="s">
        <v>1283</v>
      </c>
    </row>
    <row r="18" spans="1:14">
      <c r="A18" s="2" t="s">
        <v>1014</v>
      </c>
      <c r="B18" s="2" t="s">
        <v>810</v>
      </c>
      <c r="D18" s="399">
        <f>D75</f>
        <v>911.59000000000015</v>
      </c>
    </row>
    <row r="19" spans="1:14">
      <c r="A19" s="2"/>
      <c r="B19" s="2" t="s">
        <v>811</v>
      </c>
      <c r="D19" s="399">
        <f>D100</f>
        <v>275.97999999999996</v>
      </c>
    </row>
    <row r="20" spans="1:14">
      <c r="B20" s="2"/>
      <c r="D20" s="399"/>
    </row>
    <row r="21" spans="1:14">
      <c r="A21" s="2"/>
      <c r="B21" s="2" t="s">
        <v>1294</v>
      </c>
      <c r="D21" s="399"/>
    </row>
    <row r="22" spans="1:14">
      <c r="A22" s="2"/>
      <c r="B22" s="2"/>
      <c r="D22" s="399"/>
    </row>
    <row r="23" spans="1:14" ht="15">
      <c r="A23" s="386" t="s">
        <v>26</v>
      </c>
      <c r="B23" s="2" t="s">
        <v>816</v>
      </c>
      <c r="D23" t="s">
        <v>820</v>
      </c>
      <c r="H23" s="447" t="s">
        <v>1020</v>
      </c>
      <c r="I23" s="447"/>
      <c r="J23" s="447"/>
      <c r="K23" s="447"/>
      <c r="L23" s="447"/>
      <c r="M23" s="447"/>
      <c r="N23" s="447"/>
    </row>
    <row r="24" spans="1:14">
      <c r="A24" s="403" t="s">
        <v>825</v>
      </c>
      <c r="B24" t="s">
        <v>821</v>
      </c>
      <c r="C24" t="s">
        <v>822</v>
      </c>
      <c r="H24" t="s">
        <v>1149</v>
      </c>
    </row>
    <row r="26" spans="1:14">
      <c r="A26" t="s">
        <v>823</v>
      </c>
      <c r="B26" t="s">
        <v>1281</v>
      </c>
    </row>
    <row r="27" spans="1:14">
      <c r="B27" t="s">
        <v>1280</v>
      </c>
    </row>
    <row r="28" spans="1:14">
      <c r="A28" s="403"/>
      <c r="B28" s="399" t="s">
        <v>1088</v>
      </c>
    </row>
    <row r="30" spans="1:14">
      <c r="A30" s="130" t="s">
        <v>171</v>
      </c>
      <c r="B30">
        <v>2014</v>
      </c>
      <c r="D30">
        <v>2015</v>
      </c>
      <c r="G30" t="s">
        <v>817</v>
      </c>
      <c r="H30" t="s">
        <v>818</v>
      </c>
      <c r="I30" t="s">
        <v>819</v>
      </c>
      <c r="J30" t="s">
        <v>1094</v>
      </c>
    </row>
    <row r="31" spans="1:14">
      <c r="A31" s="130"/>
      <c r="F31" t="s">
        <v>534</v>
      </c>
      <c r="G31" t="s">
        <v>1008</v>
      </c>
    </row>
    <row r="32" spans="1:14">
      <c r="A32" s="130" t="s">
        <v>121</v>
      </c>
      <c r="B32">
        <v>0</v>
      </c>
      <c r="D32">
        <v>46.19</v>
      </c>
      <c r="E32" t="s">
        <v>174</v>
      </c>
      <c r="F32">
        <v>33.700000000000003</v>
      </c>
      <c r="G32">
        <f>100</f>
        <v>100</v>
      </c>
      <c r="H32">
        <f t="shared" ref="H32:H43" si="0">D32/G32</f>
        <v>0.46189999999999998</v>
      </c>
    </row>
    <row r="33" spans="1:16">
      <c r="A33" s="130" t="s">
        <v>128</v>
      </c>
      <c r="B33">
        <v>0</v>
      </c>
      <c r="D33">
        <v>40.69</v>
      </c>
      <c r="E33" t="s">
        <v>943</v>
      </c>
      <c r="F33">
        <v>30.2</v>
      </c>
      <c r="G33">
        <v>80</v>
      </c>
      <c r="H33">
        <f t="shared" si="0"/>
        <v>0.50862499999999999</v>
      </c>
    </row>
    <row r="34" spans="1:16">
      <c r="A34" s="130" t="s">
        <v>134</v>
      </c>
      <c r="B34">
        <v>0</v>
      </c>
      <c r="D34">
        <v>113.19</v>
      </c>
      <c r="E34" t="s">
        <v>944</v>
      </c>
      <c r="F34">
        <v>30.2</v>
      </c>
      <c r="G34">
        <v>360</v>
      </c>
      <c r="H34">
        <f t="shared" si="0"/>
        <v>0.31441666666666668</v>
      </c>
    </row>
    <row r="35" spans="1:16">
      <c r="A35" s="130" t="s">
        <v>136</v>
      </c>
      <c r="B35">
        <v>0</v>
      </c>
      <c r="D35">
        <v>52.21</v>
      </c>
      <c r="F35">
        <v>50.2</v>
      </c>
      <c r="G35">
        <v>150</v>
      </c>
      <c r="H35">
        <f t="shared" si="0"/>
        <v>0.34806666666666669</v>
      </c>
    </row>
    <row r="36" spans="1:16">
      <c r="A36" s="130" t="s">
        <v>10</v>
      </c>
      <c r="B36">
        <v>0</v>
      </c>
      <c r="D36">
        <v>54.98</v>
      </c>
      <c r="E36" t="s">
        <v>944</v>
      </c>
      <c r="F36">
        <v>62.3</v>
      </c>
      <c r="G36">
        <v>160</v>
      </c>
      <c r="H36">
        <f t="shared" si="0"/>
        <v>0.34362499999999996</v>
      </c>
    </row>
    <row r="37" spans="1:16">
      <c r="A37" s="130" t="s">
        <v>138</v>
      </c>
      <c r="B37">
        <v>0</v>
      </c>
      <c r="D37">
        <v>89.82</v>
      </c>
      <c r="F37">
        <v>69.2</v>
      </c>
      <c r="G37">
        <v>310</v>
      </c>
      <c r="H37">
        <f t="shared" si="0"/>
        <v>0.28974193548387095</v>
      </c>
      <c r="J37">
        <v>1226</v>
      </c>
      <c r="K37" t="s">
        <v>1073</v>
      </c>
    </row>
    <row r="38" spans="1:16">
      <c r="A38" s="130" t="s">
        <v>139</v>
      </c>
      <c r="B38">
        <v>0</v>
      </c>
      <c r="D38">
        <v>124.61</v>
      </c>
      <c r="E38" t="s">
        <v>1087</v>
      </c>
      <c r="F38">
        <v>76.5</v>
      </c>
      <c r="G38">
        <v>440</v>
      </c>
      <c r="H38">
        <f t="shared" si="0"/>
        <v>0.28320454545454543</v>
      </c>
      <c r="J38">
        <v>1270</v>
      </c>
      <c r="K38" t="s">
        <v>1104</v>
      </c>
      <c r="P38" t="s">
        <v>1111</v>
      </c>
    </row>
    <row r="39" spans="1:16">
      <c r="A39" s="130" t="s">
        <v>141</v>
      </c>
      <c r="B39">
        <v>0</v>
      </c>
      <c r="D39">
        <v>104.89</v>
      </c>
      <c r="F39">
        <v>79.2</v>
      </c>
      <c r="G39">
        <v>380</v>
      </c>
      <c r="H39">
        <f t="shared" si="0"/>
        <v>0.27602631578947368</v>
      </c>
      <c r="J39">
        <v>1308</v>
      </c>
      <c r="K39" t="s">
        <v>1147</v>
      </c>
      <c r="P39" t="s">
        <v>1111</v>
      </c>
    </row>
    <row r="40" spans="1:16">
      <c r="A40" s="130" t="s">
        <v>143</v>
      </c>
      <c r="B40">
        <v>14.02</v>
      </c>
      <c r="C40">
        <v>66.099999999999994</v>
      </c>
      <c r="D40">
        <v>80.2</v>
      </c>
      <c r="F40">
        <v>77.099999999999994</v>
      </c>
      <c r="G40">
        <v>280</v>
      </c>
      <c r="H40">
        <f t="shared" si="0"/>
        <v>0.28642857142857142</v>
      </c>
      <c r="J40">
        <v>1336</v>
      </c>
      <c r="K40" t="s">
        <v>1173</v>
      </c>
    </row>
    <row r="41" spans="1:16">
      <c r="A41" s="130" t="s">
        <v>145</v>
      </c>
      <c r="B41">
        <v>44.5</v>
      </c>
      <c r="C41">
        <v>64.3</v>
      </c>
      <c r="D41">
        <v>72.13</v>
      </c>
      <c r="E41" t="s">
        <v>1295</v>
      </c>
      <c r="F41">
        <v>62.1</v>
      </c>
      <c r="G41">
        <f>10*(J41-J40)</f>
        <v>250</v>
      </c>
      <c r="H41">
        <f t="shared" si="0"/>
        <v>0.28852</v>
      </c>
      <c r="J41">
        <v>1361</v>
      </c>
      <c r="K41" t="s">
        <v>1185</v>
      </c>
    </row>
    <row r="42" spans="1:16">
      <c r="A42" s="130" t="s">
        <v>147</v>
      </c>
      <c r="B42">
        <v>81.25</v>
      </c>
      <c r="C42">
        <v>51.3</v>
      </c>
      <c r="D42">
        <v>91.23</v>
      </c>
      <c r="F42">
        <v>56.6</v>
      </c>
      <c r="G42">
        <f>10*(J42-J41)</f>
        <v>330</v>
      </c>
      <c r="H42">
        <f t="shared" si="0"/>
        <v>0.27645454545454545</v>
      </c>
      <c r="J42">
        <v>1394</v>
      </c>
      <c r="K42" t="s">
        <v>1265</v>
      </c>
    </row>
    <row r="43" spans="1:16">
      <c r="A43" s="130" t="s">
        <v>148</v>
      </c>
      <c r="B43">
        <v>20.329999999999998</v>
      </c>
      <c r="C43">
        <v>40.700000000000003</v>
      </c>
      <c r="D43">
        <v>88.54</v>
      </c>
      <c r="E43" t="s">
        <v>1295</v>
      </c>
      <c r="F43">
        <v>50.2</v>
      </c>
      <c r="G43">
        <v>350</v>
      </c>
      <c r="H43">
        <f t="shared" si="0"/>
        <v>0.25297142857142857</v>
      </c>
      <c r="J43">
        <v>1429</v>
      </c>
      <c r="K43" t="s">
        <v>1296</v>
      </c>
    </row>
    <row r="44" spans="1:16" ht="13.5" thickBot="1">
      <c r="A44" s="404" t="s">
        <v>31</v>
      </c>
      <c r="B44" s="436">
        <f>SUM(B32:B43)</f>
        <v>160.09999999999997</v>
      </c>
      <c r="C44" s="50"/>
      <c r="D44" s="436">
        <f>SUM(D32:D43)</f>
        <v>958.68</v>
      </c>
      <c r="G44" s="50">
        <f>SUM(G32:G43)</f>
        <v>3190</v>
      </c>
      <c r="H44" s="50">
        <f>SUM(H32:H43)</f>
        <v>3.9299806755157691</v>
      </c>
      <c r="I44" s="50">
        <f>SUM(I32:I43)</f>
        <v>0</v>
      </c>
    </row>
    <row r="45" spans="1:16" ht="13.5" thickTop="1">
      <c r="A45" t="s">
        <v>814</v>
      </c>
      <c r="B45">
        <f>B44/4</f>
        <v>40.024999999999991</v>
      </c>
      <c r="D45">
        <f>D44/12</f>
        <v>79.89</v>
      </c>
    </row>
    <row r="46" spans="1:16">
      <c r="A46" t="s">
        <v>815</v>
      </c>
      <c r="B46">
        <f>30+110+250+10</f>
        <v>400</v>
      </c>
      <c r="D46">
        <f>100+80+360+150+160+310+440+380+280+250+330+350</f>
        <v>3190</v>
      </c>
    </row>
    <row r="47" spans="1:16">
      <c r="A47" t="s">
        <v>828</v>
      </c>
      <c r="B47">
        <f>B46/4</f>
        <v>100</v>
      </c>
      <c r="D47">
        <f>D46/12</f>
        <v>265.83333333333331</v>
      </c>
    </row>
    <row r="48" spans="1:16">
      <c r="A48" t="s">
        <v>1007</v>
      </c>
      <c r="B48" s="435">
        <f>B44/B46</f>
        <v>0.40024999999999994</v>
      </c>
      <c r="D48" s="435">
        <f>(D44-7*16)/D46</f>
        <v>0.26541692789968652</v>
      </c>
    </row>
    <row r="54" spans="1:13" ht="13.5" thickBot="1"/>
    <row r="55" spans="1:13" ht="15">
      <c r="A55" s="386" t="s">
        <v>810</v>
      </c>
      <c r="B55" s="2" t="s">
        <v>824</v>
      </c>
      <c r="D55" t="s">
        <v>830</v>
      </c>
      <c r="H55" s="442" t="s">
        <v>1112</v>
      </c>
      <c r="I55" s="439"/>
      <c r="J55" s="439"/>
      <c r="K55" s="439"/>
      <c r="L55" s="439"/>
      <c r="M55" s="440"/>
    </row>
    <row r="56" spans="1:13" ht="13.5" thickBot="1">
      <c r="A56" s="403" t="s">
        <v>826</v>
      </c>
      <c r="D56" t="s">
        <v>827</v>
      </c>
      <c r="E56" t="s">
        <v>822</v>
      </c>
      <c r="H56" s="443" t="s">
        <v>1000</v>
      </c>
      <c r="I56" s="419"/>
      <c r="J56" s="419"/>
      <c r="K56" s="444">
        <f>3*200+3*150+6*30</f>
        <v>1230</v>
      </c>
      <c r="L56" s="419"/>
      <c r="M56" s="441"/>
    </row>
    <row r="57" spans="1:13">
      <c r="A57" t="s">
        <v>843</v>
      </c>
      <c r="B57" t="s">
        <v>849</v>
      </c>
    </row>
    <row r="58" spans="1:13">
      <c r="B58" t="s">
        <v>935</v>
      </c>
    </row>
    <row r="59" spans="1:13">
      <c r="B59" t="s">
        <v>999</v>
      </c>
    </row>
    <row r="60" spans="1:13">
      <c r="A60" s="403"/>
    </row>
    <row r="61" spans="1:13">
      <c r="A61" s="130" t="s">
        <v>171</v>
      </c>
      <c r="B61">
        <v>2014</v>
      </c>
      <c r="D61">
        <v>2015</v>
      </c>
      <c r="F61" t="s">
        <v>530</v>
      </c>
      <c r="G61" t="s">
        <v>817</v>
      </c>
      <c r="H61" t="s">
        <v>818</v>
      </c>
      <c r="I61" t="s">
        <v>819</v>
      </c>
    </row>
    <row r="62" spans="1:13">
      <c r="A62" s="130"/>
    </row>
    <row r="63" spans="1:13">
      <c r="A63" s="130" t="s">
        <v>121</v>
      </c>
      <c r="B63">
        <v>0</v>
      </c>
      <c r="D63">
        <v>132.77000000000001</v>
      </c>
      <c r="E63" t="s">
        <v>848</v>
      </c>
      <c r="F63">
        <v>33.700000000000003</v>
      </c>
      <c r="G63">
        <f>105</f>
        <v>105</v>
      </c>
      <c r="H63">
        <v>105</v>
      </c>
    </row>
    <row r="64" spans="1:13">
      <c r="A64" s="130" t="s">
        <v>128</v>
      </c>
      <c r="B64">
        <v>0</v>
      </c>
      <c r="D64">
        <v>213.14</v>
      </c>
      <c r="E64" t="s">
        <v>174</v>
      </c>
      <c r="F64">
        <v>30.2</v>
      </c>
      <c r="G64">
        <v>209</v>
      </c>
      <c r="H64">
        <v>209</v>
      </c>
    </row>
    <row r="65" spans="1:15">
      <c r="A65" s="130" t="s">
        <v>134</v>
      </c>
      <c r="B65">
        <v>0</v>
      </c>
      <c r="D65">
        <v>195.58</v>
      </c>
      <c r="F65">
        <v>30.2</v>
      </c>
      <c r="G65">
        <v>207</v>
      </c>
      <c r="H65">
        <v>207</v>
      </c>
      <c r="M65" t="s">
        <v>1069</v>
      </c>
      <c r="O65">
        <v>1000</v>
      </c>
    </row>
    <row r="66" spans="1:15">
      <c r="A66" s="130" t="s">
        <v>136</v>
      </c>
      <c r="B66">
        <v>0</v>
      </c>
      <c r="D66">
        <v>117.2</v>
      </c>
      <c r="F66">
        <v>50.2</v>
      </c>
      <c r="G66">
        <v>106</v>
      </c>
      <c r="H66">
        <v>106</v>
      </c>
      <c r="M66" t="s">
        <v>1070</v>
      </c>
      <c r="O66">
        <v>300</v>
      </c>
    </row>
    <row r="67" spans="1:15">
      <c r="A67" s="130" t="s">
        <v>10</v>
      </c>
      <c r="B67">
        <v>0</v>
      </c>
      <c r="D67">
        <v>40.61</v>
      </c>
      <c r="F67">
        <v>62.3</v>
      </c>
      <c r="G67">
        <v>16</v>
      </c>
      <c r="H67">
        <v>16</v>
      </c>
      <c r="I67">
        <v>0</v>
      </c>
      <c r="M67" t="s">
        <v>28</v>
      </c>
      <c r="O67">
        <v>750</v>
      </c>
    </row>
    <row r="68" spans="1:15">
      <c r="A68" s="130" t="s">
        <v>138</v>
      </c>
      <c r="B68">
        <v>0</v>
      </c>
      <c r="D68">
        <v>25.98</v>
      </c>
      <c r="F68">
        <v>69.2</v>
      </c>
      <c r="G68">
        <v>0</v>
      </c>
      <c r="H68">
        <v>0</v>
      </c>
      <c r="I68">
        <v>0</v>
      </c>
      <c r="M68" t="s">
        <v>26</v>
      </c>
      <c r="O68">
        <v>1100</v>
      </c>
    </row>
    <row r="69" spans="1:15">
      <c r="A69" s="130" t="s">
        <v>139</v>
      </c>
      <c r="B69">
        <v>0</v>
      </c>
      <c r="D69">
        <v>23.63</v>
      </c>
      <c r="E69" t="s">
        <v>1087</v>
      </c>
      <c r="F69">
        <v>76.5</v>
      </c>
      <c r="G69">
        <v>0</v>
      </c>
      <c r="H69">
        <v>0</v>
      </c>
      <c r="I69">
        <v>0</v>
      </c>
      <c r="J69" t="s">
        <v>1104</v>
      </c>
      <c r="O69">
        <f>SUM(O65:O68)</f>
        <v>3150</v>
      </c>
    </row>
    <row r="70" spans="1:15">
      <c r="A70" s="130" t="s">
        <v>141</v>
      </c>
      <c r="B70">
        <v>0</v>
      </c>
      <c r="D70">
        <v>24.42</v>
      </c>
      <c r="F70">
        <v>79.2</v>
      </c>
      <c r="G70">
        <v>0</v>
      </c>
      <c r="H70">
        <v>0</v>
      </c>
      <c r="I70">
        <v>0</v>
      </c>
    </row>
    <row r="71" spans="1:15">
      <c r="A71" s="130" t="s">
        <v>143</v>
      </c>
      <c r="B71">
        <v>0</v>
      </c>
      <c r="D71">
        <v>25.98</v>
      </c>
      <c r="F71">
        <v>77.099999999999994</v>
      </c>
      <c r="G71">
        <v>0</v>
      </c>
      <c r="H71">
        <v>0</v>
      </c>
      <c r="I71">
        <v>0</v>
      </c>
    </row>
    <row r="72" spans="1:15">
      <c r="A72" s="130" t="s">
        <v>145</v>
      </c>
      <c r="B72">
        <v>29.95</v>
      </c>
      <c r="C72" t="s">
        <v>140</v>
      </c>
      <c r="D72">
        <v>23.63</v>
      </c>
      <c r="F72">
        <v>62.1</v>
      </c>
      <c r="G72">
        <v>0</v>
      </c>
      <c r="H72">
        <v>0</v>
      </c>
      <c r="I72">
        <v>0</v>
      </c>
      <c r="J72" t="s">
        <v>1148</v>
      </c>
    </row>
    <row r="73" spans="1:15">
      <c r="A73" s="130" t="s">
        <v>147</v>
      </c>
      <c r="B73">
        <v>116.85</v>
      </c>
      <c r="C73" t="s">
        <v>140</v>
      </c>
      <c r="D73">
        <v>31.2</v>
      </c>
      <c r="F73">
        <v>56.6</v>
      </c>
      <c r="G73">
        <f>(97+8)/2</f>
        <v>52.5</v>
      </c>
      <c r="H73">
        <v>97</v>
      </c>
      <c r="I73">
        <v>8</v>
      </c>
    </row>
    <row r="74" spans="1:15">
      <c r="A74" s="130" t="s">
        <v>148</v>
      </c>
      <c r="B74">
        <v>212.06</v>
      </c>
      <c r="C74" t="s">
        <v>140</v>
      </c>
      <c r="D74">
        <v>57.45</v>
      </c>
      <c r="F74">
        <v>50.2</v>
      </c>
      <c r="G74">
        <f>(221+27)/2</f>
        <v>124</v>
      </c>
      <c r="H74">
        <v>221</v>
      </c>
      <c r="I74">
        <v>27</v>
      </c>
    </row>
    <row r="75" spans="1:15" ht="13.5" thickBot="1">
      <c r="A75" s="404" t="s">
        <v>31</v>
      </c>
      <c r="B75" s="50">
        <f>SUM(B63:B74)</f>
        <v>358.86</v>
      </c>
      <c r="C75" s="50"/>
      <c r="D75" s="50">
        <f>SUM(D63:D74)</f>
        <v>911.59000000000015</v>
      </c>
    </row>
    <row r="76" spans="1:15" ht="13.5" thickTop="1">
      <c r="A76" t="s">
        <v>814</v>
      </c>
      <c r="B76" s="405">
        <f>B75/3</f>
        <v>119.62</v>
      </c>
      <c r="D76">
        <f>D75/12</f>
        <v>75.96583333333335</v>
      </c>
    </row>
    <row r="77" spans="1:15">
      <c r="A77" t="s">
        <v>839</v>
      </c>
      <c r="B77">
        <f>0+97+221</f>
        <v>318</v>
      </c>
      <c r="D77">
        <f>105+209+207+106+16+8+27</f>
        <v>678</v>
      </c>
    </row>
    <row r="78" spans="1:15">
      <c r="A78" t="s">
        <v>850</v>
      </c>
      <c r="B78">
        <f>B77/3</f>
        <v>106</v>
      </c>
      <c r="D78">
        <f>D77/12</f>
        <v>56.5</v>
      </c>
    </row>
    <row r="83" spans="1:12" ht="13.5" thickBot="1"/>
    <row r="84" spans="1:12" ht="15.75" thickBot="1">
      <c r="A84" s="386" t="s">
        <v>831</v>
      </c>
      <c r="D84" t="s">
        <v>832</v>
      </c>
      <c r="E84" t="s">
        <v>851</v>
      </c>
      <c r="J84" s="445" t="s">
        <v>1144</v>
      </c>
      <c r="K84" s="452"/>
      <c r="L84" s="453">
        <f>12*25</f>
        <v>300</v>
      </c>
    </row>
    <row r="85" spans="1:12">
      <c r="A85" s="403" t="s">
        <v>826</v>
      </c>
      <c r="D85" t="s">
        <v>827</v>
      </c>
      <c r="E85" t="s">
        <v>822</v>
      </c>
    </row>
    <row r="86" spans="1:12">
      <c r="A86" s="130" t="s">
        <v>171</v>
      </c>
      <c r="B86">
        <v>2014</v>
      </c>
      <c r="D86">
        <v>2015</v>
      </c>
      <c r="G86" t="s">
        <v>817</v>
      </c>
      <c r="H86" t="s">
        <v>818</v>
      </c>
      <c r="I86" t="s">
        <v>819</v>
      </c>
    </row>
    <row r="87" spans="1:12">
      <c r="A87" s="130"/>
    </row>
    <row r="88" spans="1:12">
      <c r="A88" s="130" t="s">
        <v>121</v>
      </c>
      <c r="B88">
        <v>0</v>
      </c>
      <c r="D88">
        <v>17.68</v>
      </c>
      <c r="E88" t="s">
        <v>140</v>
      </c>
      <c r="F88">
        <v>33.700000000000003</v>
      </c>
      <c r="H88">
        <v>2</v>
      </c>
    </row>
    <row r="89" spans="1:12">
      <c r="A89" s="130" t="s">
        <v>128</v>
      </c>
      <c r="B89">
        <v>0</v>
      </c>
      <c r="D89">
        <v>15.38</v>
      </c>
      <c r="E89" t="s">
        <v>140</v>
      </c>
      <c r="F89">
        <v>30.2</v>
      </c>
      <c r="H89">
        <v>0</v>
      </c>
    </row>
    <row r="90" spans="1:12">
      <c r="A90" s="130" t="s">
        <v>134</v>
      </c>
      <c r="B90">
        <v>0</v>
      </c>
      <c r="D90">
        <v>16.37</v>
      </c>
      <c r="E90" t="s">
        <v>140</v>
      </c>
      <c r="F90">
        <v>30.2</v>
      </c>
      <c r="H90">
        <v>0</v>
      </c>
    </row>
    <row r="91" spans="1:12">
      <c r="A91" s="130" t="s">
        <v>136</v>
      </c>
      <c r="B91">
        <v>0</v>
      </c>
      <c r="D91">
        <v>24.38</v>
      </c>
      <c r="E91" t="s">
        <v>174</v>
      </c>
      <c r="F91">
        <v>50.2</v>
      </c>
      <c r="H91">
        <v>10</v>
      </c>
      <c r="J91" t="s">
        <v>1141</v>
      </c>
    </row>
    <row r="92" spans="1:12">
      <c r="A92" s="130" t="s">
        <v>10</v>
      </c>
      <c r="B92">
        <v>0</v>
      </c>
      <c r="D92">
        <v>21.03</v>
      </c>
      <c r="F92">
        <v>62.3</v>
      </c>
      <c r="H92">
        <v>8</v>
      </c>
      <c r="J92" t="s">
        <v>1045</v>
      </c>
    </row>
    <row r="93" spans="1:12">
      <c r="A93" s="130" t="s">
        <v>138</v>
      </c>
      <c r="B93">
        <v>0</v>
      </c>
      <c r="D93">
        <v>23.84</v>
      </c>
      <c r="F93">
        <v>69.2</v>
      </c>
      <c r="H93">
        <v>10</v>
      </c>
      <c r="J93" t="s">
        <v>1068</v>
      </c>
    </row>
    <row r="94" spans="1:12">
      <c r="A94" s="130" t="s">
        <v>139</v>
      </c>
      <c r="B94">
        <v>0</v>
      </c>
      <c r="D94">
        <v>24.28</v>
      </c>
      <c r="E94" t="s">
        <v>1087</v>
      </c>
      <c r="F94">
        <v>76.5</v>
      </c>
      <c r="H94">
        <v>12</v>
      </c>
      <c r="J94" t="s">
        <v>1142</v>
      </c>
    </row>
    <row r="95" spans="1:12">
      <c r="A95" s="130" t="s">
        <v>141</v>
      </c>
      <c r="B95">
        <v>0</v>
      </c>
      <c r="D95">
        <v>23.15</v>
      </c>
      <c r="F95">
        <v>79.2</v>
      </c>
      <c r="H95">
        <v>10</v>
      </c>
    </row>
    <row r="96" spans="1:12">
      <c r="A96" s="130" t="s">
        <v>143</v>
      </c>
      <c r="B96">
        <v>0</v>
      </c>
      <c r="D96">
        <v>22.41</v>
      </c>
      <c r="F96">
        <v>77.099999999999994</v>
      </c>
      <c r="H96">
        <v>8</v>
      </c>
    </row>
    <row r="97" spans="1:14">
      <c r="A97" s="130" t="s">
        <v>145</v>
      </c>
      <c r="B97">
        <v>22.75</v>
      </c>
      <c r="C97" t="s">
        <v>140</v>
      </c>
      <c r="D97">
        <v>24.36</v>
      </c>
      <c r="F97">
        <v>62.1</v>
      </c>
      <c r="H97">
        <v>12</v>
      </c>
    </row>
    <row r="98" spans="1:14">
      <c r="A98" s="130" t="s">
        <v>147</v>
      </c>
      <c r="B98">
        <v>17.489999999999998</v>
      </c>
      <c r="C98" t="s">
        <v>140</v>
      </c>
      <c r="D98">
        <v>27.7</v>
      </c>
      <c r="F98">
        <v>56.6</v>
      </c>
      <c r="H98">
        <v>15</v>
      </c>
    </row>
    <row r="99" spans="1:14">
      <c r="A99" s="130" t="s">
        <v>148</v>
      </c>
      <c r="B99">
        <v>18.95</v>
      </c>
      <c r="C99" t="s">
        <v>140</v>
      </c>
      <c r="D99">
        <v>35.4</v>
      </c>
      <c r="F99">
        <v>50.2</v>
      </c>
      <c r="H99">
        <v>20</v>
      </c>
      <c r="J99" t="s">
        <v>1293</v>
      </c>
    </row>
    <row r="100" spans="1:14" ht="13.5" thickBot="1">
      <c r="A100" s="404" t="s">
        <v>31</v>
      </c>
      <c r="B100" s="50">
        <f>SUM(B88:B99)</f>
        <v>59.19</v>
      </c>
      <c r="C100" s="50" t="s">
        <v>140</v>
      </c>
      <c r="D100" s="50">
        <f>SUM(D88:D99)</f>
        <v>275.97999999999996</v>
      </c>
    </row>
    <row r="101" spans="1:14" ht="13.5" thickTop="1">
      <c r="A101" t="s">
        <v>814</v>
      </c>
      <c r="B101">
        <f>B100/3</f>
        <v>19.73</v>
      </c>
      <c r="D101">
        <f>D100/12</f>
        <v>22.998333333333331</v>
      </c>
    </row>
    <row r="102" spans="1:14">
      <c r="A102" t="s">
        <v>839</v>
      </c>
      <c r="B102">
        <f>3+3+3</f>
        <v>9</v>
      </c>
      <c r="D102">
        <f>2+10+8+10+12+10+8+12+15+20</f>
        <v>107</v>
      </c>
    </row>
    <row r="103" spans="1:14">
      <c r="A103" t="s">
        <v>840</v>
      </c>
      <c r="B103">
        <f>B102/3</f>
        <v>3</v>
      </c>
      <c r="D103">
        <f>D102/12</f>
        <v>8.9166666666666661</v>
      </c>
    </row>
    <row r="105" spans="1:14">
      <c r="A105" t="s">
        <v>841</v>
      </c>
      <c r="B105" t="s">
        <v>842</v>
      </c>
    </row>
    <row r="110" spans="1:14" ht="15">
      <c r="A110" s="386" t="s">
        <v>833</v>
      </c>
      <c r="D110" s="403" t="s">
        <v>837</v>
      </c>
      <c r="E110" t="s">
        <v>1004</v>
      </c>
    </row>
    <row r="111" spans="1:14">
      <c r="A111" t="s">
        <v>834</v>
      </c>
      <c r="B111" t="s">
        <v>835</v>
      </c>
      <c r="D111" t="s">
        <v>836</v>
      </c>
    </row>
    <row r="112" spans="1:14">
      <c r="A112" s="130" t="s">
        <v>171</v>
      </c>
      <c r="B112" s="131">
        <v>2014</v>
      </c>
      <c r="D112" s="131">
        <v>2015</v>
      </c>
      <c r="G112" t="s">
        <v>1180</v>
      </c>
      <c r="H112" t="s">
        <v>817</v>
      </c>
      <c r="I112" t="s">
        <v>817</v>
      </c>
      <c r="J112" t="s">
        <v>846</v>
      </c>
      <c r="K112" t="s">
        <v>847</v>
      </c>
      <c r="L112" t="s">
        <v>1151</v>
      </c>
      <c r="M112" t="s">
        <v>1152</v>
      </c>
      <c r="N112" t="s">
        <v>1153</v>
      </c>
    </row>
    <row r="113" spans="1:14">
      <c r="A113" s="130"/>
      <c r="H113" t="s">
        <v>963</v>
      </c>
      <c r="I113" t="s">
        <v>1005</v>
      </c>
    </row>
    <row r="114" spans="1:14">
      <c r="A114" s="130" t="s">
        <v>121</v>
      </c>
      <c r="D114" s="139"/>
      <c r="F114">
        <v>33.700000000000003</v>
      </c>
    </row>
    <row r="115" spans="1:14">
      <c r="A115" s="130" t="s">
        <v>128</v>
      </c>
      <c r="B115">
        <v>0</v>
      </c>
      <c r="D115" s="139">
        <v>268.32</v>
      </c>
      <c r="F115">
        <v>30.2</v>
      </c>
      <c r="G115">
        <f>D115/I115</f>
        <v>9.582857142857143E-2</v>
      </c>
      <c r="H115">
        <f>I115*7.48</f>
        <v>20944</v>
      </c>
      <c r="I115">
        <v>2800</v>
      </c>
      <c r="J115" s="139">
        <v>103.6</v>
      </c>
      <c r="K115" s="139">
        <v>164.72</v>
      </c>
      <c r="L115" t="s">
        <v>1011</v>
      </c>
    </row>
    <row r="116" spans="1:14">
      <c r="A116" s="130" t="s">
        <v>134</v>
      </c>
      <c r="D116" s="139"/>
      <c r="F116">
        <v>30.2</v>
      </c>
    </row>
    <row r="117" spans="1:14">
      <c r="A117" s="130" t="s">
        <v>136</v>
      </c>
      <c r="D117" s="139"/>
      <c r="F117">
        <v>50.2</v>
      </c>
    </row>
    <row r="118" spans="1:14">
      <c r="A118" s="130" t="s">
        <v>10</v>
      </c>
      <c r="B118">
        <v>0</v>
      </c>
      <c r="D118" s="139">
        <v>112.95</v>
      </c>
      <c r="F118">
        <v>62.3</v>
      </c>
      <c r="G118">
        <f>D118/(I118)</f>
        <v>0.16135714285714287</v>
      </c>
      <c r="H118">
        <f t="shared" ref="H118:H125" si="1">I118*7.48</f>
        <v>5236</v>
      </c>
      <c r="I118">
        <v>700</v>
      </c>
      <c r="J118">
        <v>43.61</v>
      </c>
      <c r="K118">
        <v>69.34</v>
      </c>
      <c r="L118" t="s">
        <v>1010</v>
      </c>
    </row>
    <row r="119" spans="1:14">
      <c r="A119" s="130" t="s">
        <v>138</v>
      </c>
      <c r="D119" s="139"/>
      <c r="F119">
        <v>69.2</v>
      </c>
    </row>
    <row r="120" spans="1:14">
      <c r="A120" s="130" t="s">
        <v>139</v>
      </c>
      <c r="D120" s="139"/>
      <c r="F120">
        <v>76.5</v>
      </c>
      <c r="H120">
        <f t="shared" si="1"/>
        <v>3740</v>
      </c>
      <c r="I120">
        <v>500</v>
      </c>
      <c r="J120">
        <v>20.58</v>
      </c>
      <c r="K120">
        <v>32.72</v>
      </c>
      <c r="N120">
        <v>42</v>
      </c>
    </row>
    <row r="121" spans="1:14">
      <c r="A121" s="130" t="s">
        <v>141</v>
      </c>
      <c r="B121">
        <v>0</v>
      </c>
      <c r="D121" s="139">
        <v>145.66</v>
      </c>
      <c r="F121">
        <v>79.2</v>
      </c>
      <c r="G121">
        <f>D121/(I120+I121)</f>
        <v>0.11204615384615384</v>
      </c>
      <c r="H121">
        <f t="shared" si="1"/>
        <v>5984</v>
      </c>
      <c r="I121">
        <v>800</v>
      </c>
      <c r="J121">
        <v>24.5</v>
      </c>
      <c r="K121">
        <v>38.96</v>
      </c>
      <c r="L121">
        <v>10.01</v>
      </c>
      <c r="M121">
        <v>18.89</v>
      </c>
      <c r="N121">
        <v>50</v>
      </c>
    </row>
    <row r="122" spans="1:14">
      <c r="A122" s="130" t="s">
        <v>143</v>
      </c>
      <c r="D122" s="139">
        <v>53.36</v>
      </c>
      <c r="F122">
        <v>77.099999999999994</v>
      </c>
      <c r="G122">
        <f>D122/I122</f>
        <v>0.17786666666666667</v>
      </c>
      <c r="H122">
        <f t="shared" si="1"/>
        <v>2244</v>
      </c>
      <c r="I122">
        <v>300</v>
      </c>
      <c r="J122">
        <v>15.68</v>
      </c>
      <c r="K122">
        <v>24.93</v>
      </c>
      <c r="L122">
        <v>4.42</v>
      </c>
      <c r="M122">
        <v>8.33</v>
      </c>
      <c r="N122">
        <v>32</v>
      </c>
    </row>
    <row r="123" spans="1:14">
      <c r="A123" s="130" t="s">
        <v>145</v>
      </c>
      <c r="D123" s="139">
        <v>51.67</v>
      </c>
      <c r="F123">
        <v>62.1</v>
      </c>
      <c r="G123">
        <f>D123/I123</f>
        <v>0.12917500000000001</v>
      </c>
      <c r="H123">
        <f t="shared" si="1"/>
        <v>2992</v>
      </c>
      <c r="I123">
        <v>400</v>
      </c>
      <c r="J123">
        <v>14.7</v>
      </c>
      <c r="K123">
        <v>23.37</v>
      </c>
      <c r="L123">
        <v>4.71</v>
      </c>
      <c r="M123">
        <v>8.89</v>
      </c>
      <c r="N123">
        <v>30</v>
      </c>
    </row>
    <row r="124" spans="1:14">
      <c r="A124" s="130" t="s">
        <v>147</v>
      </c>
      <c r="B124">
        <v>100.26</v>
      </c>
      <c r="D124" s="139">
        <v>52.51</v>
      </c>
      <c r="F124">
        <v>56.6</v>
      </c>
      <c r="G124">
        <f>D124/(I124*7.48)</f>
        <v>1.4040106951871658E-2</v>
      </c>
      <c r="H124">
        <f t="shared" si="1"/>
        <v>3740</v>
      </c>
      <c r="I124">
        <v>500</v>
      </c>
      <c r="J124">
        <v>19.05</v>
      </c>
      <c r="K124">
        <v>30.29</v>
      </c>
      <c r="L124">
        <v>4.5599999999999996</v>
      </c>
      <c r="M124">
        <v>8.61</v>
      </c>
      <c r="N124">
        <v>30</v>
      </c>
    </row>
    <row r="125" spans="1:14">
      <c r="A125" s="130" t="s">
        <v>148</v>
      </c>
      <c r="D125" s="139">
        <v>52.64</v>
      </c>
      <c r="F125">
        <v>50.2</v>
      </c>
      <c r="H125">
        <f t="shared" si="1"/>
        <v>2992</v>
      </c>
      <c r="I125">
        <v>400</v>
      </c>
      <c r="J125">
        <v>15.24</v>
      </c>
      <c r="K125">
        <v>24.23</v>
      </c>
      <c r="L125">
        <v>4.5599999999999996</v>
      </c>
      <c r="M125">
        <v>8.61</v>
      </c>
      <c r="N125">
        <v>28</v>
      </c>
    </row>
    <row r="126" spans="1:14" ht="13.5" thickBot="1">
      <c r="A126" s="404" t="s">
        <v>31</v>
      </c>
      <c r="B126" s="50">
        <f>SUM(B114:B125)</f>
        <v>100.26</v>
      </c>
      <c r="C126" s="50"/>
      <c r="D126" s="50">
        <f>SUM(D114:D125)</f>
        <v>737.1099999999999</v>
      </c>
    </row>
    <row r="127" spans="1:14" ht="13.5" thickTop="1">
      <c r="A127" t="s">
        <v>814</v>
      </c>
      <c r="B127">
        <f>B126/3</f>
        <v>33.42</v>
      </c>
      <c r="D127">
        <f>D126/12</f>
        <v>61.425833333333323</v>
      </c>
    </row>
    <row r="128" spans="1:14">
      <c r="A128" t="s">
        <v>838</v>
      </c>
      <c r="B128">
        <f>800</f>
        <v>800</v>
      </c>
      <c r="D128">
        <f>2800+700+(500+800)+300+400+500+400</f>
        <v>6400</v>
      </c>
      <c r="G128">
        <f>4800*7.48</f>
        <v>35904</v>
      </c>
    </row>
    <row r="129" spans="1:4">
      <c r="A129" s="433" t="s">
        <v>1002</v>
      </c>
      <c r="B129">
        <f>B128*7.48</f>
        <v>5984</v>
      </c>
      <c r="D129">
        <f>D128*7.48</f>
        <v>47872</v>
      </c>
    </row>
    <row r="130" spans="1:4">
      <c r="A130" t="s">
        <v>1003</v>
      </c>
      <c r="B130">
        <f>B129/3</f>
        <v>1994.6666666666667</v>
      </c>
      <c r="D130">
        <f>D129/3</f>
        <v>15957.333333333334</v>
      </c>
    </row>
    <row r="131" spans="1:4">
      <c r="A131" t="s">
        <v>1006</v>
      </c>
      <c r="B131" s="434">
        <f>B126/B129</f>
        <v>1.6754679144385026E-2</v>
      </c>
      <c r="C131" s="434"/>
      <c r="D131" s="434">
        <f>D126/D129</f>
        <v>1.539751838235294E-2</v>
      </c>
    </row>
    <row r="132" spans="1:4">
      <c r="A132" t="s">
        <v>1179</v>
      </c>
      <c r="B132">
        <f>B126/B128</f>
        <v>0.12532500000000002</v>
      </c>
      <c r="D132">
        <f>D126/D128</f>
        <v>0.11517343749999999</v>
      </c>
    </row>
    <row r="133" spans="1:4">
      <c r="A133" t="s">
        <v>1181</v>
      </c>
    </row>
    <row r="134" spans="1:4">
      <c r="A134" t="s">
        <v>1009</v>
      </c>
    </row>
    <row r="135" spans="1:4">
      <c r="A135" t="s">
        <v>1183</v>
      </c>
    </row>
    <row r="136" spans="1:4">
      <c r="D136">
        <f>2000/7.48</f>
        <v>267.37967914438502</v>
      </c>
    </row>
    <row r="139" spans="1:4">
      <c r="A139" s="2" t="s">
        <v>1062</v>
      </c>
    </row>
    <row r="140" spans="1:4">
      <c r="A140" t="s">
        <v>1059</v>
      </c>
      <c r="B140">
        <v>2015</v>
      </c>
      <c r="D140">
        <v>2016</v>
      </c>
    </row>
    <row r="141" spans="1:4">
      <c r="A141" t="s">
        <v>28</v>
      </c>
      <c r="B141">
        <v>3.7</v>
      </c>
      <c r="D141">
        <v>3.82</v>
      </c>
    </row>
    <row r="142" spans="1:4">
      <c r="A142" t="s">
        <v>1060</v>
      </c>
      <c r="B142">
        <v>5.88</v>
      </c>
      <c r="D142">
        <v>6.07</v>
      </c>
    </row>
    <row r="143" spans="1:4" ht="13.5" thickBot="1">
      <c r="A143" t="s">
        <v>1061</v>
      </c>
      <c r="B143" s="50">
        <f>SUM(B141:B142)</f>
        <v>9.58</v>
      </c>
      <c r="D143" s="50">
        <f>SUM(D141:D142)</f>
        <v>9.89</v>
      </c>
    </row>
    <row r="144" spans="1:4" ht="13.5" thickTop="1"/>
  </sheetData>
  <hyperlinks>
    <hyperlink ref="A24" r:id="rId1"/>
    <hyperlink ref="A56" r:id="rId2"/>
    <hyperlink ref="A85" r:id="rId3"/>
  </hyperlinks>
  <pageMargins left="0.7" right="0.7" top="0.75" bottom="0.75" header="0.3" footer="0.3"/>
  <pageSetup orientation="portrait" r:id="rId4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70"/>
  <sheetViews>
    <sheetView topLeftCell="A101" zoomScale="98" zoomScaleNormal="98" workbookViewId="0">
      <selection activeCell="L118" sqref="L118"/>
    </sheetView>
  </sheetViews>
  <sheetFormatPr defaultColWidth="9" defaultRowHeight="15.75"/>
  <cols>
    <col min="1" max="1" width="31" style="74" customWidth="1"/>
    <col min="2" max="2" width="18" style="65" customWidth="1"/>
    <col min="3" max="3" width="17.140625" style="65" customWidth="1"/>
    <col min="4" max="5" width="16.5703125" style="65" customWidth="1"/>
    <col min="6" max="6" width="6.42578125" style="93" customWidth="1"/>
    <col min="7" max="7" width="14.5703125" style="65" customWidth="1"/>
    <col min="8" max="8" width="13.85546875" style="65" customWidth="1"/>
    <col min="9" max="10" width="14" style="65" customWidth="1"/>
    <col min="11" max="11" width="2.28515625" style="80" customWidth="1"/>
    <col min="12" max="13" width="11.85546875" style="65" customWidth="1"/>
    <col min="14" max="15" width="11.5703125" style="65" customWidth="1"/>
    <col min="16" max="16" width="1.7109375" style="65" customWidth="1"/>
    <col min="17" max="17" width="15.28515625" style="65" customWidth="1"/>
    <col min="18" max="18" width="11.5703125" style="65" customWidth="1"/>
    <col min="19" max="19" width="11.42578125" style="65" customWidth="1"/>
    <col min="20" max="22" width="9" style="65"/>
    <col min="23" max="23" width="10.5703125" style="65" customWidth="1"/>
    <col min="24" max="16384" width="9" style="65"/>
  </cols>
  <sheetData>
    <row r="1" spans="1:19">
      <c r="A1" s="71" t="s">
        <v>182</v>
      </c>
      <c r="B1" s="72">
        <v>2015</v>
      </c>
      <c r="C1" s="72"/>
      <c r="L1" s="73" t="s">
        <v>492</v>
      </c>
    </row>
    <row r="2" spans="1:19">
      <c r="A2" s="71" t="s">
        <v>171</v>
      </c>
      <c r="B2" s="73" t="s">
        <v>6</v>
      </c>
      <c r="C2" s="73"/>
      <c r="M2" s="73" t="s">
        <v>852</v>
      </c>
    </row>
    <row r="3" spans="1:19">
      <c r="B3" s="65" t="s">
        <v>91</v>
      </c>
      <c r="M3" s="73" t="s">
        <v>859</v>
      </c>
      <c r="P3" s="75"/>
    </row>
    <row r="4" spans="1:19">
      <c r="A4" s="71" t="s">
        <v>4</v>
      </c>
      <c r="B4" s="76">
        <f>SUM(G5:G8)</f>
        <v>6679.56</v>
      </c>
      <c r="C4" s="76"/>
      <c r="G4" s="65" t="s">
        <v>31</v>
      </c>
      <c r="M4" s="269" t="s">
        <v>853</v>
      </c>
      <c r="P4" s="75"/>
      <c r="S4" s="65" t="s">
        <v>491</v>
      </c>
    </row>
    <row r="5" spans="1:19" ht="12.75">
      <c r="A5" s="65" t="s">
        <v>24</v>
      </c>
      <c r="B5" s="121">
        <v>3339.78</v>
      </c>
      <c r="C5" s="122">
        <v>3339.78</v>
      </c>
      <c r="G5" s="121">
        <f>SUM(B5:E5)</f>
        <v>6679.56</v>
      </c>
      <c r="H5" s="77"/>
      <c r="I5" s="77"/>
      <c r="J5" s="77"/>
      <c r="K5" s="81"/>
      <c r="M5" s="77"/>
      <c r="P5" s="75"/>
      <c r="S5" s="65" t="s">
        <v>490</v>
      </c>
    </row>
    <row r="6" spans="1:19" ht="12.75">
      <c r="A6" s="65" t="s">
        <v>230</v>
      </c>
      <c r="C6" s="75"/>
      <c r="G6" s="121">
        <f>SUM(B6:E6)</f>
        <v>0</v>
      </c>
      <c r="H6" s="77"/>
      <c r="I6" s="77"/>
      <c r="J6" s="77"/>
      <c r="K6" s="81"/>
      <c r="M6" s="77"/>
      <c r="P6" s="75"/>
      <c r="S6" s="65" t="s">
        <v>489</v>
      </c>
    </row>
    <row r="7" spans="1:19" ht="12.75">
      <c r="A7" s="65"/>
      <c r="G7" s="121">
        <f>SUM(B7:E7)</f>
        <v>0</v>
      </c>
      <c r="H7" s="77"/>
      <c r="I7" s="77"/>
      <c r="J7" s="77"/>
      <c r="K7" s="81"/>
      <c r="L7" s="77"/>
      <c r="O7" s="75"/>
    </row>
    <row r="8" spans="1:19">
      <c r="G8" s="121"/>
      <c r="H8" s="77"/>
      <c r="I8" s="77"/>
      <c r="J8" s="77"/>
      <c r="K8" s="81"/>
      <c r="P8" s="75"/>
    </row>
    <row r="9" spans="1:19" ht="13.5">
      <c r="A9" s="58"/>
      <c r="B9" s="62"/>
      <c r="C9" s="52"/>
      <c r="D9" s="52"/>
      <c r="E9" s="52"/>
      <c r="F9" s="261"/>
      <c r="G9" s="55"/>
      <c r="H9" s="52"/>
      <c r="I9" s="61" t="s">
        <v>34</v>
      </c>
      <c r="J9" s="90" t="s">
        <v>280</v>
      </c>
      <c r="M9" s="52"/>
    </row>
    <row r="10" spans="1:19" s="52" customFormat="1" ht="15" customHeight="1">
      <c r="A10" s="58"/>
      <c r="B10" s="62"/>
      <c r="F10" s="261"/>
      <c r="G10" s="55" t="s">
        <v>234</v>
      </c>
      <c r="H10" s="52" t="s">
        <v>38</v>
      </c>
      <c r="I10" s="63" t="s">
        <v>37</v>
      </c>
      <c r="J10" s="91" t="s">
        <v>37</v>
      </c>
      <c r="K10" s="82"/>
    </row>
    <row r="11" spans="1:19" s="52" customFormat="1" ht="15" customHeight="1">
      <c r="A11" s="58" t="s">
        <v>275</v>
      </c>
      <c r="B11" s="262">
        <f>G11</f>
        <v>750</v>
      </c>
      <c r="D11" s="52" t="s">
        <v>277</v>
      </c>
      <c r="E11" s="52">
        <f>G11/B4</f>
        <v>0.11228284497781291</v>
      </c>
      <c r="F11" s="261"/>
      <c r="G11" s="53">
        <f>Tithe!D6</f>
        <v>750</v>
      </c>
      <c r="H11" s="52">
        <v>1200</v>
      </c>
      <c r="I11" s="64">
        <f>H11-G11</f>
        <v>450</v>
      </c>
      <c r="J11" s="92">
        <f>I11</f>
        <v>450</v>
      </c>
      <c r="K11" s="83"/>
    </row>
    <row r="12" spans="1:19" s="52" customFormat="1" ht="15.95" customHeight="1">
      <c r="I12" s="64"/>
      <c r="J12" s="92"/>
      <c r="K12" s="84"/>
      <c r="L12" s="269" t="s">
        <v>493</v>
      </c>
    </row>
    <row r="13" spans="1:19" s="52" customFormat="1" ht="15.95" customHeight="1">
      <c r="A13" s="58" t="s">
        <v>465</v>
      </c>
      <c r="B13" s="262">
        <f>SUM(G14:G20)</f>
        <v>0</v>
      </c>
      <c r="F13" s="261"/>
      <c r="G13" s="55"/>
      <c r="I13" s="64"/>
      <c r="J13" s="92"/>
      <c r="K13" s="84"/>
    </row>
    <row r="14" spans="1:19" s="52" customFormat="1" ht="15.95" customHeight="1">
      <c r="B14" s="58" t="s">
        <v>385</v>
      </c>
      <c r="E14" s="52" t="s">
        <v>466</v>
      </c>
      <c r="F14" s="261"/>
      <c r="G14" s="53"/>
      <c r="H14" s="52">
        <v>800</v>
      </c>
      <c r="I14" s="64">
        <f t="shared" ref="I14:I20" si="0">H14-G14</f>
        <v>800</v>
      </c>
      <c r="J14" s="92">
        <f t="shared" ref="J14:J26" si="1">I14</f>
        <v>800</v>
      </c>
      <c r="K14" s="84"/>
    </row>
    <row r="15" spans="1:19" s="52" customFormat="1" ht="15.95" customHeight="1">
      <c r="B15" s="58" t="s">
        <v>261</v>
      </c>
      <c r="E15" s="52" t="s">
        <v>466</v>
      </c>
      <c r="F15" s="261"/>
      <c r="G15" s="53"/>
      <c r="H15" s="52">
        <v>200</v>
      </c>
      <c r="I15" s="64">
        <f t="shared" si="0"/>
        <v>200</v>
      </c>
      <c r="J15" s="92">
        <f t="shared" si="1"/>
        <v>200</v>
      </c>
      <c r="K15" s="84"/>
    </row>
    <row r="16" spans="1:19" s="52" customFormat="1" ht="15.95" customHeight="1">
      <c r="B16" s="58" t="s">
        <v>292</v>
      </c>
      <c r="E16" s="52" t="s">
        <v>466</v>
      </c>
      <c r="F16" s="261"/>
      <c r="G16" s="53"/>
      <c r="H16" s="52">
        <v>300</v>
      </c>
      <c r="I16" s="64">
        <f t="shared" si="0"/>
        <v>300</v>
      </c>
      <c r="J16" s="92">
        <f t="shared" si="1"/>
        <v>300</v>
      </c>
      <c r="K16" s="84"/>
    </row>
    <row r="17" spans="1:13" s="52" customFormat="1" ht="15.95" customHeight="1">
      <c r="B17" s="58" t="s">
        <v>464</v>
      </c>
      <c r="E17" s="52" t="s">
        <v>466</v>
      </c>
      <c r="F17" s="261"/>
      <c r="G17" s="53"/>
      <c r="H17" s="52">
        <v>200</v>
      </c>
      <c r="I17" s="64">
        <f t="shared" si="0"/>
        <v>200</v>
      </c>
      <c r="J17" s="92">
        <f t="shared" si="1"/>
        <v>200</v>
      </c>
      <c r="K17" s="84"/>
    </row>
    <row r="18" spans="1:13" s="52" customFormat="1" ht="15.95" customHeight="1">
      <c r="B18" s="58" t="s">
        <v>263</v>
      </c>
      <c r="E18" s="52" t="s">
        <v>466</v>
      </c>
      <c r="F18" s="261"/>
      <c r="G18" s="53"/>
      <c r="H18" s="52">
        <v>50</v>
      </c>
      <c r="I18" s="64">
        <f t="shared" si="0"/>
        <v>50</v>
      </c>
      <c r="J18" s="92">
        <f t="shared" si="1"/>
        <v>50</v>
      </c>
      <c r="K18" s="84"/>
    </row>
    <row r="19" spans="1:13" s="52" customFormat="1" ht="15.95" customHeight="1">
      <c r="B19" s="58" t="s">
        <v>262</v>
      </c>
      <c r="E19" s="52" t="s">
        <v>467</v>
      </c>
      <c r="F19" s="261"/>
      <c r="G19" s="53"/>
      <c r="H19" s="52">
        <v>200</v>
      </c>
      <c r="I19" s="64">
        <f t="shared" si="0"/>
        <v>200</v>
      </c>
      <c r="J19" s="92">
        <f t="shared" si="1"/>
        <v>200</v>
      </c>
      <c r="K19" s="84"/>
    </row>
    <row r="20" spans="1:13" s="52" customFormat="1" ht="15.95" customHeight="1">
      <c r="B20" s="58" t="s">
        <v>293</v>
      </c>
      <c r="E20" s="52" t="s">
        <v>467</v>
      </c>
      <c r="G20" s="53"/>
      <c r="H20" s="52">
        <v>300</v>
      </c>
      <c r="I20" s="64">
        <f t="shared" si="0"/>
        <v>300</v>
      </c>
      <c r="J20" s="92">
        <f t="shared" si="1"/>
        <v>300</v>
      </c>
      <c r="K20" s="84"/>
    </row>
    <row r="21" spans="1:13" s="52" customFormat="1" ht="15.95" customHeight="1">
      <c r="A21" s="58"/>
      <c r="F21" s="261"/>
      <c r="G21" s="53"/>
      <c r="I21" s="64"/>
      <c r="J21" s="92"/>
      <c r="K21" s="84"/>
      <c r="L21" s="58" t="s">
        <v>494</v>
      </c>
    </row>
    <row r="22" spans="1:13" s="52" customFormat="1" ht="15.95" customHeight="1">
      <c r="A22" s="58" t="s">
        <v>278</v>
      </c>
      <c r="B22" s="263">
        <f>G22</f>
        <v>0</v>
      </c>
      <c r="F22" s="261"/>
      <c r="G22" s="53"/>
      <c r="H22" s="52">
        <v>700</v>
      </c>
      <c r="I22" s="64">
        <f>H22-G22</f>
        <v>700</v>
      </c>
      <c r="J22" s="92">
        <f t="shared" si="1"/>
        <v>700</v>
      </c>
      <c r="K22" s="84"/>
    </row>
    <row r="23" spans="1:13" s="52" customFormat="1" ht="15.95" customHeight="1">
      <c r="A23" s="58" t="s">
        <v>416</v>
      </c>
      <c r="B23" s="62" t="s">
        <v>415</v>
      </c>
      <c r="E23" s="52" t="s">
        <v>467</v>
      </c>
      <c r="F23" s="261"/>
      <c r="G23" s="53"/>
      <c r="I23" s="64"/>
      <c r="J23" s="92"/>
      <c r="K23" s="84"/>
    </row>
    <row r="24" spans="1:13" s="52" customFormat="1" ht="15.95" customHeight="1">
      <c r="A24" s="58" t="s">
        <v>279</v>
      </c>
      <c r="B24" s="262">
        <f>SUM(G25:G26)</f>
        <v>0</v>
      </c>
      <c r="F24" s="261"/>
      <c r="G24" s="53"/>
      <c r="I24" s="64"/>
      <c r="J24" s="92"/>
      <c r="K24" s="84"/>
    </row>
    <row r="25" spans="1:13" s="52" customFormat="1" ht="15.95" customHeight="1">
      <c r="B25" s="58" t="s">
        <v>255</v>
      </c>
      <c r="E25" s="52" t="s">
        <v>467</v>
      </c>
      <c r="F25" s="261"/>
      <c r="G25" s="53"/>
      <c r="H25" s="52">
        <v>500</v>
      </c>
      <c r="I25" s="64">
        <f>H25-G25</f>
        <v>500</v>
      </c>
      <c r="J25" s="92">
        <f t="shared" si="1"/>
        <v>500</v>
      </c>
      <c r="K25" s="84"/>
    </row>
    <row r="26" spans="1:13" s="52" customFormat="1" ht="12.75" customHeight="1">
      <c r="B26" s="58" t="s">
        <v>265</v>
      </c>
      <c r="E26" s="52" t="s">
        <v>466</v>
      </c>
      <c r="F26" s="261"/>
      <c r="G26" s="53"/>
      <c r="H26" s="52">
        <v>300</v>
      </c>
      <c r="I26" s="64">
        <f>H26-G26</f>
        <v>300</v>
      </c>
      <c r="J26" s="95">
        <f t="shared" si="1"/>
        <v>300</v>
      </c>
      <c r="K26" s="84"/>
    </row>
    <row r="27" spans="1:13" s="52" customFormat="1" ht="12.75" customHeight="1">
      <c r="A27" s="58"/>
      <c r="F27" s="261"/>
      <c r="G27" s="66"/>
      <c r="H27" s="66"/>
      <c r="I27" s="68"/>
      <c r="J27" s="79"/>
      <c r="K27" s="79"/>
    </row>
    <row r="28" spans="1:13" s="52" customFormat="1" ht="12.75" customHeight="1" thickBot="1">
      <c r="A28" s="58"/>
      <c r="B28" s="58"/>
      <c r="F28" s="261"/>
      <c r="G28" s="67">
        <f>SUM(G14:G26)</f>
        <v>0</v>
      </c>
      <c r="H28" s="67">
        <f>SUM(H11:H26)</f>
        <v>4750</v>
      </c>
      <c r="I28" s="67">
        <f>SUM(I11:I26)</f>
        <v>4000</v>
      </c>
      <c r="J28" s="67">
        <f>SUM(J11:J26)</f>
        <v>4000</v>
      </c>
      <c r="K28" s="85"/>
    </row>
    <row r="29" spans="1:13" s="52" customFormat="1" ht="12.75" customHeight="1" thickTop="1" thickBot="1">
      <c r="H29" s="56"/>
      <c r="I29" s="56"/>
      <c r="J29" s="56"/>
      <c r="K29" s="85"/>
      <c r="L29" s="58" t="s">
        <v>495</v>
      </c>
    </row>
    <row r="30" spans="1:13" s="52" customFormat="1" ht="12.75" customHeight="1" thickBot="1">
      <c r="A30" s="58" t="s">
        <v>283</v>
      </c>
      <c r="B30" s="58"/>
      <c r="F30" s="261"/>
      <c r="G30" s="88"/>
      <c r="H30" s="56"/>
      <c r="I30" s="56"/>
      <c r="J30" s="56"/>
      <c r="K30" s="85"/>
      <c r="M30" s="52" t="s">
        <v>521</v>
      </c>
    </row>
    <row r="31" spans="1:13" s="52" customFormat="1" ht="12.75" customHeight="1">
      <c r="A31" s="99" t="s">
        <v>276</v>
      </c>
      <c r="B31" s="58"/>
      <c r="F31" s="261"/>
      <c r="G31" s="266">
        <f>B4-G11-G28+G30</f>
        <v>5929.56</v>
      </c>
      <c r="H31" s="56"/>
      <c r="I31" s="56"/>
      <c r="J31" s="56"/>
      <c r="K31" s="85"/>
      <c r="L31" s="56"/>
      <c r="M31" s="52" t="s">
        <v>522</v>
      </c>
    </row>
    <row r="32" spans="1:13" s="52" customFormat="1" ht="12.75" customHeight="1">
      <c r="A32" s="52" t="s">
        <v>478</v>
      </c>
      <c r="B32" s="99"/>
      <c r="C32" s="54"/>
      <c r="D32" s="54"/>
      <c r="E32" s="54"/>
      <c r="F32" s="265"/>
      <c r="G32" s="267">
        <f>G46</f>
        <v>19998.639999999992</v>
      </c>
      <c r="H32" s="56"/>
      <c r="I32" s="56"/>
      <c r="J32" s="56"/>
      <c r="K32" s="85"/>
      <c r="L32" s="56"/>
      <c r="M32" s="52" t="s">
        <v>523</v>
      </c>
    </row>
    <row r="33" spans="1:25" s="52" customFormat="1" ht="12.75" customHeight="1">
      <c r="A33" s="58" t="s">
        <v>558</v>
      </c>
      <c r="B33" s="58"/>
      <c r="F33" s="261"/>
      <c r="G33" s="78">
        <f>G31-G32-M42-N42</f>
        <v>-14069.079999999991</v>
      </c>
      <c r="H33" s="56"/>
      <c r="I33" s="56"/>
      <c r="J33" s="56"/>
      <c r="K33" s="85"/>
      <c r="L33" s="56"/>
    </row>
    <row r="34" spans="1:25" s="52" customFormat="1" ht="12.75" customHeight="1">
      <c r="H34" s="56"/>
      <c r="I34" s="56"/>
      <c r="J34" s="56"/>
      <c r="K34" s="85"/>
      <c r="L34" s="56"/>
    </row>
    <row r="35" spans="1:25" s="52" customFormat="1" ht="12.75" customHeight="1">
      <c r="A35" s="58" t="s">
        <v>469</v>
      </c>
      <c r="B35" s="58"/>
      <c r="E35" s="52">
        <f>B47</f>
        <v>905.98</v>
      </c>
      <c r="F35" s="261"/>
      <c r="G35" s="128"/>
      <c r="H35" s="56"/>
      <c r="I35" s="56"/>
      <c r="J35" s="56"/>
      <c r="K35" s="85"/>
      <c r="L35" s="56"/>
      <c r="Q35" s="52" t="s">
        <v>867</v>
      </c>
    </row>
    <row r="36" spans="1:25" s="52" customFormat="1" ht="12.75" customHeight="1">
      <c r="A36" s="58" t="s">
        <v>433</v>
      </c>
      <c r="B36" s="58"/>
      <c r="E36" s="52">
        <f>B76</f>
        <v>19017.659999999996</v>
      </c>
      <c r="F36" s="261"/>
      <c r="G36" s="78"/>
      <c r="H36" s="56"/>
      <c r="I36" s="56"/>
      <c r="J36" s="56"/>
      <c r="K36" s="85"/>
      <c r="L36" s="56"/>
      <c r="Q36" s="52" t="s">
        <v>868</v>
      </c>
    </row>
    <row r="37" spans="1:25" s="52" customFormat="1" ht="12.75" customHeight="1">
      <c r="A37" s="58"/>
      <c r="B37" s="58" t="s">
        <v>470</v>
      </c>
      <c r="D37" s="52">
        <f>B101+B110</f>
        <v>0</v>
      </c>
      <c r="F37" s="261"/>
      <c r="G37" s="78"/>
      <c r="H37" s="56"/>
      <c r="I37" s="56"/>
      <c r="J37" s="56"/>
      <c r="K37" s="85"/>
      <c r="L37" s="56"/>
      <c r="Q37" s="52" t="s">
        <v>869</v>
      </c>
    </row>
    <row r="38" spans="1:25" s="52" customFormat="1" ht="12.75" customHeight="1" thickBot="1">
      <c r="A38" s="58"/>
      <c r="B38" s="58" t="s">
        <v>471</v>
      </c>
      <c r="D38" s="52">
        <f>B90</f>
        <v>74.959999999999994</v>
      </c>
      <c r="F38" s="261"/>
      <c r="G38" s="78"/>
      <c r="H38" s="56"/>
      <c r="I38" s="56"/>
      <c r="J38" s="56"/>
      <c r="K38" s="85"/>
      <c r="L38" s="56"/>
    </row>
    <row r="39" spans="1:25" s="52" customFormat="1" ht="12.75" customHeight="1" thickBot="1">
      <c r="A39" s="58"/>
      <c r="B39" s="58" t="s">
        <v>472</v>
      </c>
      <c r="D39" s="52">
        <f>B96</f>
        <v>858</v>
      </c>
      <c r="F39" s="261"/>
      <c r="G39" s="89"/>
      <c r="H39" s="56"/>
      <c r="I39" s="56"/>
      <c r="J39" s="56"/>
      <c r="K39" s="85"/>
      <c r="L39" s="56"/>
      <c r="Q39" s="52" t="s">
        <v>874</v>
      </c>
      <c r="R39" s="52" t="s">
        <v>241</v>
      </c>
      <c r="S39" s="52" t="s">
        <v>870</v>
      </c>
      <c r="U39" s="52" t="s">
        <v>871</v>
      </c>
      <c r="W39" s="52" t="s">
        <v>872</v>
      </c>
      <c r="X39" s="52" t="s">
        <v>873</v>
      </c>
    </row>
    <row r="40" spans="1:25" s="52" customFormat="1" ht="12.75" customHeight="1">
      <c r="A40" s="58"/>
      <c r="B40" s="58" t="s">
        <v>473</v>
      </c>
      <c r="D40" s="52">
        <f>B115</f>
        <v>564.07999999999993</v>
      </c>
      <c r="F40" s="261"/>
      <c r="G40" s="98"/>
      <c r="H40" s="56"/>
      <c r="I40" s="56"/>
      <c r="J40" s="56"/>
      <c r="K40" s="85"/>
      <c r="L40" s="56"/>
      <c r="M40" s="52">
        <v>2147.56</v>
      </c>
      <c r="N40" s="52" t="s">
        <v>902</v>
      </c>
      <c r="Q40" s="120">
        <v>42017</v>
      </c>
      <c r="R40" s="52">
        <v>3093.51</v>
      </c>
      <c r="S40" s="52">
        <v>904.85</v>
      </c>
      <c r="U40" s="52">
        <v>2188.66</v>
      </c>
      <c r="W40" s="52">
        <v>1284.05</v>
      </c>
      <c r="X40" s="120">
        <v>42044</v>
      </c>
      <c r="Y40" s="52">
        <f>R40-W40</f>
        <v>1809.4600000000003</v>
      </c>
    </row>
    <row r="41" spans="1:25" s="52" customFormat="1" ht="12.75" customHeight="1">
      <c r="A41" s="99"/>
      <c r="B41" s="58" t="s">
        <v>474</v>
      </c>
      <c r="D41" s="52">
        <f>B120</f>
        <v>170</v>
      </c>
      <c r="F41" s="261"/>
      <c r="G41" s="98"/>
      <c r="H41" s="56"/>
      <c r="I41" s="56"/>
      <c r="J41" s="56"/>
      <c r="K41" s="85"/>
      <c r="L41" s="56"/>
      <c r="M41" s="52">
        <f>M46+M44+M43+M42</f>
        <v>2147.56</v>
      </c>
      <c r="N41" s="52">
        <f>N46+N44+N43+N42</f>
        <v>505.85999999999996</v>
      </c>
      <c r="O41" s="52">
        <f>O46+O44+O43+O42</f>
        <v>3093.51</v>
      </c>
      <c r="Q41" s="52" t="s">
        <v>918</v>
      </c>
      <c r="R41" s="52">
        <v>-1500</v>
      </c>
    </row>
    <row r="42" spans="1:25" s="52" customFormat="1" ht="12.75" customHeight="1" thickBot="1">
      <c r="B42" s="58" t="s">
        <v>475</v>
      </c>
      <c r="C42" s="59"/>
      <c r="D42" s="59">
        <f>B138</f>
        <v>0</v>
      </c>
      <c r="F42" s="261"/>
      <c r="G42" s="98"/>
      <c r="H42" s="56"/>
      <c r="I42" s="56"/>
      <c r="J42" s="56"/>
      <c r="K42" s="85"/>
      <c r="L42" s="52" t="s">
        <v>324</v>
      </c>
      <c r="Q42" s="52" t="s">
        <v>919</v>
      </c>
      <c r="R42" s="70">
        <f>SUM(R40:R41)</f>
        <v>1593.5100000000002</v>
      </c>
    </row>
    <row r="43" spans="1:25" s="52" customFormat="1" ht="12.75" customHeight="1" thickTop="1">
      <c r="B43" s="58" t="s">
        <v>488</v>
      </c>
      <c r="D43" s="52">
        <f>B125+B141+B146+B149</f>
        <v>964.3599999999999</v>
      </c>
      <c r="F43" s="261"/>
      <c r="I43" s="61"/>
      <c r="J43" s="90" t="s">
        <v>280</v>
      </c>
      <c r="K43" s="82"/>
    </row>
    <row r="44" spans="1:25" s="52" customFormat="1" ht="12.75" customHeight="1">
      <c r="A44" s="58" t="s">
        <v>477</v>
      </c>
      <c r="E44" s="52">
        <f>B155</f>
        <v>75</v>
      </c>
      <c r="F44" s="261"/>
      <c r="G44" s="55"/>
      <c r="I44" s="61" t="s">
        <v>34</v>
      </c>
      <c r="J44" s="90" t="s">
        <v>281</v>
      </c>
      <c r="K44" s="82"/>
      <c r="L44" s="52" t="s">
        <v>322</v>
      </c>
      <c r="M44" s="52">
        <v>100</v>
      </c>
    </row>
    <row r="45" spans="1:25" s="52" customFormat="1" ht="12.75" customHeight="1">
      <c r="A45" s="58"/>
      <c r="F45" s="261"/>
      <c r="G45" s="55" t="s">
        <v>234</v>
      </c>
      <c r="H45" s="52" t="s">
        <v>38</v>
      </c>
      <c r="I45" s="63" t="s">
        <v>37</v>
      </c>
      <c r="J45" s="91" t="s">
        <v>282</v>
      </c>
      <c r="K45" s="83"/>
      <c r="L45" s="391" t="s">
        <v>235</v>
      </c>
      <c r="M45" s="392" t="s">
        <v>497</v>
      </c>
      <c r="N45" s="392" t="s">
        <v>805</v>
      </c>
      <c r="O45" s="392" t="s">
        <v>806</v>
      </c>
    </row>
    <row r="46" spans="1:25" s="52" customFormat="1" ht="12.75" customHeight="1" thickBot="1">
      <c r="D46"/>
      <c r="E46" s="264"/>
      <c r="F46" s="261"/>
      <c r="G46" s="94">
        <f>SUM(G48:G170)</f>
        <v>19998.639999999992</v>
      </c>
      <c r="H46" s="94">
        <f>SUM(H48:H170)</f>
        <v>14050</v>
      </c>
      <c r="I46" s="94">
        <f>H46-G46</f>
        <v>-5948.6399999999921</v>
      </c>
      <c r="J46" s="94">
        <f>SUM(J48:J170)</f>
        <v>-6801.6500000000015</v>
      </c>
      <c r="K46" s="86"/>
      <c r="L46" s="393">
        <f>SUM(L49:L170)</f>
        <v>14351.71</v>
      </c>
      <c r="M46" s="394">
        <f>SUM(M49:M170)</f>
        <v>2047.56</v>
      </c>
      <c r="N46" s="395">
        <f>SUM(N49:N170)</f>
        <v>505.85999999999996</v>
      </c>
      <c r="O46" s="395">
        <f>SUM(O49:O170)</f>
        <v>3093.51</v>
      </c>
    </row>
    <row r="47" spans="1:25" s="52" customFormat="1" ht="12.75" customHeight="1" thickBot="1">
      <c r="A47" s="99" t="s">
        <v>434</v>
      </c>
      <c r="B47" s="259">
        <f>B48+B61+B65</f>
        <v>905.98</v>
      </c>
      <c r="C47" s="259">
        <f>C48+C61+C65</f>
        <v>1344</v>
      </c>
      <c r="D47" s="88">
        <f>D48+D61+D65</f>
        <v>438.01999999999987</v>
      </c>
      <c r="I47" s="61"/>
      <c r="J47" s="90"/>
      <c r="K47" s="82"/>
      <c r="L47" s="396"/>
      <c r="M47" s="397"/>
      <c r="N47" s="397"/>
      <c r="O47" s="398"/>
    </row>
    <row r="48" spans="1:25" s="52" customFormat="1" ht="12.75" customHeight="1">
      <c r="A48" s="58" t="s">
        <v>419</v>
      </c>
      <c r="B48" s="58">
        <f>SUM(G49:G57)</f>
        <v>504</v>
      </c>
      <c r="C48" s="58">
        <f>SUM(H49:H57)</f>
        <v>864</v>
      </c>
      <c r="D48" s="58">
        <f>SUM(I49:I57)</f>
        <v>359.99999999999989</v>
      </c>
      <c r="I48" s="61"/>
      <c r="J48" s="90"/>
      <c r="K48" s="82"/>
      <c r="L48" s="396"/>
      <c r="M48" s="397"/>
      <c r="N48" s="397"/>
      <c r="O48" s="398"/>
    </row>
    <row r="49" spans="1:15" s="52" customFormat="1" ht="12.75" customHeight="1">
      <c r="B49" s="52" t="s">
        <v>327</v>
      </c>
      <c r="G49" s="52">
        <f>SUM(L49:O49)</f>
        <v>0</v>
      </c>
      <c r="H49" s="52">
        <v>0</v>
      </c>
      <c r="I49" s="61">
        <f t="shared" ref="I49:I57" si="2">H49-G49</f>
        <v>0</v>
      </c>
      <c r="J49" s="90">
        <f t="shared" ref="J49:J56" si="3">I49</f>
        <v>0</v>
      </c>
      <c r="K49" s="82"/>
      <c r="L49" s="396"/>
      <c r="M49" s="397"/>
      <c r="N49" s="397"/>
      <c r="O49" s="398"/>
    </row>
    <row r="50" spans="1:15" s="52" customFormat="1" ht="12.75" customHeight="1">
      <c r="A50" s="58"/>
      <c r="B50" s="52" t="s">
        <v>421</v>
      </c>
      <c r="G50" s="52">
        <f t="shared" ref="G50:G113" si="4">SUM(L50:O50)</f>
        <v>0</v>
      </c>
      <c r="H50" s="52">
        <v>100</v>
      </c>
      <c r="I50" s="61">
        <f t="shared" si="2"/>
        <v>100</v>
      </c>
      <c r="J50" s="90">
        <f t="shared" si="3"/>
        <v>100</v>
      </c>
      <c r="K50" s="82"/>
      <c r="L50" s="396"/>
      <c r="M50" s="397"/>
      <c r="N50" s="397"/>
      <c r="O50" s="398"/>
    </row>
    <row r="51" spans="1:15" s="52" customFormat="1" ht="12.75" customHeight="1">
      <c r="A51" s="58"/>
      <c r="B51" s="52" t="s">
        <v>422</v>
      </c>
      <c r="G51" s="52">
        <f t="shared" si="4"/>
        <v>0</v>
      </c>
      <c r="H51" s="52">
        <v>100</v>
      </c>
      <c r="I51" s="61">
        <f t="shared" si="2"/>
        <v>100</v>
      </c>
      <c r="J51" s="90">
        <f t="shared" si="3"/>
        <v>100</v>
      </c>
      <c r="K51" s="82"/>
      <c r="L51" s="396"/>
      <c r="M51" s="397"/>
      <c r="N51" s="397"/>
      <c r="O51" s="398"/>
    </row>
    <row r="52" spans="1:15" s="52" customFormat="1" ht="12.75" customHeight="1">
      <c r="A52" s="58"/>
      <c r="B52" s="52" t="s">
        <v>420</v>
      </c>
      <c r="G52" s="52">
        <f t="shared" si="4"/>
        <v>0</v>
      </c>
      <c r="H52" s="52">
        <v>100</v>
      </c>
      <c r="I52" s="61">
        <f t="shared" si="2"/>
        <v>100</v>
      </c>
      <c r="J52" s="90">
        <f t="shared" si="3"/>
        <v>100</v>
      </c>
      <c r="K52" s="82"/>
      <c r="L52" s="396"/>
      <c r="M52" s="397"/>
      <c r="N52" s="397"/>
      <c r="O52" s="398"/>
    </row>
    <row r="53" spans="1:15" s="52" customFormat="1" ht="12.75" customHeight="1">
      <c r="A53" s="58"/>
      <c r="B53" s="52" t="s">
        <v>463</v>
      </c>
      <c r="G53" s="52">
        <f t="shared" si="4"/>
        <v>564</v>
      </c>
      <c r="H53" s="52">
        <v>564</v>
      </c>
      <c r="I53" s="61">
        <f t="shared" si="2"/>
        <v>0</v>
      </c>
      <c r="J53" s="90">
        <f t="shared" si="3"/>
        <v>0</v>
      </c>
      <c r="K53" s="82"/>
      <c r="L53" s="396">
        <v>564</v>
      </c>
      <c r="M53" s="397"/>
      <c r="N53" s="397"/>
      <c r="O53" s="398"/>
    </row>
    <row r="54" spans="1:15" s="52" customFormat="1" ht="12.75" customHeight="1">
      <c r="A54" s="58"/>
      <c r="B54" s="52" t="s">
        <v>429</v>
      </c>
      <c r="G54" s="52">
        <f t="shared" si="4"/>
        <v>0</v>
      </c>
      <c r="H54" s="52">
        <v>60</v>
      </c>
      <c r="I54" s="61">
        <f t="shared" si="2"/>
        <v>60</v>
      </c>
      <c r="J54" s="90">
        <f t="shared" si="3"/>
        <v>60</v>
      </c>
      <c r="K54" s="82"/>
      <c r="L54" s="396"/>
      <c r="M54" s="397"/>
      <c r="N54" s="397"/>
      <c r="O54" s="398"/>
    </row>
    <row r="55" spans="1:15" s="52" customFormat="1" ht="12.75" customHeight="1">
      <c r="A55" s="58"/>
      <c r="B55" s="52" t="s">
        <v>328</v>
      </c>
      <c r="G55" s="52">
        <f t="shared" si="4"/>
        <v>1694.15</v>
      </c>
      <c r="H55" s="52">
        <f>1636.68+50.81</f>
        <v>1687.49</v>
      </c>
      <c r="I55" s="61">
        <f t="shared" si="2"/>
        <v>-6.6600000000000819</v>
      </c>
      <c r="J55" s="90">
        <f t="shared" si="3"/>
        <v>-6.6600000000000819</v>
      </c>
      <c r="K55" s="82"/>
      <c r="L55" s="398">
        <v>1694.15</v>
      </c>
      <c r="M55" s="397"/>
      <c r="N55" s="397"/>
      <c r="O55" s="398"/>
    </row>
    <row r="56" spans="1:15" s="52" customFormat="1" ht="12.75" customHeight="1">
      <c r="A56" s="58"/>
      <c r="B56" s="52" t="s">
        <v>384</v>
      </c>
      <c r="G56" s="52">
        <f t="shared" si="4"/>
        <v>305.85000000000002</v>
      </c>
      <c r="H56" s="52">
        <v>312.51</v>
      </c>
      <c r="I56" s="61">
        <f t="shared" si="2"/>
        <v>6.6599999999999682</v>
      </c>
      <c r="J56" s="90">
        <f t="shared" si="3"/>
        <v>6.6599999999999682</v>
      </c>
      <c r="K56" s="82"/>
      <c r="L56" s="398">
        <v>305.85000000000002</v>
      </c>
      <c r="M56" s="397"/>
      <c r="N56" s="397"/>
      <c r="O56" s="398"/>
    </row>
    <row r="57" spans="1:15" s="52" customFormat="1" ht="12.75" customHeight="1">
      <c r="A57" s="58"/>
      <c r="B57" s="52" t="s">
        <v>350</v>
      </c>
      <c r="G57" s="52">
        <f t="shared" si="4"/>
        <v>-2060</v>
      </c>
      <c r="H57" s="52">
        <v>-2060</v>
      </c>
      <c r="I57" s="61">
        <f t="shared" si="2"/>
        <v>0</v>
      </c>
      <c r="J57" s="90">
        <f>I57</f>
        <v>0</v>
      </c>
      <c r="K57" s="82"/>
      <c r="L57" s="398">
        <v>-2060</v>
      </c>
      <c r="M57" s="397"/>
      <c r="N57" s="397"/>
      <c r="O57" s="398"/>
    </row>
    <row r="58" spans="1:15" s="52" customFormat="1" ht="12.75" customHeight="1">
      <c r="A58" s="58"/>
      <c r="I58" s="61"/>
      <c r="J58" s="90"/>
      <c r="K58" s="82"/>
      <c r="L58" s="398"/>
      <c r="M58" s="397"/>
      <c r="N58" s="397"/>
      <c r="O58" s="398"/>
    </row>
    <row r="59" spans="1:15" s="52" customFormat="1" ht="12.75" customHeight="1">
      <c r="A59" s="58"/>
      <c r="I59" s="61"/>
      <c r="J59" s="90"/>
      <c r="K59" s="82"/>
      <c r="L59" s="398"/>
      <c r="M59" s="397"/>
      <c r="N59" s="397"/>
      <c r="O59" s="398"/>
    </row>
    <row r="60" spans="1:15" s="52" customFormat="1" ht="12.75" customHeight="1">
      <c r="A60" s="58" t="s">
        <v>427</v>
      </c>
      <c r="I60" s="61"/>
      <c r="J60" s="90"/>
      <c r="K60" s="82"/>
      <c r="L60" s="398"/>
      <c r="M60" s="397"/>
      <c r="N60" s="397"/>
      <c r="O60" s="398"/>
    </row>
    <row r="61" spans="1:15" s="52" customFormat="1" ht="12.75" customHeight="1">
      <c r="A61" s="58"/>
      <c r="B61" s="58">
        <f>SUM(G62:G63)</f>
        <v>163.10000000000002</v>
      </c>
      <c r="C61" s="58">
        <f>SUM(H62:H63)</f>
        <v>170</v>
      </c>
      <c r="D61" s="58">
        <f>C61-B61</f>
        <v>6.8999999999999773</v>
      </c>
      <c r="I61" s="61"/>
      <c r="J61" s="90"/>
      <c r="K61" s="82"/>
      <c r="L61" s="398"/>
      <c r="M61" s="397"/>
      <c r="N61" s="397"/>
      <c r="O61" s="398"/>
    </row>
    <row r="62" spans="1:15" s="52" customFormat="1" ht="12.75" customHeight="1">
      <c r="A62" s="58"/>
      <c r="B62" s="52" t="s">
        <v>431</v>
      </c>
      <c r="G62" s="52">
        <f t="shared" si="4"/>
        <v>69.150000000000006</v>
      </c>
      <c r="H62" s="52">
        <v>70</v>
      </c>
      <c r="I62" s="61">
        <f t="shared" ref="I62:I131" si="5">H62-G62</f>
        <v>0.84999999999999432</v>
      </c>
      <c r="J62" s="90">
        <f>I62</f>
        <v>0.84999999999999432</v>
      </c>
      <c r="K62" s="82"/>
      <c r="L62" s="398"/>
      <c r="M62" s="397">
        <v>69.150000000000006</v>
      </c>
      <c r="N62" s="397"/>
      <c r="O62" s="398"/>
    </row>
    <row r="63" spans="1:15" s="52" customFormat="1" ht="12.75" customHeight="1">
      <c r="A63" s="58"/>
      <c r="B63" s="52" t="s">
        <v>432</v>
      </c>
      <c r="D63" s="65"/>
      <c r="G63" s="52">
        <f t="shared" si="4"/>
        <v>93.95</v>
      </c>
      <c r="H63" s="52">
        <v>100</v>
      </c>
      <c r="I63" s="61">
        <f t="shared" si="5"/>
        <v>6.0499999999999972</v>
      </c>
      <c r="J63" s="90">
        <f>I63</f>
        <v>6.0499999999999972</v>
      </c>
      <c r="K63" s="82"/>
      <c r="L63" s="398"/>
      <c r="M63" s="397">
        <v>93.95</v>
      </c>
      <c r="N63" s="397"/>
      <c r="O63" s="398"/>
    </row>
    <row r="64" spans="1:15" s="52" customFormat="1" ht="12.75" customHeight="1">
      <c r="A64" s="58"/>
      <c r="I64" s="61"/>
      <c r="J64" s="90"/>
      <c r="K64" s="82"/>
      <c r="L64" s="398"/>
      <c r="M64" s="397"/>
      <c r="N64" s="397"/>
      <c r="O64" s="398"/>
    </row>
    <row r="65" spans="1:17" s="52" customFormat="1" ht="12.75" customHeight="1">
      <c r="A65" s="58" t="s">
        <v>428</v>
      </c>
      <c r="B65" s="58">
        <f>SUM(G66:G74)</f>
        <v>238.88</v>
      </c>
      <c r="C65" s="58">
        <f>SUM(H66:H74)</f>
        <v>310</v>
      </c>
      <c r="D65" s="58">
        <f>C65-B65</f>
        <v>71.12</v>
      </c>
      <c r="I65" s="61"/>
      <c r="J65" s="90"/>
      <c r="K65" s="82"/>
      <c r="L65" s="398"/>
      <c r="M65" s="397"/>
      <c r="N65" s="397"/>
      <c r="O65" s="398"/>
    </row>
    <row r="66" spans="1:17" s="52" customFormat="1" ht="12.75" customHeight="1">
      <c r="B66" s="52" t="s">
        <v>55</v>
      </c>
      <c r="G66" s="52">
        <f t="shared" si="4"/>
        <v>40.340000000000003</v>
      </c>
      <c r="H66" s="52">
        <v>60</v>
      </c>
      <c r="I66" s="61">
        <f t="shared" si="5"/>
        <v>19.659999999999997</v>
      </c>
      <c r="J66" s="90">
        <f>I66</f>
        <v>19.659999999999997</v>
      </c>
      <c r="K66" s="82"/>
      <c r="L66" s="398"/>
      <c r="M66" s="397">
        <f>18.22+22.12</f>
        <v>40.340000000000003</v>
      </c>
      <c r="N66" s="397"/>
      <c r="O66" s="398"/>
    </row>
    <row r="67" spans="1:17" s="52" customFormat="1" ht="12.75" customHeight="1">
      <c r="B67" s="52" t="s">
        <v>56</v>
      </c>
      <c r="D67" s="52" t="s">
        <v>57</v>
      </c>
      <c r="G67" s="52">
        <f t="shared" si="4"/>
        <v>138</v>
      </c>
      <c r="H67" s="52">
        <v>140</v>
      </c>
      <c r="I67" s="61">
        <f t="shared" si="5"/>
        <v>2</v>
      </c>
      <c r="J67" s="90">
        <f>I67</f>
        <v>2</v>
      </c>
      <c r="K67" s="82"/>
      <c r="L67" s="398"/>
      <c r="M67" s="397">
        <f>12+41+85</f>
        <v>138</v>
      </c>
      <c r="N67" s="397"/>
      <c r="O67" s="398"/>
    </row>
    <row r="68" spans="1:17" s="52" customFormat="1" ht="12.75" customHeight="1">
      <c r="I68" s="61"/>
      <c r="J68" s="90"/>
      <c r="K68" s="82"/>
      <c r="L68" s="398"/>
      <c r="M68" s="397"/>
      <c r="N68" s="397"/>
      <c r="O68" s="398"/>
    </row>
    <row r="69" spans="1:17" s="52" customFormat="1" ht="12.75" customHeight="1">
      <c r="A69" s="58" t="s">
        <v>423</v>
      </c>
      <c r="I69" s="61"/>
      <c r="J69" s="90"/>
      <c r="K69" s="82"/>
      <c r="L69" s="398"/>
      <c r="M69" s="397"/>
      <c r="N69" s="397"/>
      <c r="O69" s="398"/>
    </row>
    <row r="70" spans="1:17" s="52" customFormat="1" ht="12.75" customHeight="1">
      <c r="B70" s="52" t="s">
        <v>424</v>
      </c>
      <c r="G70" s="52">
        <f t="shared" si="4"/>
        <v>10</v>
      </c>
      <c r="H70" s="52">
        <v>25</v>
      </c>
      <c r="I70" s="61">
        <f t="shared" si="5"/>
        <v>15</v>
      </c>
      <c r="J70" s="90">
        <f>I70</f>
        <v>15</v>
      </c>
      <c r="K70" s="82"/>
      <c r="L70" s="398"/>
      <c r="M70" s="397">
        <v>10</v>
      </c>
      <c r="N70" s="397"/>
      <c r="O70" s="398"/>
    </row>
    <row r="71" spans="1:17" s="52" customFormat="1" ht="12.75" customHeight="1">
      <c r="A71" s="58"/>
      <c r="B71" s="52" t="s">
        <v>425</v>
      </c>
      <c r="G71" s="52">
        <f t="shared" si="4"/>
        <v>0</v>
      </c>
      <c r="H71" s="52">
        <v>30</v>
      </c>
      <c r="I71" s="61">
        <f t="shared" si="5"/>
        <v>30</v>
      </c>
      <c r="J71" s="90">
        <f>I71</f>
        <v>30</v>
      </c>
      <c r="K71" s="82"/>
      <c r="L71" s="398"/>
      <c r="M71" s="397"/>
      <c r="N71" s="397"/>
      <c r="O71" s="398"/>
    </row>
    <row r="72" spans="1:17" s="52" customFormat="1" ht="12.75" customHeight="1">
      <c r="A72" s="58"/>
      <c r="B72" s="52" t="s">
        <v>430</v>
      </c>
      <c r="G72" s="52">
        <f t="shared" si="4"/>
        <v>0</v>
      </c>
      <c r="H72" s="52">
        <v>20</v>
      </c>
      <c r="I72" s="61">
        <f t="shared" si="5"/>
        <v>20</v>
      </c>
      <c r="J72" s="90">
        <f>I72</f>
        <v>20</v>
      </c>
      <c r="K72" s="82"/>
      <c r="L72" s="398"/>
      <c r="M72" s="397"/>
      <c r="N72" s="397"/>
      <c r="O72" s="398"/>
    </row>
    <row r="73" spans="1:17" s="52" customFormat="1" ht="12.75" customHeight="1">
      <c r="A73" s="58"/>
      <c r="I73" s="61"/>
      <c r="J73" s="90"/>
      <c r="K73" s="82"/>
      <c r="L73" s="398"/>
      <c r="M73" s="397"/>
      <c r="N73" s="397"/>
      <c r="O73" s="398"/>
    </row>
    <row r="74" spans="1:17" s="52" customFormat="1" ht="12.75" customHeight="1">
      <c r="A74" s="58" t="s">
        <v>426</v>
      </c>
      <c r="B74" s="52" t="s">
        <v>58</v>
      </c>
      <c r="G74" s="52">
        <f t="shared" si="4"/>
        <v>50.54</v>
      </c>
      <c r="H74" s="52">
        <v>35</v>
      </c>
      <c r="I74" s="61">
        <f t="shared" si="5"/>
        <v>-15.54</v>
      </c>
      <c r="J74" s="90">
        <f t="shared" ref="J74:J92" si="6">I74</f>
        <v>-15.54</v>
      </c>
      <c r="K74" s="82"/>
      <c r="L74" s="398"/>
      <c r="M74" s="397">
        <f>3+18.63+4.2+1.35+5.65+8+1.35+8.36</f>
        <v>50.54</v>
      </c>
      <c r="N74" s="397"/>
      <c r="O74" s="398"/>
    </row>
    <row r="75" spans="1:17" s="52" customFormat="1" ht="12.75" customHeight="1" thickBot="1">
      <c r="A75" s="58"/>
      <c r="I75" s="61"/>
      <c r="J75" s="90"/>
      <c r="K75" s="82"/>
      <c r="L75" s="398"/>
      <c r="M75" s="397"/>
      <c r="N75" s="397"/>
      <c r="O75" s="398"/>
    </row>
    <row r="76" spans="1:17" s="52" customFormat="1" ht="12.75" customHeight="1" thickBot="1">
      <c r="A76" s="99" t="s">
        <v>433</v>
      </c>
      <c r="B76" s="140">
        <f>B78+B90+B96+B101+B110+B115+B120+B125+B138+B141+B146+B149</f>
        <v>19017.659999999996</v>
      </c>
      <c r="C76" s="140">
        <f>C78+C90+C96+C101+C110+C115+C120+C125+C138+C141+C146+C149</f>
        <v>5711</v>
      </c>
      <c r="D76" s="140">
        <f>D78+D90+D96+D101+D110+D115+D120+D125+D138+D141+D146+D149</f>
        <v>606.8900000000001</v>
      </c>
      <c r="I76" s="61"/>
      <c r="J76" s="90"/>
      <c r="K76" s="82"/>
      <c r="L76" s="398"/>
      <c r="M76" s="397"/>
      <c r="N76" s="397"/>
      <c r="O76" s="398"/>
    </row>
    <row r="77" spans="1:17" s="52" customFormat="1" ht="12.75" customHeight="1">
      <c r="A77" s="99"/>
      <c r="B77" s="380"/>
      <c r="C77" s="380"/>
      <c r="D77" s="380"/>
      <c r="I77" s="61"/>
      <c r="J77" s="90"/>
      <c r="K77" s="82"/>
      <c r="L77" s="398"/>
      <c r="M77" s="397"/>
      <c r="N77" s="397"/>
      <c r="O77" s="398"/>
    </row>
    <row r="78" spans="1:17" s="52" customFormat="1" ht="12.75" customHeight="1">
      <c r="A78" s="58" t="s">
        <v>710</v>
      </c>
      <c r="B78" s="380">
        <f>SUM(G79:G88)</f>
        <v>16386.259999999998</v>
      </c>
      <c r="C78" s="380">
        <f>SUM(H79:H80)</f>
        <v>2500</v>
      </c>
      <c r="D78" s="380">
        <f>SUM(I79:I80)</f>
        <v>27.289999999999964</v>
      </c>
      <c r="I78" s="61"/>
      <c r="J78" s="90"/>
      <c r="K78" s="82"/>
      <c r="L78" s="398"/>
      <c r="M78" s="397"/>
      <c r="N78" s="397"/>
      <c r="O78" s="398"/>
    </row>
    <row r="79" spans="1:17" s="52" customFormat="1" ht="12.75" customHeight="1">
      <c r="B79" s="52" t="s">
        <v>798</v>
      </c>
      <c r="G79" s="52">
        <f t="shared" si="4"/>
        <v>2472.71</v>
      </c>
      <c r="H79" s="52">
        <v>2500</v>
      </c>
      <c r="I79" s="61">
        <f t="shared" si="5"/>
        <v>27.289999999999964</v>
      </c>
      <c r="J79" s="90">
        <f t="shared" si="6"/>
        <v>27.289999999999964</v>
      </c>
      <c r="K79" s="82"/>
      <c r="L79" s="398">
        <v>2472.71</v>
      </c>
      <c r="M79" s="397"/>
      <c r="N79" s="397"/>
      <c r="O79" s="398"/>
    </row>
    <row r="80" spans="1:17" s="52" customFormat="1" ht="12.75" customHeight="1">
      <c r="A80" s="58"/>
      <c r="B80" s="52" t="s">
        <v>801</v>
      </c>
      <c r="G80" s="52">
        <f t="shared" si="4"/>
        <v>0</v>
      </c>
      <c r="H80" s="52">
        <v>0</v>
      </c>
      <c r="I80" s="61">
        <f t="shared" si="5"/>
        <v>0</v>
      </c>
      <c r="J80" s="90">
        <f t="shared" si="6"/>
        <v>0</v>
      </c>
      <c r="K80" s="82"/>
      <c r="L80" s="398"/>
      <c r="M80" s="397"/>
      <c r="N80" s="397"/>
      <c r="O80" s="398"/>
      <c r="Q80" s="52" t="s">
        <v>895</v>
      </c>
    </row>
    <row r="81" spans="1:17" s="52" customFormat="1" ht="12.75" customHeight="1">
      <c r="A81" s="58"/>
      <c r="B81" s="54" t="s">
        <v>421</v>
      </c>
      <c r="C81" s="54"/>
      <c r="D81" s="54"/>
      <c r="E81" s="54"/>
      <c r="F81" s="54"/>
      <c r="G81" s="54">
        <f t="shared" si="4"/>
        <v>13716.91</v>
      </c>
      <c r="H81" s="52">
        <v>5000</v>
      </c>
      <c r="I81" s="61">
        <f t="shared" si="5"/>
        <v>-8716.91</v>
      </c>
      <c r="J81" s="90">
        <f t="shared" si="6"/>
        <v>-8716.91</v>
      </c>
      <c r="K81" s="82"/>
      <c r="L81" s="398">
        <f>544+9960</f>
        <v>10504</v>
      </c>
      <c r="M81" s="397">
        <f>201.54+332.85+45.35+215.88+139.62+75.18+68.4+151.68+25.12+25.28-199-35.9-302.66-143.1-427.16-39.71-13.97</f>
        <v>119.39999999999986</v>
      </c>
      <c r="N81" s="397"/>
      <c r="O81" s="398">
        <f>1071.12-265.05+299.72+806.2+68.01-221.82+79.48+1003.39+252.46</f>
        <v>3093.51</v>
      </c>
      <c r="Q81" s="52" t="s">
        <v>858</v>
      </c>
    </row>
    <row r="82" spans="1:17" s="52" customFormat="1" ht="12.75" customHeight="1">
      <c r="A82" s="58"/>
      <c r="B82" s="52" t="s">
        <v>888</v>
      </c>
      <c r="C82" s="54"/>
      <c r="D82" s="54"/>
      <c r="E82" s="54"/>
      <c r="F82" s="54"/>
      <c r="G82" s="54"/>
      <c r="H82" s="52">
        <v>1000</v>
      </c>
      <c r="I82" s="61"/>
      <c r="J82" s="90"/>
      <c r="K82" s="82"/>
      <c r="L82" s="398"/>
      <c r="M82" s="397"/>
      <c r="N82" s="397"/>
      <c r="O82" s="398"/>
    </row>
    <row r="83" spans="1:17" s="52" customFormat="1" ht="12.75" customHeight="1">
      <c r="A83" s="58"/>
      <c r="B83" s="52" t="s">
        <v>889</v>
      </c>
      <c r="C83" s="54"/>
      <c r="D83" s="54"/>
      <c r="E83" s="54"/>
      <c r="F83" s="54"/>
      <c r="G83" s="54"/>
      <c r="H83" s="52">
        <v>50</v>
      </c>
      <c r="I83" s="61"/>
      <c r="J83" s="90"/>
      <c r="K83" s="82"/>
      <c r="L83" s="398"/>
      <c r="M83" s="397"/>
      <c r="N83" s="397"/>
      <c r="O83" s="398"/>
    </row>
    <row r="84" spans="1:17" s="52" customFormat="1" ht="12.75" customHeight="1">
      <c r="A84" s="58"/>
      <c r="B84" s="52" t="s">
        <v>26</v>
      </c>
      <c r="G84" s="52">
        <f t="shared" si="4"/>
        <v>46.19</v>
      </c>
      <c r="H84" s="52">
        <v>100</v>
      </c>
      <c r="I84" s="61">
        <f t="shared" si="5"/>
        <v>53.81</v>
      </c>
      <c r="J84" s="90">
        <f t="shared" si="6"/>
        <v>53.81</v>
      </c>
      <c r="K84" s="82"/>
      <c r="L84" s="398">
        <v>46.19</v>
      </c>
      <c r="M84" s="397"/>
      <c r="N84" s="397"/>
      <c r="O84" s="398"/>
    </row>
    <row r="85" spans="1:17" s="52" customFormat="1" ht="12.75" customHeight="1">
      <c r="A85" s="58"/>
      <c r="B85" s="52" t="s">
        <v>799</v>
      </c>
      <c r="C85" s="52" t="s">
        <v>810</v>
      </c>
      <c r="G85" s="52">
        <f t="shared" si="4"/>
        <v>132.77000000000001</v>
      </c>
      <c r="H85" s="52">
        <v>70</v>
      </c>
      <c r="I85" s="61">
        <f t="shared" si="5"/>
        <v>-62.77000000000001</v>
      </c>
      <c r="J85" s="90">
        <f t="shared" si="6"/>
        <v>-62.77000000000001</v>
      </c>
      <c r="K85" s="82"/>
      <c r="L85" s="398">
        <v>132.77000000000001</v>
      </c>
      <c r="M85" s="397"/>
      <c r="N85" s="397"/>
      <c r="O85" s="398"/>
    </row>
    <row r="86" spans="1:17" s="52" customFormat="1" ht="12.75" customHeight="1">
      <c r="A86" s="58"/>
      <c r="B86" s="52" t="s">
        <v>799</v>
      </c>
      <c r="C86" s="52" t="s">
        <v>811</v>
      </c>
      <c r="G86" s="52">
        <f t="shared" si="4"/>
        <v>17.68</v>
      </c>
      <c r="H86" s="52">
        <v>25</v>
      </c>
      <c r="I86" s="61">
        <f t="shared" si="5"/>
        <v>7.32</v>
      </c>
      <c r="J86" s="90">
        <f t="shared" si="6"/>
        <v>7.32</v>
      </c>
      <c r="K86" s="82"/>
      <c r="L86" s="398">
        <v>17.68</v>
      </c>
      <c r="M86" s="397"/>
      <c r="N86" s="397"/>
      <c r="O86" s="398"/>
    </row>
    <row r="87" spans="1:17" s="52" customFormat="1" ht="12.75" customHeight="1">
      <c r="A87" s="58"/>
      <c r="B87" s="52" t="s">
        <v>800</v>
      </c>
      <c r="G87" s="52">
        <f t="shared" si="4"/>
        <v>0</v>
      </c>
      <c r="H87" s="52">
        <v>40</v>
      </c>
      <c r="I87" s="61">
        <f t="shared" si="5"/>
        <v>40</v>
      </c>
      <c r="J87" s="90">
        <f t="shared" si="6"/>
        <v>40</v>
      </c>
      <c r="K87" s="82"/>
      <c r="L87" s="398"/>
      <c r="M87" s="397"/>
      <c r="N87" s="397"/>
      <c r="O87" s="398"/>
    </row>
    <row r="88" spans="1:17" s="52" customFormat="1" ht="12.75" customHeight="1">
      <c r="A88" s="58"/>
      <c r="B88" s="52" t="s">
        <v>802</v>
      </c>
      <c r="G88" s="52">
        <f t="shared" si="4"/>
        <v>0</v>
      </c>
      <c r="H88" s="52">
        <v>100</v>
      </c>
      <c r="I88" s="61">
        <f t="shared" si="5"/>
        <v>100</v>
      </c>
      <c r="J88" s="90">
        <f t="shared" si="6"/>
        <v>100</v>
      </c>
      <c r="K88" s="82"/>
      <c r="L88" s="398"/>
      <c r="M88" s="397"/>
      <c r="N88" s="397"/>
      <c r="O88" s="398"/>
    </row>
    <row r="89" spans="1:17" s="52" customFormat="1" ht="12.75" customHeight="1">
      <c r="I89" s="61"/>
      <c r="J89" s="90"/>
      <c r="K89" s="82"/>
      <c r="L89" s="398"/>
      <c r="M89" s="397"/>
      <c r="N89" s="397"/>
      <c r="O89" s="398"/>
    </row>
    <row r="90" spans="1:17" s="52" customFormat="1" ht="12.75" customHeight="1">
      <c r="A90" s="58" t="s">
        <v>803</v>
      </c>
      <c r="B90" s="58">
        <f>SUM(G91:G94)</f>
        <v>74.959999999999994</v>
      </c>
      <c r="C90" s="58">
        <f>SUM(H91:H94)</f>
        <v>360</v>
      </c>
      <c r="D90" s="58">
        <f>C90-B90</f>
        <v>285.04000000000002</v>
      </c>
      <c r="I90" s="61"/>
      <c r="J90" s="90"/>
      <c r="K90" s="82"/>
      <c r="L90" s="398"/>
      <c r="M90" s="397"/>
      <c r="N90" s="397"/>
      <c r="O90" s="398"/>
    </row>
    <row r="91" spans="1:17" s="52" customFormat="1" ht="12.75" customHeight="1">
      <c r="B91" s="52" t="s">
        <v>26</v>
      </c>
      <c r="C91" s="52" t="s">
        <v>27</v>
      </c>
      <c r="G91" s="52">
        <f t="shared" si="4"/>
        <v>74.959999999999994</v>
      </c>
      <c r="H91" s="52">
        <v>100</v>
      </c>
      <c r="I91" s="61">
        <f t="shared" si="5"/>
        <v>25.040000000000006</v>
      </c>
      <c r="J91" s="90">
        <f t="shared" si="6"/>
        <v>25.040000000000006</v>
      </c>
      <c r="K91" s="82"/>
      <c r="L91" s="398">
        <v>74.959999999999994</v>
      </c>
      <c r="M91" s="397"/>
      <c r="N91" s="397"/>
      <c r="O91" s="398"/>
    </row>
    <row r="92" spans="1:17" s="52" customFormat="1" ht="12.75" customHeight="1">
      <c r="B92" s="52" t="s">
        <v>28</v>
      </c>
      <c r="C92" s="52" t="s">
        <v>29</v>
      </c>
      <c r="G92" s="52">
        <f t="shared" si="4"/>
        <v>0</v>
      </c>
      <c r="H92" s="52">
        <v>40</v>
      </c>
      <c r="I92" s="61">
        <f t="shared" si="5"/>
        <v>40</v>
      </c>
      <c r="J92" s="90">
        <f t="shared" si="6"/>
        <v>40</v>
      </c>
      <c r="K92" s="82"/>
      <c r="L92" s="398"/>
      <c r="M92" s="397"/>
      <c r="N92" s="397"/>
      <c r="O92" s="398"/>
    </row>
    <row r="93" spans="1:17" s="52" customFormat="1" ht="12.75" customHeight="1">
      <c r="B93" s="52" t="s">
        <v>40</v>
      </c>
      <c r="C93" s="52" t="s">
        <v>41</v>
      </c>
      <c r="D93" s="52" t="s">
        <v>321</v>
      </c>
      <c r="G93" s="52">
        <f t="shared" si="4"/>
        <v>0</v>
      </c>
      <c r="H93" s="52">
        <v>100</v>
      </c>
      <c r="I93" s="61">
        <f t="shared" si="5"/>
        <v>100</v>
      </c>
      <c r="J93" s="90">
        <f>I93</f>
        <v>100</v>
      </c>
      <c r="K93" s="82"/>
      <c r="L93" s="398"/>
      <c r="M93" s="397"/>
      <c r="N93" s="397"/>
      <c r="O93" s="398"/>
    </row>
    <row r="94" spans="1:17" s="52" customFormat="1" ht="12.75" customHeight="1">
      <c r="B94" s="52" t="s">
        <v>42</v>
      </c>
      <c r="C94" s="52" t="s">
        <v>43</v>
      </c>
      <c r="D94" s="52" t="s">
        <v>435</v>
      </c>
      <c r="G94" s="52">
        <f t="shared" si="4"/>
        <v>0</v>
      </c>
      <c r="H94" s="52">
        <v>120</v>
      </c>
      <c r="I94" s="61">
        <f t="shared" si="5"/>
        <v>120</v>
      </c>
      <c r="J94" s="90">
        <f>I94</f>
        <v>120</v>
      </c>
      <c r="K94" s="82"/>
      <c r="L94" s="398"/>
      <c r="M94" s="397"/>
      <c r="N94" s="397"/>
      <c r="O94" s="398"/>
    </row>
    <row r="95" spans="1:17" s="52" customFormat="1" ht="12.75" customHeight="1">
      <c r="I95" s="61"/>
      <c r="J95" s="90"/>
      <c r="K95" s="82"/>
      <c r="L95" s="398"/>
      <c r="M95" s="397"/>
      <c r="N95" s="397"/>
      <c r="O95" s="398"/>
    </row>
    <row r="96" spans="1:17" s="52" customFormat="1" ht="12.75" customHeight="1">
      <c r="A96" s="58" t="s">
        <v>45</v>
      </c>
      <c r="B96" s="58">
        <f>SUM(G97:G99)</f>
        <v>858</v>
      </c>
      <c r="C96" s="58">
        <f>SUM(H97:H99)</f>
        <v>173</v>
      </c>
      <c r="D96" s="58">
        <f>C96-B96</f>
        <v>-685</v>
      </c>
      <c r="I96" s="61"/>
      <c r="J96" s="90"/>
      <c r="K96" s="82"/>
      <c r="L96" s="398"/>
      <c r="M96" s="397"/>
      <c r="N96" s="397"/>
      <c r="O96" s="398"/>
    </row>
    <row r="97" spans="1:15" s="52" customFormat="1" ht="12.75" customHeight="1">
      <c r="B97" s="52" t="s">
        <v>46</v>
      </c>
      <c r="D97" s="52" t="s">
        <v>437</v>
      </c>
      <c r="G97" s="52">
        <f t="shared" si="4"/>
        <v>0</v>
      </c>
      <c r="H97" s="52">
        <v>65</v>
      </c>
      <c r="I97" s="61">
        <f t="shared" si="5"/>
        <v>65</v>
      </c>
      <c r="J97" s="90">
        <f>I97</f>
        <v>65</v>
      </c>
      <c r="K97" s="82"/>
      <c r="L97" s="398"/>
      <c r="M97" s="397"/>
      <c r="N97" s="397"/>
      <c r="O97" s="398"/>
    </row>
    <row r="98" spans="1:15" s="52" customFormat="1" ht="12.75" customHeight="1">
      <c r="B98" s="52" t="s">
        <v>47</v>
      </c>
      <c r="D98" s="52" t="s">
        <v>436</v>
      </c>
      <c r="G98" s="52">
        <f t="shared" si="4"/>
        <v>858</v>
      </c>
      <c r="H98" s="52">
        <v>72</v>
      </c>
      <c r="I98" s="61">
        <f t="shared" si="5"/>
        <v>-786</v>
      </c>
      <c r="J98" s="90">
        <f>I98</f>
        <v>-786</v>
      </c>
      <c r="K98" s="82"/>
      <c r="L98" s="398"/>
      <c r="M98" s="397">
        <v>858</v>
      </c>
      <c r="N98" s="397"/>
      <c r="O98" s="398"/>
    </row>
    <row r="99" spans="1:15" s="52" customFormat="1" ht="12.75" customHeight="1">
      <c r="B99" s="52" t="s">
        <v>48</v>
      </c>
      <c r="D99" s="52" t="s">
        <v>445</v>
      </c>
      <c r="G99" s="52">
        <f t="shared" si="4"/>
        <v>0</v>
      </c>
      <c r="H99" s="52">
        <v>36</v>
      </c>
      <c r="I99" s="61">
        <f t="shared" si="5"/>
        <v>36</v>
      </c>
      <c r="J99" s="90">
        <f>I99</f>
        <v>36</v>
      </c>
      <c r="K99" s="82"/>
      <c r="L99" s="398"/>
      <c r="M99" s="397"/>
      <c r="N99" s="397"/>
      <c r="O99" s="398"/>
    </row>
    <row r="100" spans="1:15" s="52" customFormat="1" ht="12.75" customHeight="1">
      <c r="I100" s="61"/>
      <c r="J100" s="90"/>
      <c r="K100" s="82"/>
      <c r="L100" s="398"/>
      <c r="M100" s="397"/>
      <c r="N100" s="397"/>
      <c r="O100" s="398"/>
    </row>
    <row r="101" spans="1:15" s="52" customFormat="1" ht="12.75" customHeight="1">
      <c r="A101" s="58" t="s">
        <v>49</v>
      </c>
      <c r="B101" s="58">
        <f>SUM(G102:G108)</f>
        <v>0</v>
      </c>
      <c r="C101" s="58">
        <f>SUM(H102:H108)</f>
        <v>178</v>
      </c>
      <c r="D101" s="58">
        <f>C101-B101</f>
        <v>178</v>
      </c>
      <c r="I101" s="61"/>
      <c r="J101" s="90"/>
      <c r="K101" s="82"/>
      <c r="L101" s="398"/>
      <c r="M101" s="397"/>
      <c r="N101" s="397"/>
      <c r="O101" s="398"/>
    </row>
    <row r="102" spans="1:15" s="52" customFormat="1" ht="13.5">
      <c r="B102" s="52" t="s">
        <v>438</v>
      </c>
      <c r="G102" s="52">
        <f t="shared" si="4"/>
        <v>0</v>
      </c>
      <c r="H102" s="52">
        <v>20</v>
      </c>
      <c r="I102" s="61">
        <f t="shared" si="5"/>
        <v>20</v>
      </c>
      <c r="J102" s="90">
        <f t="shared" ref="J102:J108" si="7">I102</f>
        <v>20</v>
      </c>
      <c r="K102" s="82"/>
      <c r="L102" s="398"/>
      <c r="M102" s="397"/>
      <c r="N102" s="397"/>
      <c r="O102" s="398"/>
    </row>
    <row r="103" spans="1:15" s="52" customFormat="1" ht="13.5">
      <c r="B103" s="52" t="s">
        <v>439</v>
      </c>
      <c r="G103" s="52">
        <f t="shared" si="4"/>
        <v>0</v>
      </c>
      <c r="H103" s="52">
        <v>5</v>
      </c>
      <c r="I103" s="61">
        <f t="shared" si="5"/>
        <v>5</v>
      </c>
      <c r="J103" s="90">
        <f t="shared" si="7"/>
        <v>5</v>
      </c>
      <c r="K103" s="82"/>
      <c r="L103" s="398"/>
      <c r="M103" s="397"/>
      <c r="N103" s="397"/>
      <c r="O103" s="398"/>
    </row>
    <row r="104" spans="1:15" s="52" customFormat="1" ht="13.5">
      <c r="B104" s="52" t="s">
        <v>303</v>
      </c>
      <c r="G104" s="52">
        <f t="shared" si="4"/>
        <v>0</v>
      </c>
      <c r="H104" s="52">
        <v>65</v>
      </c>
      <c r="I104" s="61">
        <f t="shared" si="5"/>
        <v>65</v>
      </c>
      <c r="J104" s="90">
        <f t="shared" si="7"/>
        <v>65</v>
      </c>
      <c r="K104" s="82"/>
      <c r="L104" s="398"/>
      <c r="M104" s="397"/>
      <c r="N104" s="397"/>
      <c r="O104" s="398"/>
    </row>
    <row r="105" spans="1:15" s="52" customFormat="1" ht="13.5">
      <c r="B105" s="52" t="s">
        <v>259</v>
      </c>
      <c r="G105" s="52">
        <f t="shared" si="4"/>
        <v>0</v>
      </c>
      <c r="H105" s="52">
        <v>15</v>
      </c>
      <c r="I105" s="61">
        <f t="shared" si="5"/>
        <v>15</v>
      </c>
      <c r="J105" s="90">
        <f t="shared" si="7"/>
        <v>15</v>
      </c>
      <c r="K105" s="82"/>
      <c r="L105" s="398"/>
      <c r="M105" s="397"/>
      <c r="N105" s="397"/>
      <c r="O105" s="398"/>
    </row>
    <row r="106" spans="1:15" s="52" customFormat="1" ht="13.5">
      <c r="B106" s="52" t="s">
        <v>299</v>
      </c>
      <c r="G106" s="52">
        <f t="shared" si="4"/>
        <v>0</v>
      </c>
      <c r="H106" s="52">
        <v>35</v>
      </c>
      <c r="I106" s="61">
        <f t="shared" si="5"/>
        <v>35</v>
      </c>
      <c r="J106" s="90">
        <f t="shared" si="7"/>
        <v>35</v>
      </c>
      <c r="K106" s="82"/>
      <c r="L106" s="398"/>
      <c r="M106" s="397"/>
      <c r="N106" s="397"/>
      <c r="O106" s="398"/>
    </row>
    <row r="107" spans="1:15" s="52" customFormat="1" ht="13.5">
      <c r="B107" s="52" t="s">
        <v>440</v>
      </c>
      <c r="G107" s="52">
        <f t="shared" si="4"/>
        <v>0</v>
      </c>
      <c r="H107" s="52">
        <v>26</v>
      </c>
      <c r="I107" s="61">
        <f t="shared" si="5"/>
        <v>26</v>
      </c>
      <c r="J107" s="90">
        <f t="shared" si="7"/>
        <v>26</v>
      </c>
      <c r="K107" s="82"/>
      <c r="L107" s="398"/>
      <c r="M107" s="397"/>
      <c r="N107" s="397"/>
      <c r="O107" s="398"/>
    </row>
    <row r="108" spans="1:15" s="52" customFormat="1" ht="13.5">
      <c r="B108" s="52" t="s">
        <v>441</v>
      </c>
      <c r="G108" s="52">
        <f t="shared" si="4"/>
        <v>0</v>
      </c>
      <c r="H108" s="52">
        <v>12</v>
      </c>
      <c r="I108" s="61">
        <f t="shared" si="5"/>
        <v>12</v>
      </c>
      <c r="J108" s="90">
        <f t="shared" si="7"/>
        <v>12</v>
      </c>
      <c r="K108" s="82"/>
      <c r="L108" s="398"/>
      <c r="M108" s="397"/>
      <c r="N108" s="397"/>
      <c r="O108" s="398"/>
    </row>
    <row r="109" spans="1:15" s="52" customFormat="1" ht="13.5">
      <c r="I109" s="61"/>
      <c r="J109" s="90"/>
      <c r="K109" s="82"/>
      <c r="L109" s="398"/>
      <c r="M109" s="397"/>
      <c r="N109" s="397"/>
      <c r="O109" s="398"/>
    </row>
    <row r="110" spans="1:15" s="52" customFormat="1" ht="13.5">
      <c r="A110" s="58" t="s">
        <v>236</v>
      </c>
      <c r="B110" s="58">
        <f>SUM(G111:G113)</f>
        <v>0</v>
      </c>
      <c r="C110" s="58">
        <f>SUM(H111:H113)</f>
        <v>470</v>
      </c>
      <c r="D110" s="58">
        <f>C110-B110</f>
        <v>470</v>
      </c>
      <c r="I110" s="61"/>
      <c r="J110" s="90"/>
      <c r="K110" s="82"/>
      <c r="L110" s="398"/>
      <c r="M110" s="397"/>
      <c r="N110" s="397"/>
      <c r="O110" s="398"/>
    </row>
    <row r="111" spans="1:15" s="52" customFormat="1" ht="13.5">
      <c r="B111" s="52" t="s">
        <v>482</v>
      </c>
      <c r="G111" s="52">
        <f t="shared" si="4"/>
        <v>0</v>
      </c>
      <c r="H111" s="52">
        <v>60</v>
      </c>
      <c r="I111" s="61">
        <f t="shared" si="5"/>
        <v>60</v>
      </c>
      <c r="J111" s="90">
        <f>I111</f>
        <v>60</v>
      </c>
      <c r="K111" s="82"/>
      <c r="L111" s="398"/>
      <c r="M111" s="397"/>
      <c r="N111" s="397"/>
      <c r="O111" s="398"/>
    </row>
    <row r="112" spans="1:15" s="52" customFormat="1" ht="13.5">
      <c r="B112" s="52" t="s">
        <v>442</v>
      </c>
      <c r="G112" s="52">
        <f t="shared" si="4"/>
        <v>0</v>
      </c>
      <c r="H112" s="52">
        <v>400</v>
      </c>
      <c r="I112" s="61">
        <f t="shared" si="5"/>
        <v>400</v>
      </c>
      <c r="J112" s="90">
        <f>I112</f>
        <v>400</v>
      </c>
      <c r="K112" s="82"/>
      <c r="L112" s="398"/>
      <c r="M112" s="397"/>
      <c r="N112" s="397"/>
      <c r="O112" s="398"/>
    </row>
    <row r="113" spans="1:17" s="52" customFormat="1" ht="13.5">
      <c r="B113" s="52" t="s">
        <v>258</v>
      </c>
      <c r="G113" s="52">
        <f t="shared" si="4"/>
        <v>0</v>
      </c>
      <c r="H113" s="52">
        <v>10</v>
      </c>
      <c r="I113" s="61">
        <f t="shared" si="5"/>
        <v>10</v>
      </c>
      <c r="J113" s="90">
        <f>I113</f>
        <v>10</v>
      </c>
      <c r="K113" s="82"/>
      <c r="L113" s="398"/>
      <c r="M113" s="397"/>
      <c r="N113" s="397"/>
      <c r="O113" s="398"/>
    </row>
    <row r="114" spans="1:17" s="52" customFormat="1" ht="13.5">
      <c r="I114" s="61"/>
      <c r="J114" s="90"/>
      <c r="K114" s="82"/>
      <c r="L114" s="398"/>
      <c r="M114" s="397"/>
      <c r="N114" s="397"/>
      <c r="O114" s="398"/>
    </row>
    <row r="115" spans="1:17" s="52" customFormat="1" ht="13.5">
      <c r="A115" s="58" t="s">
        <v>53</v>
      </c>
      <c r="B115" s="58">
        <f>SUM(G116:G118)</f>
        <v>564.07999999999993</v>
      </c>
      <c r="C115" s="58">
        <f>SUM(H116:H118)</f>
        <v>245</v>
      </c>
      <c r="D115" s="58">
        <f>C115-B115</f>
        <v>-319.07999999999993</v>
      </c>
      <c r="I115" s="61"/>
      <c r="J115" s="90"/>
      <c r="K115" s="82"/>
      <c r="L115" s="398"/>
      <c r="M115" s="397"/>
      <c r="N115" s="397"/>
      <c r="O115" s="398"/>
    </row>
    <row r="116" spans="1:17" s="52" customFormat="1" ht="13.5">
      <c r="B116" s="52" t="s">
        <v>443</v>
      </c>
      <c r="G116" s="52">
        <f t="shared" ref="G116:G170" si="8">SUM(L116:O116)</f>
        <v>43.42</v>
      </c>
      <c r="H116" s="52">
        <v>90</v>
      </c>
      <c r="I116" s="61">
        <f t="shared" si="5"/>
        <v>46.58</v>
      </c>
      <c r="J116" s="90">
        <f>I116</f>
        <v>46.58</v>
      </c>
      <c r="K116" s="82"/>
      <c r="L116" s="398"/>
      <c r="M116" s="397">
        <f>43.42</f>
        <v>43.42</v>
      </c>
      <c r="N116" s="397"/>
      <c r="O116" s="398"/>
      <c r="Q116" s="52" t="s">
        <v>856</v>
      </c>
    </row>
    <row r="117" spans="1:17" s="52" customFormat="1" ht="13.5">
      <c r="B117" s="52" t="s">
        <v>54</v>
      </c>
      <c r="G117" s="52">
        <f t="shared" si="8"/>
        <v>233.4</v>
      </c>
      <c r="H117" s="52">
        <v>25</v>
      </c>
      <c r="I117" s="61">
        <f t="shared" si="5"/>
        <v>-208.4</v>
      </c>
      <c r="J117" s="90">
        <f t="shared" ref="J117:J123" si="9">I117</f>
        <v>-208.4</v>
      </c>
      <c r="K117" s="82"/>
      <c r="L117" s="398">
        <f>135+98.4</f>
        <v>233.4</v>
      </c>
      <c r="M117" s="397"/>
      <c r="N117" s="397"/>
      <c r="O117" s="398"/>
    </row>
    <row r="118" spans="1:17" s="52" customFormat="1" ht="13.5">
      <c r="B118" s="54" t="s">
        <v>444</v>
      </c>
      <c r="G118" s="52">
        <f t="shared" si="8"/>
        <v>287.26</v>
      </c>
      <c r="H118" s="52">
        <v>130</v>
      </c>
      <c r="I118" s="61">
        <f t="shared" si="5"/>
        <v>-157.26</v>
      </c>
      <c r="J118" s="90">
        <f t="shared" si="9"/>
        <v>-157.26</v>
      </c>
      <c r="K118" s="82"/>
      <c r="L118" s="398"/>
      <c r="M118" s="397">
        <f>46.06+47+40.96+44.46+32.56+46</f>
        <v>257.04000000000002</v>
      </c>
      <c r="N118" s="397">
        <f>30.22</f>
        <v>30.22</v>
      </c>
      <c r="O118" s="398"/>
    </row>
    <row r="119" spans="1:17" s="52" customFormat="1" ht="13.5">
      <c r="I119" s="61"/>
      <c r="J119" s="90"/>
      <c r="K119" s="82"/>
      <c r="L119" s="398"/>
      <c r="M119" s="397"/>
      <c r="N119" s="397"/>
      <c r="O119" s="398"/>
    </row>
    <row r="120" spans="1:17" s="52" customFormat="1" ht="13.5">
      <c r="A120" s="58" t="s">
        <v>59</v>
      </c>
      <c r="B120" s="58">
        <f>SUM(G121:G123)</f>
        <v>170</v>
      </c>
      <c r="C120" s="58">
        <f>SUM(H121:H123)</f>
        <v>415</v>
      </c>
      <c r="D120" s="58">
        <f>C120-B120</f>
        <v>245</v>
      </c>
      <c r="I120" s="61"/>
      <c r="J120" s="90"/>
      <c r="K120" s="82"/>
      <c r="L120" s="398"/>
      <c r="M120" s="397"/>
      <c r="N120" s="397"/>
      <c r="O120" s="398"/>
    </row>
    <row r="121" spans="1:17" s="52" customFormat="1" ht="13.5">
      <c r="B121" s="52" t="s">
        <v>484</v>
      </c>
      <c r="D121" s="52" t="s">
        <v>60</v>
      </c>
      <c r="G121" s="52">
        <f t="shared" si="8"/>
        <v>0</v>
      </c>
      <c r="H121" s="52">
        <v>150</v>
      </c>
      <c r="I121" s="61">
        <f t="shared" si="5"/>
        <v>150</v>
      </c>
      <c r="J121" s="90">
        <f t="shared" si="9"/>
        <v>150</v>
      </c>
      <c r="K121" s="82"/>
      <c r="L121" s="398"/>
      <c r="M121" s="397"/>
      <c r="N121" s="397"/>
      <c r="O121" s="398"/>
    </row>
    <row r="122" spans="1:17" s="52" customFormat="1" ht="13.5">
      <c r="A122" s="58"/>
      <c r="B122" s="52" t="s">
        <v>483</v>
      </c>
      <c r="G122" s="52">
        <f t="shared" si="8"/>
        <v>170</v>
      </c>
      <c r="H122" s="52">
        <v>215</v>
      </c>
      <c r="I122" s="61">
        <f t="shared" si="5"/>
        <v>45</v>
      </c>
      <c r="J122" s="90">
        <f t="shared" si="9"/>
        <v>45</v>
      </c>
      <c r="K122" s="82"/>
      <c r="L122" s="398">
        <v>170</v>
      </c>
      <c r="M122" s="397"/>
      <c r="N122" s="397"/>
      <c r="O122" s="398"/>
    </row>
    <row r="123" spans="1:17" s="52" customFormat="1" ht="13.5">
      <c r="A123" s="58"/>
      <c r="B123" s="52" t="s">
        <v>468</v>
      </c>
      <c r="G123" s="52">
        <f t="shared" si="8"/>
        <v>0</v>
      </c>
      <c r="H123" s="52">
        <v>50</v>
      </c>
      <c r="I123" s="61">
        <f t="shared" si="5"/>
        <v>50</v>
      </c>
      <c r="J123" s="90">
        <f t="shared" si="9"/>
        <v>50</v>
      </c>
      <c r="K123" s="82"/>
      <c r="L123" s="398"/>
      <c r="M123" s="397"/>
      <c r="N123" s="397"/>
      <c r="O123" s="398"/>
    </row>
    <row r="124" spans="1:17" s="52" customFormat="1" ht="13.5">
      <c r="A124" s="58"/>
      <c r="I124" s="61"/>
      <c r="J124" s="90"/>
      <c r="K124" s="82"/>
      <c r="L124" s="398"/>
      <c r="M124" s="397"/>
      <c r="N124" s="397"/>
      <c r="O124" s="398"/>
    </row>
    <row r="125" spans="1:17" s="52" customFormat="1" ht="13.5">
      <c r="A125" s="58" t="s">
        <v>50</v>
      </c>
      <c r="B125" s="58">
        <f>SUM(G126:G136)</f>
        <v>630.3599999999999</v>
      </c>
      <c r="C125" s="58">
        <f>SUM(H126:H136)</f>
        <v>740</v>
      </c>
      <c r="D125" s="58">
        <f>C125-B125</f>
        <v>109.6400000000001</v>
      </c>
      <c r="I125" s="61"/>
      <c r="J125" s="90"/>
      <c r="K125" s="82"/>
      <c r="L125" s="398"/>
      <c r="M125" s="397"/>
      <c r="N125" s="397"/>
      <c r="O125" s="398"/>
    </row>
    <row r="126" spans="1:17" s="52" customFormat="1" ht="13.5">
      <c r="B126" s="52" t="s">
        <v>51</v>
      </c>
      <c r="G126" s="52">
        <f t="shared" si="8"/>
        <v>196</v>
      </c>
      <c r="H126" s="52">
        <v>100</v>
      </c>
      <c r="I126" s="61">
        <f t="shared" si="5"/>
        <v>-96</v>
      </c>
      <c r="J126" s="90">
        <f>I126</f>
        <v>-96</v>
      </c>
      <c r="K126" s="82"/>
      <c r="L126" s="398">
        <f>196</f>
        <v>196</v>
      </c>
      <c r="M126" s="397"/>
      <c r="N126" s="397"/>
      <c r="O126" s="398"/>
      <c r="Q126" s="418">
        <v>42030</v>
      </c>
    </row>
    <row r="127" spans="1:17" s="52" customFormat="1" ht="14.25" thickBot="1">
      <c r="B127" s="52" t="s">
        <v>453</v>
      </c>
      <c r="G127" s="52">
        <f t="shared" si="8"/>
        <v>360.59999999999997</v>
      </c>
      <c r="H127" s="52">
        <v>500</v>
      </c>
      <c r="I127" s="61">
        <f t="shared" si="5"/>
        <v>139.40000000000003</v>
      </c>
      <c r="J127" s="90">
        <f>I127</f>
        <v>139.40000000000003</v>
      </c>
      <c r="K127" s="82"/>
      <c r="L127" s="398"/>
      <c r="M127" s="397">
        <f>27.8+25.72</f>
        <v>53.519999999999996</v>
      </c>
      <c r="N127" s="397">
        <f>14.56+37.38+19.63+56.14+42.07+(60.41+24.62)+52.27</f>
        <v>307.08</v>
      </c>
      <c r="O127" s="398"/>
    </row>
    <row r="128" spans="1:17" s="52" customFormat="1" ht="14.25" thickBot="1">
      <c r="C128" s="52" t="s">
        <v>552</v>
      </c>
      <c r="E128" s="88"/>
      <c r="I128" s="61"/>
      <c r="J128" s="90"/>
      <c r="K128" s="82"/>
      <c r="L128" s="398"/>
      <c r="M128" s="397"/>
      <c r="N128" s="397"/>
      <c r="O128" s="398"/>
    </row>
    <row r="129" spans="1:17" s="52" customFormat="1" ht="14.25" thickBot="1">
      <c r="C129" s="52" t="s">
        <v>447</v>
      </c>
      <c r="E129" s="88"/>
      <c r="I129" s="61"/>
      <c r="J129" s="90"/>
      <c r="K129" s="82"/>
      <c r="L129" s="398"/>
      <c r="M129" s="397"/>
      <c r="N129" s="397"/>
      <c r="O129" s="398"/>
    </row>
    <row r="130" spans="1:17" s="52" customFormat="1" ht="13.5">
      <c r="B130" s="52" t="s">
        <v>487</v>
      </c>
      <c r="G130" s="52">
        <f t="shared" si="8"/>
        <v>73.759999999999991</v>
      </c>
      <c r="H130" s="52">
        <v>50</v>
      </c>
      <c r="I130" s="61">
        <f t="shared" si="5"/>
        <v>-23.759999999999991</v>
      </c>
      <c r="J130" s="90">
        <f>I130</f>
        <v>-23.759999999999991</v>
      </c>
      <c r="K130" s="82"/>
      <c r="L130" s="398"/>
      <c r="M130" s="397">
        <f>8.96</f>
        <v>8.9600000000000009</v>
      </c>
      <c r="N130" s="397">
        <v>64.8</v>
      </c>
      <c r="O130" s="398"/>
    </row>
    <row r="131" spans="1:17" s="52" customFormat="1" ht="14.25" thickBot="1">
      <c r="B131" s="52" t="s">
        <v>52</v>
      </c>
      <c r="G131" s="52">
        <f t="shared" si="8"/>
        <v>0</v>
      </c>
      <c r="H131" s="52">
        <v>70</v>
      </c>
      <c r="I131" s="61">
        <f t="shared" si="5"/>
        <v>70</v>
      </c>
      <c r="J131" s="90">
        <f>I131</f>
        <v>70</v>
      </c>
      <c r="K131" s="82"/>
      <c r="L131" s="398"/>
      <c r="M131" s="397"/>
      <c r="N131" s="397"/>
      <c r="O131" s="398"/>
    </row>
    <row r="132" spans="1:17" s="52" customFormat="1" ht="14.25" thickBot="1">
      <c r="C132" s="259" t="s">
        <v>448</v>
      </c>
      <c r="D132" s="260"/>
      <c r="E132" s="88"/>
      <c r="I132" s="61"/>
      <c r="J132" s="90"/>
      <c r="K132" s="82"/>
      <c r="L132" s="398"/>
      <c r="M132" s="397"/>
      <c r="N132" s="397"/>
      <c r="O132" s="398"/>
    </row>
    <row r="133" spans="1:17" s="52" customFormat="1" ht="14.25" thickBot="1">
      <c r="C133" s="259" t="s">
        <v>449</v>
      </c>
      <c r="D133" s="260"/>
      <c r="E133" s="88"/>
      <c r="I133" s="61"/>
      <c r="J133" s="90"/>
      <c r="K133" s="82"/>
      <c r="L133" s="398"/>
      <c r="M133" s="397"/>
      <c r="N133" s="397"/>
      <c r="O133" s="398"/>
    </row>
    <row r="134" spans="1:17" s="52" customFormat="1" ht="14.25" thickBot="1">
      <c r="C134" s="259" t="s">
        <v>450</v>
      </c>
      <c r="D134" s="260"/>
      <c r="E134" s="88"/>
      <c r="I134" s="61"/>
      <c r="J134" s="90"/>
      <c r="K134" s="82"/>
      <c r="L134" s="398"/>
      <c r="M134" s="397"/>
      <c r="N134" s="397"/>
      <c r="O134" s="398"/>
    </row>
    <row r="135" spans="1:17" s="52" customFormat="1" ht="14.25" thickBot="1">
      <c r="C135" s="259" t="s">
        <v>451</v>
      </c>
      <c r="D135" s="260"/>
      <c r="E135" s="88"/>
      <c r="I135" s="61"/>
      <c r="J135" s="90"/>
      <c r="K135" s="82"/>
      <c r="L135" s="398"/>
      <c r="M135" s="397"/>
      <c r="N135" s="397"/>
      <c r="O135" s="398"/>
    </row>
    <row r="136" spans="1:17" s="52" customFormat="1" ht="13.5">
      <c r="B136" s="52" t="s">
        <v>452</v>
      </c>
      <c r="G136" s="52">
        <f t="shared" si="8"/>
        <v>0</v>
      </c>
      <c r="H136" s="52">
        <v>20</v>
      </c>
      <c r="I136" s="61">
        <f t="shared" ref="I136:I151" si="10">H136-G136</f>
        <v>20</v>
      </c>
      <c r="J136" s="90">
        <f>I136</f>
        <v>20</v>
      </c>
      <c r="K136" s="82"/>
      <c r="L136" s="398"/>
      <c r="M136" s="397"/>
      <c r="N136" s="397"/>
      <c r="O136" s="398"/>
    </row>
    <row r="137" spans="1:17" s="52" customFormat="1" ht="13.5">
      <c r="I137" s="61"/>
      <c r="J137" s="90"/>
      <c r="K137" s="82"/>
      <c r="L137" s="398"/>
      <c r="M137" s="397"/>
      <c r="N137" s="397"/>
      <c r="O137" s="398"/>
    </row>
    <row r="138" spans="1:17" s="52" customFormat="1" ht="13.5">
      <c r="A138" s="58" t="s">
        <v>65</v>
      </c>
      <c r="B138" s="58">
        <f>G139</f>
        <v>0</v>
      </c>
      <c r="C138" s="58">
        <f>H139</f>
        <v>140</v>
      </c>
      <c r="D138" s="58">
        <f>I139</f>
        <v>140</v>
      </c>
      <c r="I138" s="61"/>
      <c r="J138" s="90"/>
      <c r="K138" s="82"/>
      <c r="L138" s="398"/>
      <c r="M138" s="397"/>
      <c r="N138" s="397"/>
      <c r="O138" s="398"/>
    </row>
    <row r="139" spans="1:17" s="52" customFormat="1" ht="13.5">
      <c r="B139" s="52" t="s">
        <v>66</v>
      </c>
      <c r="G139" s="52">
        <f t="shared" si="8"/>
        <v>0</v>
      </c>
      <c r="H139" s="52">
        <v>140</v>
      </c>
      <c r="I139" s="61">
        <f t="shared" si="10"/>
        <v>140</v>
      </c>
      <c r="J139" s="90">
        <f>I139</f>
        <v>140</v>
      </c>
      <c r="K139" s="82"/>
      <c r="L139" s="398"/>
      <c r="M139" s="397"/>
      <c r="N139" s="397"/>
      <c r="O139" s="398"/>
    </row>
    <row r="140" spans="1:17" s="52" customFormat="1" ht="13.5">
      <c r="I140" s="61"/>
      <c r="J140" s="90"/>
      <c r="K140" s="82"/>
      <c r="L140" s="398"/>
      <c r="M140" s="397"/>
      <c r="N140" s="397"/>
      <c r="O140" s="398"/>
    </row>
    <row r="141" spans="1:17" s="52" customFormat="1" ht="13.5">
      <c r="A141" s="58" t="s">
        <v>271</v>
      </c>
      <c r="B141" s="58">
        <f>SUM(G142:G144)</f>
        <v>126.99000000000001</v>
      </c>
      <c r="C141" s="58">
        <f>SUM(H142:H144)</f>
        <v>230</v>
      </c>
      <c r="D141" s="58">
        <f>C141-B141</f>
        <v>103.00999999999999</v>
      </c>
      <c r="I141" s="61"/>
      <c r="J141" s="90"/>
      <c r="K141" s="82"/>
      <c r="L141" s="398"/>
      <c r="M141" s="397"/>
      <c r="N141" s="397"/>
      <c r="O141" s="398"/>
    </row>
    <row r="142" spans="1:17" s="52" customFormat="1" ht="13.5">
      <c r="B142" s="52" t="s">
        <v>266</v>
      </c>
      <c r="G142" s="52">
        <f t="shared" si="8"/>
        <v>126.99000000000001</v>
      </c>
      <c r="H142" s="52">
        <v>100</v>
      </c>
      <c r="I142" s="61">
        <f t="shared" si="10"/>
        <v>-26.990000000000009</v>
      </c>
      <c r="J142" s="90">
        <v>100</v>
      </c>
      <c r="K142" s="82"/>
      <c r="L142" s="398"/>
      <c r="M142" s="397">
        <f>31.08+39.63+43.13+13.15</f>
        <v>126.99000000000001</v>
      </c>
      <c r="N142" s="397"/>
      <c r="O142" s="398"/>
      <c r="Q142" s="52" t="s">
        <v>855</v>
      </c>
    </row>
    <row r="143" spans="1:17" s="52" customFormat="1" ht="13.5">
      <c r="B143" s="52" t="s">
        <v>454</v>
      </c>
      <c r="G143" s="52">
        <f t="shared" si="8"/>
        <v>0</v>
      </c>
      <c r="H143" s="52">
        <v>100</v>
      </c>
      <c r="I143" s="61">
        <f t="shared" si="10"/>
        <v>100</v>
      </c>
      <c r="J143" s="90">
        <v>100</v>
      </c>
      <c r="K143" s="82"/>
      <c r="L143" s="398"/>
      <c r="M143" s="397"/>
      <c r="N143" s="397"/>
      <c r="O143" s="398"/>
    </row>
    <row r="144" spans="1:17" s="52" customFormat="1" ht="13.5">
      <c r="B144" s="52" t="s">
        <v>455</v>
      </c>
      <c r="G144" s="52">
        <f t="shared" si="8"/>
        <v>0</v>
      </c>
      <c r="H144" s="52">
        <v>30</v>
      </c>
      <c r="I144" s="61">
        <f t="shared" si="10"/>
        <v>30</v>
      </c>
      <c r="J144" s="90">
        <v>100</v>
      </c>
      <c r="K144" s="82"/>
      <c r="L144" s="398"/>
      <c r="M144" s="397"/>
      <c r="N144" s="397"/>
      <c r="O144" s="398"/>
    </row>
    <row r="145" spans="1:17" s="52" customFormat="1" ht="13.5">
      <c r="I145" s="61"/>
      <c r="J145" s="90"/>
      <c r="K145" s="82"/>
      <c r="L145" s="398"/>
      <c r="M145" s="397"/>
      <c r="N145" s="397"/>
      <c r="O145" s="398"/>
    </row>
    <row r="146" spans="1:17" s="52" customFormat="1" ht="13.5">
      <c r="A146" s="58" t="s">
        <v>67</v>
      </c>
      <c r="B146" s="58">
        <f>G147</f>
        <v>0</v>
      </c>
      <c r="C146" s="58">
        <f>H147</f>
        <v>10</v>
      </c>
      <c r="D146" s="58">
        <f>C146-B146</f>
        <v>10</v>
      </c>
      <c r="I146" s="61"/>
      <c r="J146" s="90"/>
      <c r="K146" s="82"/>
      <c r="L146" s="398"/>
      <c r="M146" s="397"/>
      <c r="N146" s="397"/>
      <c r="O146" s="398"/>
    </row>
    <row r="147" spans="1:17" s="52" customFormat="1" ht="13.5">
      <c r="B147" s="52" t="s">
        <v>68</v>
      </c>
      <c r="G147" s="52">
        <f t="shared" si="8"/>
        <v>0</v>
      </c>
      <c r="H147" s="52">
        <v>10</v>
      </c>
      <c r="I147" s="61">
        <f t="shared" si="10"/>
        <v>10</v>
      </c>
      <c r="J147" s="90">
        <f>I147</f>
        <v>10</v>
      </c>
      <c r="K147" s="82"/>
      <c r="L147" s="398"/>
      <c r="M147" s="397"/>
      <c r="N147" s="397"/>
      <c r="O147" s="398"/>
    </row>
    <row r="148" spans="1:17" s="52" customFormat="1" ht="13.5">
      <c r="I148" s="61"/>
      <c r="J148" s="90"/>
      <c r="K148" s="82"/>
      <c r="L148" s="398"/>
      <c r="M148" s="397"/>
      <c r="N148" s="397"/>
      <c r="O148" s="398"/>
    </row>
    <row r="149" spans="1:17" s="52" customFormat="1" ht="13.5">
      <c r="A149" s="58" t="s">
        <v>269</v>
      </c>
      <c r="B149" s="58">
        <f>SUM(G150:G151)</f>
        <v>207.01</v>
      </c>
      <c r="C149" s="58">
        <f>SUM(H150:H151)</f>
        <v>250</v>
      </c>
      <c r="D149" s="58">
        <f>C149-B149</f>
        <v>42.990000000000009</v>
      </c>
      <c r="I149" s="61"/>
      <c r="J149" s="90"/>
      <c r="K149" s="82"/>
      <c r="L149" s="398"/>
      <c r="M149" s="397"/>
      <c r="N149" s="397"/>
      <c r="O149" s="398"/>
    </row>
    <row r="150" spans="1:17" s="52" customFormat="1" ht="13.5">
      <c r="B150" s="52" t="s">
        <v>63</v>
      </c>
      <c r="G150" s="52">
        <f t="shared" si="8"/>
        <v>0</v>
      </c>
      <c r="H150" s="52">
        <v>150</v>
      </c>
      <c r="I150" s="61">
        <f t="shared" si="10"/>
        <v>150</v>
      </c>
      <c r="J150" s="90">
        <f t="shared" ref="J150:J170" si="11">I150</f>
        <v>150</v>
      </c>
      <c r="K150" s="87"/>
      <c r="L150" s="398"/>
      <c r="M150" s="397"/>
      <c r="N150" s="397"/>
      <c r="O150" s="398"/>
    </row>
    <row r="151" spans="1:17" s="52" customFormat="1" ht="13.5">
      <c r="B151" s="52" t="s">
        <v>64</v>
      </c>
      <c r="D151" s="52" t="s">
        <v>270</v>
      </c>
      <c r="G151" s="52">
        <f t="shared" si="8"/>
        <v>207.01</v>
      </c>
      <c r="H151" s="52">
        <v>100</v>
      </c>
      <c r="I151" s="61">
        <f t="shared" si="10"/>
        <v>-107.00999999999999</v>
      </c>
      <c r="J151" s="90">
        <f t="shared" si="11"/>
        <v>-107.00999999999999</v>
      </c>
      <c r="K151" s="87"/>
      <c r="L151" s="398"/>
      <c r="M151" s="397">
        <f>43.25+60</f>
        <v>103.25</v>
      </c>
      <c r="N151" s="397">
        <v>103.76</v>
      </c>
      <c r="O151" s="398"/>
      <c r="Q151" s="52" t="s">
        <v>903</v>
      </c>
    </row>
    <row r="152" spans="1:17" ht="13.5">
      <c r="A152" s="52"/>
      <c r="B152" s="52"/>
      <c r="C152" s="52"/>
      <c r="D152" s="52"/>
      <c r="E152" s="52"/>
      <c r="F152" s="52"/>
      <c r="G152" s="52"/>
      <c r="H152" s="52"/>
      <c r="I152" s="61"/>
      <c r="J152" s="90"/>
      <c r="L152" s="398"/>
      <c r="M152" s="397"/>
      <c r="N152" s="397"/>
      <c r="O152" s="398"/>
    </row>
    <row r="153" spans="1:17" ht="13.5">
      <c r="A153" s="52"/>
      <c r="B153" s="52"/>
      <c r="C153" s="52"/>
      <c r="D153" s="52"/>
      <c r="E153" s="52"/>
      <c r="F153" s="52"/>
      <c r="G153" s="52"/>
      <c r="H153" s="52"/>
      <c r="I153" s="61"/>
      <c r="J153" s="90"/>
      <c r="L153" s="398"/>
      <c r="M153" s="397"/>
      <c r="N153" s="397"/>
      <c r="O153" s="398"/>
    </row>
    <row r="154" spans="1:17" ht="13.5">
      <c r="A154" s="58" t="s">
        <v>459</v>
      </c>
      <c r="B154" s="52"/>
      <c r="C154" s="52"/>
      <c r="D154" s="52"/>
      <c r="E154" s="52"/>
      <c r="F154" s="52"/>
      <c r="G154" s="52"/>
      <c r="H154" s="52"/>
      <c r="I154" s="61"/>
      <c r="J154" s="90"/>
      <c r="L154" s="398"/>
      <c r="M154" s="397"/>
      <c r="N154" s="397"/>
      <c r="O154" s="398"/>
    </row>
    <row r="155" spans="1:17" ht="13.5">
      <c r="A155" s="52"/>
      <c r="B155" s="52">
        <f>SUM(G156:G170)</f>
        <v>75</v>
      </c>
      <c r="C155" s="52">
        <f>SUM(H156:H170)</f>
        <v>610</v>
      </c>
      <c r="D155" s="58">
        <f>C155-B155</f>
        <v>535</v>
      </c>
      <c r="E155" s="52"/>
      <c r="F155" s="52"/>
      <c r="G155" s="52"/>
      <c r="H155" s="52"/>
      <c r="I155" s="61"/>
      <c r="J155" s="90"/>
      <c r="L155" s="398"/>
      <c r="M155" s="397"/>
      <c r="N155" s="397"/>
      <c r="O155" s="398"/>
    </row>
    <row r="156" spans="1:17" ht="13.5">
      <c r="A156" s="58" t="s">
        <v>461</v>
      </c>
      <c r="B156" s="52"/>
      <c r="C156" s="52"/>
      <c r="D156" s="52"/>
      <c r="E156" s="52"/>
      <c r="F156" s="52"/>
      <c r="G156" s="52">
        <f t="shared" si="8"/>
        <v>0</v>
      </c>
      <c r="H156" s="52"/>
      <c r="I156" s="61"/>
      <c r="J156" s="90"/>
      <c r="L156" s="398"/>
      <c r="M156" s="397"/>
      <c r="N156" s="397"/>
      <c r="O156" s="398"/>
    </row>
    <row r="157" spans="1:17" ht="14.25" thickBot="1">
      <c r="A157" s="52"/>
      <c r="B157" s="52" t="s">
        <v>267</v>
      </c>
      <c r="C157" s="52"/>
      <c r="D157" s="52"/>
      <c r="E157" s="52"/>
      <c r="F157" s="52"/>
      <c r="G157" s="52">
        <f t="shared" si="8"/>
        <v>0</v>
      </c>
      <c r="H157" s="52">
        <v>100</v>
      </c>
      <c r="I157" s="61">
        <f t="shared" ref="I157:I170" si="12">H157-G157</f>
        <v>100</v>
      </c>
      <c r="J157" s="90">
        <f t="shared" si="11"/>
        <v>100</v>
      </c>
      <c r="L157" s="398"/>
      <c r="M157" s="397"/>
      <c r="N157" s="397"/>
      <c r="O157" s="398"/>
    </row>
    <row r="158" spans="1:17" ht="14.25" thickBot="1">
      <c r="A158" s="88">
        <f>SUM(G157:G161)</f>
        <v>75</v>
      </c>
      <c r="B158" s="52" t="s">
        <v>268</v>
      </c>
      <c r="C158" s="52"/>
      <c r="D158" s="52"/>
      <c r="E158" s="52"/>
      <c r="F158" s="52"/>
      <c r="G158" s="52">
        <f t="shared" si="8"/>
        <v>0</v>
      </c>
      <c r="H158" s="52">
        <v>100</v>
      </c>
      <c r="I158" s="61">
        <f t="shared" si="12"/>
        <v>100</v>
      </c>
      <c r="J158" s="90">
        <f t="shared" si="11"/>
        <v>100</v>
      </c>
      <c r="L158" s="398"/>
      <c r="M158" s="397"/>
      <c r="N158" s="397"/>
      <c r="O158" s="398"/>
    </row>
    <row r="159" spans="1:17" ht="13.5">
      <c r="A159" s="52"/>
      <c r="B159" s="52" t="s">
        <v>61</v>
      </c>
      <c r="C159" s="52"/>
      <c r="D159" s="52"/>
      <c r="E159" s="52"/>
      <c r="F159" s="52"/>
      <c r="G159" s="52">
        <f t="shared" si="8"/>
        <v>0</v>
      </c>
      <c r="H159" s="52">
        <v>30</v>
      </c>
      <c r="I159" s="61">
        <f t="shared" si="12"/>
        <v>30</v>
      </c>
      <c r="J159" s="90">
        <f t="shared" si="11"/>
        <v>30</v>
      </c>
      <c r="L159" s="398"/>
      <c r="M159" s="397"/>
      <c r="N159" s="397"/>
      <c r="O159" s="398"/>
    </row>
    <row r="160" spans="1:17" ht="13.5">
      <c r="A160" s="52"/>
      <c r="B160" s="52" t="s">
        <v>62</v>
      </c>
      <c r="C160" s="52"/>
      <c r="D160" s="52"/>
      <c r="E160" s="52"/>
      <c r="F160" s="52"/>
      <c r="G160" s="52">
        <f t="shared" si="8"/>
        <v>75</v>
      </c>
      <c r="H160" s="52">
        <v>50</v>
      </c>
      <c r="I160" s="61">
        <f t="shared" si="12"/>
        <v>-25</v>
      </c>
      <c r="J160" s="90">
        <f t="shared" si="11"/>
        <v>-25</v>
      </c>
      <c r="L160" s="398"/>
      <c r="M160" s="397">
        <v>75</v>
      </c>
      <c r="N160" s="397"/>
      <c r="O160" s="398"/>
      <c r="Q160" s="65" t="s">
        <v>854</v>
      </c>
    </row>
    <row r="161" spans="1:15" ht="13.5">
      <c r="A161" s="52"/>
      <c r="B161" s="52" t="s">
        <v>486</v>
      </c>
      <c r="C161" s="52"/>
      <c r="D161" s="52"/>
      <c r="E161" s="52"/>
      <c r="F161" s="52"/>
      <c r="G161" s="52">
        <f t="shared" si="8"/>
        <v>0</v>
      </c>
      <c r="H161" s="52">
        <v>10</v>
      </c>
      <c r="I161" s="61">
        <f t="shared" si="12"/>
        <v>10</v>
      </c>
      <c r="J161" s="90">
        <f t="shared" si="11"/>
        <v>10</v>
      </c>
      <c r="L161" s="398"/>
      <c r="M161" s="397"/>
      <c r="N161" s="397"/>
      <c r="O161" s="398"/>
    </row>
    <row r="162" spans="1:15" ht="13.5">
      <c r="A162" s="52"/>
      <c r="B162" s="52"/>
      <c r="C162" s="52"/>
      <c r="D162" s="52"/>
      <c r="E162" s="52"/>
      <c r="F162" s="52"/>
      <c r="G162" s="52"/>
      <c r="H162" s="52"/>
      <c r="I162" s="61"/>
      <c r="J162" s="90"/>
      <c r="L162" s="398"/>
      <c r="M162" s="397"/>
      <c r="N162" s="397"/>
      <c r="O162" s="398"/>
    </row>
    <row r="163" spans="1:15" ht="13.5">
      <c r="A163" s="58" t="s">
        <v>460</v>
      </c>
      <c r="B163" s="52"/>
      <c r="C163" s="52"/>
      <c r="D163" s="52"/>
      <c r="E163" s="52"/>
      <c r="F163" s="52"/>
      <c r="G163" s="52"/>
      <c r="H163" s="52"/>
      <c r="I163" s="61"/>
      <c r="J163" s="90"/>
      <c r="L163" s="398"/>
      <c r="M163" s="397"/>
      <c r="N163" s="397"/>
      <c r="O163" s="398"/>
    </row>
    <row r="164" spans="1:15" ht="14.25" thickBot="1">
      <c r="A164" s="52"/>
      <c r="B164" s="52" t="s">
        <v>456</v>
      </c>
      <c r="C164" s="52"/>
      <c r="D164" s="52"/>
      <c r="E164" s="52"/>
      <c r="F164" s="52"/>
      <c r="G164" s="52">
        <f t="shared" si="8"/>
        <v>0</v>
      </c>
      <c r="H164" s="52">
        <v>30</v>
      </c>
      <c r="I164" s="61">
        <f t="shared" si="12"/>
        <v>30</v>
      </c>
      <c r="J164" s="90">
        <f t="shared" si="11"/>
        <v>30</v>
      </c>
      <c r="L164" s="398"/>
      <c r="M164" s="397"/>
      <c r="N164" s="397"/>
      <c r="O164" s="398"/>
    </row>
    <row r="165" spans="1:15" ht="14.25" thickBot="1">
      <c r="A165" s="88">
        <f>SUM(G164:G168)</f>
        <v>0</v>
      </c>
      <c r="B165" s="52" t="s">
        <v>457</v>
      </c>
      <c r="C165" s="52"/>
      <c r="D165" s="52"/>
      <c r="E165" s="52"/>
      <c r="F165" s="52"/>
      <c r="G165" s="52">
        <f t="shared" si="8"/>
        <v>0</v>
      </c>
      <c r="H165" s="52">
        <v>30</v>
      </c>
      <c r="I165" s="61">
        <f t="shared" si="12"/>
        <v>30</v>
      </c>
      <c r="J165" s="90">
        <f t="shared" si="11"/>
        <v>30</v>
      </c>
      <c r="L165" s="398"/>
      <c r="M165" s="397"/>
      <c r="N165" s="397"/>
      <c r="O165" s="398"/>
    </row>
    <row r="166" spans="1:15" ht="13.5">
      <c r="A166" s="52"/>
      <c r="B166" s="52" t="s">
        <v>486</v>
      </c>
      <c r="C166" s="52"/>
      <c r="D166" s="52"/>
      <c r="E166" s="52"/>
      <c r="F166" s="52"/>
      <c r="G166" s="52">
        <f t="shared" si="8"/>
        <v>0</v>
      </c>
      <c r="H166" s="52">
        <v>30</v>
      </c>
      <c r="I166" s="61">
        <f t="shared" si="12"/>
        <v>30</v>
      </c>
      <c r="J166" s="90">
        <f t="shared" si="11"/>
        <v>30</v>
      </c>
      <c r="L166" s="398"/>
      <c r="M166" s="397"/>
      <c r="N166" s="397"/>
      <c r="O166" s="398"/>
    </row>
    <row r="167" spans="1:15" ht="13.5">
      <c r="A167" s="52"/>
      <c r="B167" s="52" t="s">
        <v>458</v>
      </c>
      <c r="C167" s="52"/>
      <c r="D167" s="52"/>
      <c r="E167" s="52"/>
      <c r="F167" s="52"/>
      <c r="G167" s="52">
        <f t="shared" si="8"/>
        <v>0</v>
      </c>
      <c r="H167" s="52">
        <v>30</v>
      </c>
      <c r="I167" s="61">
        <f t="shared" si="12"/>
        <v>30</v>
      </c>
      <c r="J167" s="90">
        <f t="shared" si="11"/>
        <v>30</v>
      </c>
      <c r="L167" s="398"/>
      <c r="M167" s="397"/>
      <c r="N167" s="397"/>
      <c r="O167" s="398"/>
    </row>
    <row r="168" spans="1:15" ht="13.5">
      <c r="A168" s="52"/>
      <c r="B168" s="52" t="s">
        <v>485</v>
      </c>
      <c r="C168" s="52"/>
      <c r="D168" s="52"/>
      <c r="E168" s="52"/>
      <c r="F168" s="52"/>
      <c r="G168" s="52">
        <f t="shared" si="8"/>
        <v>0</v>
      </c>
      <c r="H168" s="52">
        <v>100</v>
      </c>
      <c r="I168" s="61">
        <f t="shared" si="12"/>
        <v>100</v>
      </c>
      <c r="J168" s="90">
        <f t="shared" si="11"/>
        <v>100</v>
      </c>
      <c r="L168" s="398"/>
      <c r="M168" s="397"/>
      <c r="N168" s="397"/>
      <c r="O168" s="398"/>
    </row>
    <row r="169" spans="1:15" ht="13.5">
      <c r="A169" s="52"/>
      <c r="B169" s="52"/>
      <c r="C169" s="52"/>
      <c r="D169" s="52"/>
      <c r="E169" s="52"/>
      <c r="F169" s="52"/>
      <c r="G169" s="52"/>
      <c r="H169" s="52"/>
      <c r="I169" s="61"/>
      <c r="J169" s="90"/>
      <c r="L169" s="398"/>
      <c r="M169" s="397"/>
      <c r="N169" s="397"/>
      <c r="O169" s="398"/>
    </row>
    <row r="170" spans="1:15" ht="13.5">
      <c r="A170" s="58" t="s">
        <v>272</v>
      </c>
      <c r="B170" s="52"/>
      <c r="C170" s="52"/>
      <c r="D170" s="52"/>
      <c r="E170" s="52"/>
      <c r="F170" s="52"/>
      <c r="G170" s="52">
        <f t="shared" si="8"/>
        <v>0</v>
      </c>
      <c r="H170" s="52">
        <v>100</v>
      </c>
      <c r="I170" s="61">
        <f t="shared" si="12"/>
        <v>100</v>
      </c>
      <c r="J170" s="90">
        <f t="shared" si="11"/>
        <v>100</v>
      </c>
      <c r="L170" s="398"/>
      <c r="M170" s="397"/>
      <c r="N170" s="397"/>
      <c r="O170" s="398"/>
    </row>
  </sheetData>
  <sheetProtection selectLockedCells="1" selectUnlockedCells="1"/>
  <pageMargins left="0.75" right="0.75" top="1" bottom="1" header="0.51180555555555551" footer="0.51180555555555551"/>
  <pageSetup firstPageNumber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Overview</vt:lpstr>
      <vt:lpstr>Summary</vt:lpstr>
      <vt:lpstr>Budgeting</vt:lpstr>
      <vt:lpstr>Saving</vt:lpstr>
      <vt:lpstr>NH Utility</vt:lpstr>
      <vt:lpstr>NH Heating</vt:lpstr>
      <vt:lpstr>Tithe</vt:lpstr>
      <vt:lpstr>NYC Utility</vt:lpstr>
      <vt:lpstr>Jan</vt:lpstr>
      <vt:lpstr>Feb</vt:lpstr>
      <vt:lpstr>Mar</vt:lpstr>
      <vt:lpstr>Apr</vt:lpstr>
      <vt:lpstr>May</vt:lpstr>
      <vt:lpstr>Jun</vt:lpstr>
      <vt:lpstr>July</vt:lpstr>
      <vt:lpstr>Aug</vt:lpstr>
      <vt:lpstr>Sep</vt:lpstr>
      <vt:lpstr>Oct</vt:lpstr>
      <vt:lpstr>Nov</vt:lpstr>
      <vt:lpstr>Dec</vt:lpstr>
      <vt:lpstr>Glendale, NY</vt:lpstr>
      <vt:lpstr>2106EZ</vt:lpstr>
      <vt:lpstr>Real Estate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Franes</dc:creator>
  <cp:lastModifiedBy>chris</cp:lastModifiedBy>
  <dcterms:created xsi:type="dcterms:W3CDTF">2012-08-12T19:52:52Z</dcterms:created>
  <dcterms:modified xsi:type="dcterms:W3CDTF">2016-07-06T19:16:23Z</dcterms:modified>
</cp:coreProperties>
</file>