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FINANCE\Home Finance\"/>
    </mc:Choice>
  </mc:AlternateContent>
  <bookViews>
    <workbookView xWindow="0" yWindow="0" windowWidth="24000" windowHeight="9735" tabRatio="706" firstSheet="6" activeTab="13"/>
  </bookViews>
  <sheets>
    <sheet name="Overview" sheetId="23" r:id="rId1"/>
    <sheet name="Summary" sheetId="1" r:id="rId2"/>
    <sheet name="Budgeting" sheetId="2" r:id="rId3"/>
    <sheet name="Saving" sheetId="17" r:id="rId4"/>
    <sheet name="Tithe" sheetId="3" r:id="rId5"/>
    <sheet name="NYC Utility" sheetId="28" r:id="rId6"/>
    <sheet name="Jan" sheetId="5" r:id="rId7"/>
    <sheet name="Feb" sheetId="6" r:id="rId8"/>
    <sheet name="Mar" sheetId="7" r:id="rId9"/>
    <sheet name="Apr" sheetId="8" r:id="rId10"/>
    <sheet name="May" sheetId="9" r:id="rId11"/>
    <sheet name="Jun" sheetId="10" r:id="rId12"/>
    <sheet name="July" sheetId="11" r:id="rId13"/>
    <sheet name="Aug" sheetId="12" r:id="rId14"/>
    <sheet name="Sep" sheetId="13" r:id="rId15"/>
    <sheet name="Oct" sheetId="14" r:id="rId16"/>
    <sheet name="Nov" sheetId="15" r:id="rId17"/>
    <sheet name="Dec" sheetId="16" r:id="rId18"/>
    <sheet name="Glendale, NY" sheetId="24" r:id="rId19"/>
    <sheet name="2106EZ" sheetId="19" r:id="rId20"/>
    <sheet name="Real Estate" sheetId="25" r:id="rId21"/>
    <sheet name="Sheet3" sheetId="27" r:id="rId22"/>
  </sheets>
  <calcPr calcId="152511"/>
</workbook>
</file>

<file path=xl/calcChain.xml><?xml version="1.0" encoding="utf-8"?>
<calcChain xmlns="http://schemas.openxmlformats.org/spreadsheetml/2006/main">
  <c r="M73" i="12" l="1"/>
  <c r="M75" i="12"/>
  <c r="G146" i="28"/>
  <c r="F29" i="1" l="1"/>
  <c r="F30" i="1"/>
  <c r="F31" i="1"/>
  <c r="F32" i="1"/>
  <c r="F33" i="1"/>
  <c r="F34" i="1"/>
  <c r="L1" i="27" l="1"/>
  <c r="L30" i="27"/>
  <c r="L24" i="27"/>
  <c r="L20" i="27"/>
  <c r="N120" i="11"/>
  <c r="L9" i="27"/>
  <c r="L14" i="27"/>
  <c r="L3" i="27"/>
  <c r="F3" i="27" l="1"/>
  <c r="F4" i="27" s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l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L120" i="11"/>
  <c r="L118" i="11"/>
  <c r="M120" i="12"/>
  <c r="M135" i="11"/>
  <c r="M75" i="11"/>
  <c r="M136" i="11"/>
  <c r="E127" i="11"/>
  <c r="E126" i="11"/>
  <c r="M123" i="11"/>
  <c r="M119" i="11"/>
  <c r="M120" i="11"/>
  <c r="F52" i="27" l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G46" i="28"/>
  <c r="J37" i="28"/>
  <c r="J38" i="28"/>
  <c r="G116" i="28"/>
  <c r="M92" i="11" l="1"/>
  <c r="M73" i="11" l="1"/>
  <c r="N18" i="11"/>
  <c r="N17" i="11"/>
  <c r="N16" i="11"/>
  <c r="U139" i="11"/>
  <c r="M68" i="11"/>
  <c r="U140" i="11"/>
  <c r="U138" i="11"/>
  <c r="L135" i="11"/>
  <c r="L57" i="11"/>
  <c r="D61" i="17" l="1"/>
  <c r="E61" i="17"/>
  <c r="F61" i="17"/>
  <c r="G61" i="17"/>
  <c r="K61" i="17"/>
  <c r="L61" i="17"/>
  <c r="M61" i="17"/>
  <c r="N61" i="17"/>
  <c r="C61" i="17"/>
  <c r="L113" i="11" l="1"/>
  <c r="L113" i="10"/>
  <c r="L113" i="9"/>
  <c r="L113" i="8"/>
  <c r="L113" i="7"/>
  <c r="N120" i="10"/>
  <c r="L142" i="11"/>
  <c r="N109" i="10" l="1"/>
  <c r="M66" i="11" l="1"/>
  <c r="M75" i="10" l="1"/>
  <c r="B139" i="24"/>
  <c r="C137" i="24"/>
  <c r="F130" i="24"/>
  <c r="M120" i="10" l="1"/>
  <c r="M66" i="10"/>
  <c r="M135" i="10"/>
  <c r="L122" i="10" l="1"/>
  <c r="M122" i="10"/>
  <c r="M112" i="10" l="1"/>
  <c r="M68" i="10" l="1"/>
  <c r="L83" i="10" l="1"/>
  <c r="H43" i="1" l="1"/>
  <c r="O71" i="9" l="1"/>
  <c r="L55" i="10"/>
  <c r="L120" i="10"/>
  <c r="M134" i="10" l="1"/>
  <c r="R42" i="9" l="1"/>
  <c r="D174" i="24"/>
  <c r="D175" i="24" s="1"/>
  <c r="D176" i="24" s="1"/>
  <c r="D177" i="24" s="1"/>
  <c r="D178" i="24" s="1"/>
  <c r="D179" i="24" s="1"/>
  <c r="D180" i="24" s="1"/>
  <c r="C129" i="24"/>
  <c r="C130" i="24" s="1"/>
  <c r="C131" i="24" s="1"/>
  <c r="C132" i="24" s="1"/>
  <c r="C133" i="24" s="1"/>
  <c r="C134" i="24" s="1"/>
  <c r="C135" i="24" s="1"/>
  <c r="C136" i="24" s="1"/>
  <c r="C128" i="24"/>
  <c r="M119" i="10" l="1"/>
  <c r="L122" i="9" l="1"/>
  <c r="L120" i="9"/>
  <c r="L143" i="9"/>
  <c r="Q31" i="10"/>
  <c r="E147" i="28" l="1"/>
  <c r="G147" i="28"/>
  <c r="F34" i="3" l="1"/>
  <c r="G83" i="28"/>
  <c r="Q30" i="10" l="1"/>
  <c r="B19" i="3" l="1"/>
  <c r="G30" i="9"/>
  <c r="L118" i="9"/>
  <c r="N120" i="9" l="1"/>
  <c r="M63" i="10"/>
  <c r="M106" i="10"/>
  <c r="M73" i="10"/>
  <c r="N109" i="9" l="1"/>
  <c r="G47" i="28" l="1"/>
  <c r="M63" i="9" l="1"/>
  <c r="L114" i="10" l="1"/>
  <c r="M120" i="9" l="1"/>
  <c r="M123" i="9"/>
  <c r="M119" i="9"/>
  <c r="G157" i="6"/>
  <c r="G158" i="6"/>
  <c r="G159" i="6"/>
  <c r="G160" i="6"/>
  <c r="N97" i="28"/>
  <c r="J36" i="28"/>
  <c r="J73" i="28"/>
  <c r="J106" i="28"/>
  <c r="L84" i="9"/>
  <c r="G41" i="17" l="1"/>
  <c r="F41" i="17"/>
  <c r="E41" i="17"/>
  <c r="D41" i="17"/>
  <c r="C41" i="17"/>
  <c r="M75" i="9" l="1"/>
  <c r="L66" i="9" l="1"/>
  <c r="L39" i="5"/>
  <c r="G109" i="16"/>
  <c r="G109" i="15"/>
  <c r="G109" i="14"/>
  <c r="G109" i="13"/>
  <c r="G109" i="12"/>
  <c r="G109" i="11"/>
  <c r="G109" i="10"/>
  <c r="G109" i="9"/>
  <c r="G109" i="6"/>
  <c r="G109" i="7"/>
  <c r="G109" i="8"/>
  <c r="G11" i="7"/>
  <c r="G11" i="6"/>
  <c r="N108" i="8" l="1"/>
  <c r="N120" i="8"/>
  <c r="M73" i="9"/>
  <c r="M71" i="9"/>
  <c r="L56" i="8" l="1"/>
  <c r="M123" i="8" l="1"/>
  <c r="M120" i="8"/>
  <c r="M68" i="8"/>
  <c r="M107" i="8"/>
  <c r="M119" i="8" l="1"/>
  <c r="M75" i="8"/>
  <c r="M62" i="8"/>
  <c r="J34" i="28"/>
  <c r="J35" i="28"/>
  <c r="J105" i="28" l="1"/>
  <c r="J104" i="28"/>
  <c r="D116" i="28"/>
  <c r="J71" i="28"/>
  <c r="J70" i="28"/>
  <c r="J72" i="28"/>
  <c r="L55" i="8" l="1"/>
  <c r="L55" i="7"/>
  <c r="M71" i="8"/>
  <c r="N109" i="8"/>
  <c r="J35" i="2" l="1"/>
  <c r="H35" i="2"/>
  <c r="B80" i="16"/>
  <c r="B80" i="15"/>
  <c r="B80" i="14"/>
  <c r="B80" i="13"/>
  <c r="B80" i="12"/>
  <c r="B80" i="7"/>
  <c r="B80" i="6"/>
  <c r="B80" i="5"/>
  <c r="N120" i="7"/>
  <c r="M128" i="8"/>
  <c r="M73" i="8"/>
  <c r="M122" i="8"/>
  <c r="N102" i="7" l="1"/>
  <c r="M139" i="7"/>
  <c r="M75" i="7"/>
  <c r="L114" i="7" l="1"/>
  <c r="M71" i="7" l="1"/>
  <c r="M21" i="17"/>
  <c r="M22" i="17"/>
  <c r="M23" i="17"/>
  <c r="M24" i="17"/>
  <c r="L21" i="17"/>
  <c r="L22" i="17"/>
  <c r="L23" i="17"/>
  <c r="L24" i="17"/>
  <c r="N21" i="17"/>
  <c r="N22" i="17"/>
  <c r="N23" i="17"/>
  <c r="N24" i="17"/>
  <c r="N20" i="17"/>
  <c r="M20" i="17"/>
  <c r="L20" i="17"/>
  <c r="K21" i="17"/>
  <c r="K22" i="17"/>
  <c r="K23" i="17"/>
  <c r="K24" i="17"/>
  <c r="K20" i="17"/>
  <c r="J21" i="17"/>
  <c r="J22" i="17"/>
  <c r="J23" i="17"/>
  <c r="J24" i="17"/>
  <c r="J20" i="17"/>
  <c r="G10" i="2"/>
  <c r="G11" i="2"/>
  <c r="G9" i="2"/>
  <c r="B98" i="28"/>
  <c r="J102" i="28"/>
  <c r="G68" i="15"/>
  <c r="G68" i="16"/>
  <c r="G75" i="16"/>
  <c r="G73" i="16"/>
  <c r="G72" i="16"/>
  <c r="G71" i="16"/>
  <c r="G75" i="15"/>
  <c r="G73" i="15"/>
  <c r="G72" i="15"/>
  <c r="G71" i="15"/>
  <c r="G75" i="14"/>
  <c r="G73" i="14"/>
  <c r="G72" i="14"/>
  <c r="G71" i="14"/>
  <c r="G75" i="13"/>
  <c r="G73" i="13"/>
  <c r="G72" i="13"/>
  <c r="G71" i="13"/>
  <c r="G72" i="12"/>
  <c r="G73" i="12"/>
  <c r="G75" i="12"/>
  <c r="G71" i="12"/>
  <c r="G71" i="11"/>
  <c r="G72" i="11"/>
  <c r="G73" i="11"/>
  <c r="G75" i="11"/>
  <c r="G68" i="10"/>
  <c r="G71" i="10"/>
  <c r="G72" i="10"/>
  <c r="G73" i="10"/>
  <c r="G75" i="10"/>
  <c r="G71" i="9"/>
  <c r="G72" i="9"/>
  <c r="G73" i="9"/>
  <c r="G75" i="9"/>
  <c r="G75" i="8"/>
  <c r="G68" i="8"/>
  <c r="G71" i="8"/>
  <c r="G72" i="8"/>
  <c r="G73" i="8"/>
  <c r="E121" i="7"/>
  <c r="N122" i="7"/>
  <c r="M113" i="7"/>
  <c r="M122" i="7"/>
  <c r="M131" i="7"/>
  <c r="G68" i="5"/>
  <c r="G71" i="5"/>
  <c r="G72" i="5"/>
  <c r="G73" i="5"/>
  <c r="G75" i="5"/>
  <c r="G68" i="6"/>
  <c r="G71" i="6"/>
  <c r="G72" i="6"/>
  <c r="G73" i="6"/>
  <c r="G75" i="6"/>
  <c r="G71" i="7"/>
  <c r="G72" i="7"/>
  <c r="G73" i="7"/>
  <c r="G75" i="7"/>
  <c r="M68" i="7"/>
  <c r="M142" i="7" l="1"/>
  <c r="K8" i="19" l="1"/>
  <c r="N120" i="6" l="1"/>
  <c r="J33" i="28" l="1"/>
  <c r="J32" i="28"/>
  <c r="L118" i="6"/>
  <c r="L142" i="28"/>
  <c r="M62" i="7" l="1"/>
  <c r="M94" i="17" l="1"/>
  <c r="L94" i="17"/>
  <c r="I21" i="17"/>
  <c r="I22" i="17"/>
  <c r="H21" i="17"/>
  <c r="H22" i="17"/>
  <c r="H23" i="17"/>
  <c r="H20" i="17"/>
  <c r="G21" i="17"/>
  <c r="G22" i="17"/>
  <c r="G23" i="17"/>
  <c r="G24" i="17"/>
  <c r="G20" i="17"/>
  <c r="F21" i="17"/>
  <c r="F22" i="17"/>
  <c r="E21" i="17"/>
  <c r="E22" i="17"/>
  <c r="E23" i="17"/>
  <c r="E24" i="17"/>
  <c r="E20" i="17"/>
  <c r="D21" i="17"/>
  <c r="D22" i="17"/>
  <c r="D20" i="17"/>
  <c r="M142" i="6"/>
  <c r="M134" i="6"/>
  <c r="M120" i="6"/>
  <c r="M112" i="6"/>
  <c r="M75" i="6"/>
  <c r="N120" i="5"/>
  <c r="I15" i="5" l="1"/>
  <c r="I16" i="5"/>
  <c r="I17" i="5"/>
  <c r="I18" i="5"/>
  <c r="I19" i="5"/>
  <c r="I20" i="5"/>
  <c r="I14" i="5"/>
  <c r="L55" i="5"/>
  <c r="M139" i="5"/>
  <c r="M75" i="5"/>
  <c r="M157" i="5" l="1"/>
  <c r="G44" i="28" l="1"/>
  <c r="G48" i="28" l="1"/>
  <c r="G45" i="28"/>
  <c r="J10" i="28"/>
  <c r="M119" i="5"/>
  <c r="L119" i="5" l="1"/>
  <c r="L118" i="5"/>
  <c r="J131" i="5" l="1"/>
  <c r="J134" i="5"/>
  <c r="J135" i="5"/>
  <c r="J136" i="5"/>
  <c r="M109" i="5"/>
  <c r="G109" i="5"/>
  <c r="G117" i="28"/>
  <c r="G144" i="28"/>
  <c r="J12" i="28" s="1"/>
  <c r="J113" i="28"/>
  <c r="J112" i="28"/>
  <c r="J111" i="28"/>
  <c r="G114" i="28"/>
  <c r="G19" i="28" s="1"/>
  <c r="J79" i="28"/>
  <c r="J78" i="28"/>
  <c r="J80" i="28"/>
  <c r="J69" i="28"/>
  <c r="E84" i="28"/>
  <c r="G84" i="28"/>
  <c r="E82" i="28"/>
  <c r="G81" i="28"/>
  <c r="G18" i="28" s="1"/>
  <c r="J11" i="28" l="1"/>
  <c r="J13" i="28" s="1"/>
  <c r="G115" i="28"/>
  <c r="J117" i="28"/>
  <c r="K117" i="28" s="1"/>
  <c r="G82" i="28"/>
  <c r="J84" i="28"/>
  <c r="K84" i="28" s="1"/>
  <c r="M68" i="5"/>
  <c r="M142" i="5"/>
  <c r="M123" i="5"/>
  <c r="M143" i="5"/>
  <c r="M71" i="5"/>
  <c r="M120" i="5"/>
  <c r="C30" i="2" l="1"/>
  <c r="G98" i="2"/>
  <c r="G151" i="2"/>
  <c r="G82" i="2"/>
  <c r="G83" i="2"/>
  <c r="G84" i="2"/>
  <c r="G85" i="2"/>
  <c r="G86" i="2"/>
  <c r="G87" i="2"/>
  <c r="G90" i="2"/>
  <c r="G92" i="2"/>
  <c r="G78" i="2"/>
  <c r="G60" i="2"/>
  <c r="G62" i="2"/>
  <c r="G64" i="2"/>
  <c r="H46" i="16"/>
  <c r="G158" i="16"/>
  <c r="G159" i="16"/>
  <c r="G160" i="16"/>
  <c r="A157" i="16"/>
  <c r="H46" i="15"/>
  <c r="G158" i="15"/>
  <c r="G159" i="15"/>
  <c r="G160" i="15"/>
  <c r="G68" i="14"/>
  <c r="G158" i="14"/>
  <c r="G159" i="14"/>
  <c r="G160" i="14"/>
  <c r="G68" i="13"/>
  <c r="G158" i="13"/>
  <c r="G159" i="13"/>
  <c r="G160" i="13"/>
  <c r="H46" i="12"/>
  <c r="G68" i="12"/>
  <c r="G158" i="12"/>
  <c r="G159" i="12"/>
  <c r="G160" i="12"/>
  <c r="G160" i="11"/>
  <c r="H46" i="10"/>
  <c r="H46" i="7"/>
  <c r="H46" i="6"/>
  <c r="H46" i="5"/>
  <c r="H46" i="8"/>
  <c r="H46" i="9"/>
  <c r="H46" i="11"/>
  <c r="G158" i="11"/>
  <c r="G159" i="11"/>
  <c r="G158" i="10"/>
  <c r="G159" i="10"/>
  <c r="G160" i="10"/>
  <c r="G68" i="9"/>
  <c r="G158" i="9"/>
  <c r="G159" i="9"/>
  <c r="G160" i="9"/>
  <c r="G158" i="8"/>
  <c r="G159" i="8"/>
  <c r="G160" i="8"/>
  <c r="I128" i="7"/>
  <c r="G68" i="7"/>
  <c r="A157" i="7"/>
  <c r="A157" i="11" l="1"/>
  <c r="G149" i="2"/>
  <c r="G160" i="5"/>
  <c r="J158" i="5"/>
  <c r="J159" i="5"/>
  <c r="G158" i="5"/>
  <c r="G159" i="5"/>
  <c r="G158" i="7"/>
  <c r="G159" i="7"/>
  <c r="G147" i="2"/>
  <c r="I147" i="2" s="1"/>
  <c r="G148" i="2"/>
  <c r="D24" i="17"/>
  <c r="I68" i="7"/>
  <c r="I109" i="7"/>
  <c r="I160" i="7"/>
  <c r="I163" i="7"/>
  <c r="I68" i="8"/>
  <c r="I109" i="8"/>
  <c r="I160" i="8"/>
  <c r="I163" i="8"/>
  <c r="I68" i="9" l="1"/>
  <c r="I109" i="9"/>
  <c r="I160" i="9"/>
  <c r="I163" i="9"/>
  <c r="I68" i="10" l="1"/>
  <c r="I109" i="10"/>
  <c r="I160" i="10"/>
  <c r="I163" i="10"/>
  <c r="G68" i="11"/>
  <c r="I98" i="11"/>
  <c r="I109" i="11"/>
  <c r="I158" i="11"/>
  <c r="I160" i="11"/>
  <c r="I163" i="11"/>
  <c r="I68" i="12"/>
  <c r="I93" i="12"/>
  <c r="I97" i="12"/>
  <c r="I109" i="12"/>
  <c r="I160" i="12"/>
  <c r="I163" i="12"/>
  <c r="I68" i="13"/>
  <c r="I89" i="13"/>
  <c r="I101" i="13"/>
  <c r="I109" i="13"/>
  <c r="I113" i="13"/>
  <c r="I153" i="13"/>
  <c r="I160" i="13"/>
  <c r="I163" i="13"/>
  <c r="I68" i="14"/>
  <c r="I94" i="14"/>
  <c r="I109" i="14"/>
  <c r="I139" i="14"/>
  <c r="I160" i="14"/>
  <c r="I163" i="14"/>
  <c r="I68" i="15"/>
  <c r="I82" i="15"/>
  <c r="I109" i="15"/>
  <c r="I118" i="15"/>
  <c r="D130" i="15"/>
  <c r="I136" i="15"/>
  <c r="I160" i="15"/>
  <c r="I163" i="15"/>
  <c r="I68" i="16"/>
  <c r="I72" i="16"/>
  <c r="I84" i="16"/>
  <c r="I87" i="16"/>
  <c r="I95" i="16"/>
  <c r="I103" i="16"/>
  <c r="I107" i="16"/>
  <c r="I109" i="16"/>
  <c r="I114" i="16"/>
  <c r="I118" i="16"/>
  <c r="I119" i="16"/>
  <c r="I122" i="16"/>
  <c r="I123" i="16"/>
  <c r="I134" i="16"/>
  <c r="I142" i="16"/>
  <c r="I150" i="16"/>
  <c r="I158" i="16"/>
  <c r="I160" i="16"/>
  <c r="I163" i="16"/>
  <c r="I159" i="16"/>
  <c r="G157" i="16"/>
  <c r="G156" i="16"/>
  <c r="I156" i="16" s="1"/>
  <c r="G153" i="16"/>
  <c r="I153" i="16" s="1"/>
  <c r="G152" i="16"/>
  <c r="I152" i="16" s="1"/>
  <c r="G151" i="16"/>
  <c r="G150" i="16"/>
  <c r="G149" i="16"/>
  <c r="I149" i="16" s="1"/>
  <c r="C147" i="16"/>
  <c r="G143" i="16"/>
  <c r="I143" i="16" s="1"/>
  <c r="G142" i="16"/>
  <c r="C141" i="16"/>
  <c r="B141" i="16"/>
  <c r="G139" i="16"/>
  <c r="I139" i="16" s="1"/>
  <c r="C138" i="16"/>
  <c r="B138" i="16"/>
  <c r="G136" i="16"/>
  <c r="B133" i="16" s="1"/>
  <c r="G135" i="16"/>
  <c r="I135" i="16" s="1"/>
  <c r="G134" i="16"/>
  <c r="C133" i="16"/>
  <c r="G131" i="16"/>
  <c r="I131" i="16" s="1"/>
  <c r="D130" i="16"/>
  <c r="C130" i="16"/>
  <c r="B130" i="16"/>
  <c r="G128" i="16"/>
  <c r="I128" i="16" s="1"/>
  <c r="E127" i="16"/>
  <c r="E126" i="16"/>
  <c r="E125" i="16"/>
  <c r="E124" i="16"/>
  <c r="G123" i="16"/>
  <c r="G122" i="16"/>
  <c r="E121" i="16"/>
  <c r="G120" i="16"/>
  <c r="I120" i="16" s="1"/>
  <c r="G119" i="16"/>
  <c r="G118" i="16"/>
  <c r="C117" i="16"/>
  <c r="G115" i="16"/>
  <c r="I115" i="16" s="1"/>
  <c r="G114" i="16"/>
  <c r="G113" i="16"/>
  <c r="I113" i="16" s="1"/>
  <c r="G112" i="16"/>
  <c r="I112" i="16" s="1"/>
  <c r="C111" i="16"/>
  <c r="G108" i="16"/>
  <c r="I108" i="16" s="1"/>
  <c r="G107" i="16"/>
  <c r="B105" i="16" s="1"/>
  <c r="G106" i="16"/>
  <c r="I106" i="16" s="1"/>
  <c r="C105" i="16"/>
  <c r="G103" i="16"/>
  <c r="G102" i="16"/>
  <c r="I102" i="16" s="1"/>
  <c r="G101" i="16"/>
  <c r="I101" i="16" s="1"/>
  <c r="C100" i="16"/>
  <c r="G98" i="16"/>
  <c r="I98" i="16" s="1"/>
  <c r="G97" i="16"/>
  <c r="I97" i="16" s="1"/>
  <c r="G96" i="16"/>
  <c r="I96" i="16" s="1"/>
  <c r="G95" i="16"/>
  <c r="G94" i="16"/>
  <c r="I94" i="16" s="1"/>
  <c r="G93" i="16"/>
  <c r="I93" i="16" s="1"/>
  <c r="G92" i="16"/>
  <c r="I92" i="16" s="1"/>
  <c r="C91" i="16"/>
  <c r="G89" i="16"/>
  <c r="G88" i="16"/>
  <c r="I88" i="16" s="1"/>
  <c r="G87" i="16"/>
  <c r="C86" i="16"/>
  <c r="G84" i="16"/>
  <c r="G83" i="16"/>
  <c r="G82" i="16"/>
  <c r="I82" i="16" s="1"/>
  <c r="G81" i="16"/>
  <c r="I81" i="16" s="1"/>
  <c r="C80" i="16"/>
  <c r="I75" i="16"/>
  <c r="I73" i="16"/>
  <c r="I71" i="16"/>
  <c r="C70" i="16"/>
  <c r="B70" i="16"/>
  <c r="D70" i="16" s="1"/>
  <c r="G67" i="16"/>
  <c r="G66" i="16"/>
  <c r="C65" i="16"/>
  <c r="G63" i="16"/>
  <c r="G62" i="16"/>
  <c r="B61" i="16" s="1"/>
  <c r="C61" i="16"/>
  <c r="G57" i="16"/>
  <c r="G56" i="16"/>
  <c r="G55" i="16"/>
  <c r="G54" i="16"/>
  <c r="G53" i="16"/>
  <c r="G52" i="16"/>
  <c r="G51" i="16"/>
  <c r="G50" i="16"/>
  <c r="G49" i="16"/>
  <c r="C48" i="16"/>
  <c r="H28" i="16"/>
  <c r="G28" i="16"/>
  <c r="B24" i="16"/>
  <c r="B22" i="16"/>
  <c r="B13" i="16"/>
  <c r="G7" i="16"/>
  <c r="G6" i="16"/>
  <c r="G5" i="16"/>
  <c r="I159" i="15"/>
  <c r="I158" i="15"/>
  <c r="G157" i="15"/>
  <c r="I157" i="15" s="1"/>
  <c r="G156" i="15"/>
  <c r="G153" i="15"/>
  <c r="I153" i="15" s="1"/>
  <c r="G152" i="15"/>
  <c r="I152" i="15" s="1"/>
  <c r="G151" i="15"/>
  <c r="G150" i="15"/>
  <c r="I150" i="15" s="1"/>
  <c r="G149" i="15"/>
  <c r="I149" i="15" s="1"/>
  <c r="C147" i="15"/>
  <c r="G143" i="15"/>
  <c r="I143" i="15" s="1"/>
  <c r="G142" i="15"/>
  <c r="I142" i="15" s="1"/>
  <c r="C141" i="15"/>
  <c r="D141" i="15" s="1"/>
  <c r="B141" i="15"/>
  <c r="G139" i="15"/>
  <c r="I139" i="15" s="1"/>
  <c r="C138" i="15"/>
  <c r="B138" i="15"/>
  <c r="G136" i="15"/>
  <c r="B133" i="15" s="1"/>
  <c r="G135" i="15"/>
  <c r="I135" i="15" s="1"/>
  <c r="G134" i="15"/>
  <c r="I134" i="15" s="1"/>
  <c r="C133" i="15"/>
  <c r="D133" i="15" s="1"/>
  <c r="G131" i="15"/>
  <c r="I131" i="15" s="1"/>
  <c r="C130" i="15"/>
  <c r="B130" i="15"/>
  <c r="G128" i="15"/>
  <c r="I128" i="15" s="1"/>
  <c r="E127" i="15"/>
  <c r="E126" i="15"/>
  <c r="E125" i="15"/>
  <c r="E124" i="15"/>
  <c r="G123" i="15"/>
  <c r="I123" i="15" s="1"/>
  <c r="G122" i="15"/>
  <c r="E121" i="15"/>
  <c r="G120" i="15"/>
  <c r="I120" i="15" s="1"/>
  <c r="G119" i="15"/>
  <c r="I119" i="15" s="1"/>
  <c r="G118" i="15"/>
  <c r="C117" i="15"/>
  <c r="G115" i="15"/>
  <c r="I115" i="15" s="1"/>
  <c r="G114" i="15"/>
  <c r="I114" i="15" s="1"/>
  <c r="G113" i="15"/>
  <c r="I113" i="15" s="1"/>
  <c r="G112" i="15"/>
  <c r="I112" i="15" s="1"/>
  <c r="C111" i="15"/>
  <c r="G108" i="15"/>
  <c r="I108" i="15" s="1"/>
  <c r="G107" i="15"/>
  <c r="I107" i="15" s="1"/>
  <c r="G106" i="15"/>
  <c r="I106" i="15" s="1"/>
  <c r="C105" i="15"/>
  <c r="G103" i="15"/>
  <c r="G102" i="15"/>
  <c r="I102" i="15" s="1"/>
  <c r="G101" i="15"/>
  <c r="I101" i="15" s="1"/>
  <c r="C100" i="15"/>
  <c r="G98" i="15"/>
  <c r="I98" i="15" s="1"/>
  <c r="G97" i="15"/>
  <c r="I97" i="15" s="1"/>
  <c r="G96" i="15"/>
  <c r="I96" i="15" s="1"/>
  <c r="G95" i="15"/>
  <c r="I95" i="15" s="1"/>
  <c r="G94" i="15"/>
  <c r="I94" i="15" s="1"/>
  <c r="G93" i="15"/>
  <c r="G92" i="15"/>
  <c r="I92" i="15" s="1"/>
  <c r="C91" i="15"/>
  <c r="G89" i="15"/>
  <c r="G88" i="15"/>
  <c r="I88" i="15" s="1"/>
  <c r="G87" i="15"/>
  <c r="I87" i="15" s="1"/>
  <c r="C86" i="15"/>
  <c r="G84" i="15"/>
  <c r="I84" i="15" s="1"/>
  <c r="G83" i="15"/>
  <c r="G82" i="15"/>
  <c r="G81" i="15"/>
  <c r="I81" i="15" s="1"/>
  <c r="C80" i="15"/>
  <c r="I75" i="15"/>
  <c r="I73" i="15"/>
  <c r="I72" i="15"/>
  <c r="I71" i="15"/>
  <c r="C70" i="15"/>
  <c r="G67" i="15"/>
  <c r="G66" i="15"/>
  <c r="B65" i="15" s="1"/>
  <c r="C65" i="15"/>
  <c r="G63" i="15"/>
  <c r="G62" i="15"/>
  <c r="B61" i="15" s="1"/>
  <c r="C61" i="15"/>
  <c r="G57" i="15"/>
  <c r="G56" i="15"/>
  <c r="G54" i="15"/>
  <c r="G53" i="15"/>
  <c r="G52" i="15"/>
  <c r="G51" i="15"/>
  <c r="G50" i="15"/>
  <c r="G49" i="15"/>
  <c r="C48" i="15"/>
  <c r="C47" i="15" s="1"/>
  <c r="H28" i="15"/>
  <c r="G28" i="15"/>
  <c r="B24" i="15"/>
  <c r="B22" i="15"/>
  <c r="B13" i="15"/>
  <c r="G7" i="15"/>
  <c r="G6" i="15"/>
  <c r="G5" i="15"/>
  <c r="B4" i="15" s="1"/>
  <c r="I159" i="14"/>
  <c r="I158" i="14"/>
  <c r="G157" i="14"/>
  <c r="I157" i="14" s="1"/>
  <c r="G156" i="14"/>
  <c r="I156" i="14" s="1"/>
  <c r="G153" i="14"/>
  <c r="I153" i="14" s="1"/>
  <c r="G152" i="14"/>
  <c r="I152" i="14" s="1"/>
  <c r="G150" i="14"/>
  <c r="I150" i="14" s="1"/>
  <c r="G149" i="14"/>
  <c r="I149" i="14" s="1"/>
  <c r="C147" i="14"/>
  <c r="G143" i="14"/>
  <c r="I143" i="14" s="1"/>
  <c r="C141" i="14"/>
  <c r="G139" i="14"/>
  <c r="C138" i="14"/>
  <c r="B138" i="14"/>
  <c r="G136" i="14"/>
  <c r="B133" i="14" s="1"/>
  <c r="G135" i="14"/>
  <c r="I135" i="14" s="1"/>
  <c r="G134" i="14"/>
  <c r="I134" i="14" s="1"/>
  <c r="C133" i="14"/>
  <c r="D130" i="14"/>
  <c r="C130" i="14"/>
  <c r="B130" i="14"/>
  <c r="G128" i="14"/>
  <c r="I128" i="14" s="1"/>
  <c r="E127" i="14"/>
  <c r="E126" i="14"/>
  <c r="E125" i="14"/>
  <c r="E124" i="14"/>
  <c r="G123" i="14"/>
  <c r="I123" i="14" s="1"/>
  <c r="G122" i="14"/>
  <c r="E121" i="14"/>
  <c r="G120" i="14"/>
  <c r="I120" i="14" s="1"/>
  <c r="G119" i="14"/>
  <c r="I119" i="14" s="1"/>
  <c r="C117" i="14"/>
  <c r="G115" i="14"/>
  <c r="I115" i="14" s="1"/>
  <c r="G114" i="14"/>
  <c r="I114" i="14" s="1"/>
  <c r="G113" i="14"/>
  <c r="I113" i="14" s="1"/>
  <c r="C111" i="14"/>
  <c r="G108" i="14"/>
  <c r="I108" i="14" s="1"/>
  <c r="G107" i="14"/>
  <c r="I107" i="14" s="1"/>
  <c r="C105" i="14"/>
  <c r="G103" i="14"/>
  <c r="I103" i="14" s="1"/>
  <c r="G102" i="14"/>
  <c r="I102" i="14" s="1"/>
  <c r="G101" i="14"/>
  <c r="I101" i="14" s="1"/>
  <c r="C100" i="14"/>
  <c r="G98" i="14"/>
  <c r="I98" i="14" s="1"/>
  <c r="G97" i="14"/>
  <c r="I97" i="14" s="1"/>
  <c r="G96" i="14"/>
  <c r="I96" i="14" s="1"/>
  <c r="G95" i="14"/>
  <c r="I95" i="14" s="1"/>
  <c r="G94" i="14"/>
  <c r="G93" i="14"/>
  <c r="I93" i="14" s="1"/>
  <c r="C91" i="14"/>
  <c r="G89" i="14"/>
  <c r="B86" i="14" s="1"/>
  <c r="D86" i="14" s="1"/>
  <c r="G88" i="14"/>
  <c r="I88" i="14" s="1"/>
  <c r="G87" i="14"/>
  <c r="I87" i="14" s="1"/>
  <c r="C86" i="14"/>
  <c r="G84" i="14"/>
  <c r="I84" i="14" s="1"/>
  <c r="G83" i="14"/>
  <c r="I83" i="14" s="1"/>
  <c r="G82" i="14"/>
  <c r="I82" i="14" s="1"/>
  <c r="C80" i="14"/>
  <c r="I73" i="14"/>
  <c r="I72" i="14"/>
  <c r="C70" i="14"/>
  <c r="G67" i="14"/>
  <c r="G66" i="14"/>
  <c r="B65" i="14" s="1"/>
  <c r="C65" i="14"/>
  <c r="G63" i="14"/>
  <c r="G62" i="14"/>
  <c r="C61" i="14"/>
  <c r="G57" i="14"/>
  <c r="G56" i="14"/>
  <c r="G55" i="14"/>
  <c r="G54" i="14"/>
  <c r="G52" i="14"/>
  <c r="G51" i="14"/>
  <c r="G50" i="14"/>
  <c r="G49" i="14"/>
  <c r="C48" i="14"/>
  <c r="C47" i="14" s="1"/>
  <c r="H46" i="14"/>
  <c r="H28" i="14"/>
  <c r="G28" i="14"/>
  <c r="B24" i="14"/>
  <c r="B22" i="14"/>
  <c r="B13" i="14"/>
  <c r="G7" i="14"/>
  <c r="G6" i="14"/>
  <c r="G5" i="14"/>
  <c r="I159" i="13"/>
  <c r="I158" i="13"/>
  <c r="G157" i="13"/>
  <c r="I157" i="13" s="1"/>
  <c r="G156" i="13"/>
  <c r="G153" i="13"/>
  <c r="G152" i="13"/>
  <c r="I152" i="13" s="1"/>
  <c r="G151" i="13"/>
  <c r="A150" i="13" s="1"/>
  <c r="G150" i="13"/>
  <c r="I150" i="13" s="1"/>
  <c r="G149" i="13"/>
  <c r="I149" i="13" s="1"/>
  <c r="C147" i="13"/>
  <c r="G143" i="13"/>
  <c r="I143" i="13" s="1"/>
  <c r="C141" i="13"/>
  <c r="G139" i="13"/>
  <c r="I139" i="13" s="1"/>
  <c r="C138" i="13"/>
  <c r="B138" i="13"/>
  <c r="G136" i="13"/>
  <c r="B133" i="13" s="1"/>
  <c r="G135" i="13"/>
  <c r="I135" i="13" s="1"/>
  <c r="G134" i="13"/>
  <c r="I134" i="13" s="1"/>
  <c r="C133" i="13"/>
  <c r="D133" i="13" s="1"/>
  <c r="G131" i="13"/>
  <c r="I131" i="13" s="1"/>
  <c r="D130" i="13"/>
  <c r="C130" i="13"/>
  <c r="B130" i="13"/>
  <c r="G128" i="13"/>
  <c r="I128" i="13" s="1"/>
  <c r="E127" i="13"/>
  <c r="E126" i="13"/>
  <c r="E125" i="13"/>
  <c r="E124" i="13"/>
  <c r="G123" i="13"/>
  <c r="I123" i="13" s="1"/>
  <c r="G122" i="13"/>
  <c r="E121" i="13"/>
  <c r="G120" i="13"/>
  <c r="I120" i="13" s="1"/>
  <c r="G119" i="13"/>
  <c r="I119" i="13" s="1"/>
  <c r="C117" i="13"/>
  <c r="G115" i="13"/>
  <c r="I115" i="13" s="1"/>
  <c r="G114" i="13"/>
  <c r="G113" i="13"/>
  <c r="C111" i="13"/>
  <c r="G108" i="13"/>
  <c r="I108" i="13" s="1"/>
  <c r="G107" i="13"/>
  <c r="I107" i="13" s="1"/>
  <c r="C105" i="13"/>
  <c r="G102" i="13"/>
  <c r="I102" i="13" s="1"/>
  <c r="G101" i="13"/>
  <c r="C100" i="13"/>
  <c r="G98" i="13"/>
  <c r="I98" i="13" s="1"/>
  <c r="G97" i="13"/>
  <c r="I97" i="13" s="1"/>
  <c r="G96" i="13"/>
  <c r="I96" i="13" s="1"/>
  <c r="G95" i="13"/>
  <c r="I95" i="13" s="1"/>
  <c r="G94" i="13"/>
  <c r="I94" i="13" s="1"/>
  <c r="G93" i="13"/>
  <c r="B91" i="13" s="1"/>
  <c r="G92" i="13"/>
  <c r="I92" i="13" s="1"/>
  <c r="C91" i="13"/>
  <c r="G89" i="13"/>
  <c r="G88" i="13"/>
  <c r="I88" i="13" s="1"/>
  <c r="G87" i="13"/>
  <c r="I87" i="13" s="1"/>
  <c r="C86" i="13"/>
  <c r="G84" i="13"/>
  <c r="I84" i="13" s="1"/>
  <c r="G83" i="13"/>
  <c r="G82" i="13"/>
  <c r="I82" i="13" s="1"/>
  <c r="C80" i="13"/>
  <c r="I72" i="13"/>
  <c r="I71" i="13"/>
  <c r="C70" i="13"/>
  <c r="C65" i="13"/>
  <c r="G63" i="13"/>
  <c r="B61" i="13" s="1"/>
  <c r="G62" i="13"/>
  <c r="C61" i="13"/>
  <c r="G57" i="13"/>
  <c r="G56" i="13"/>
  <c r="G55" i="13"/>
  <c r="G54" i="13"/>
  <c r="G52" i="13"/>
  <c r="G51" i="13"/>
  <c r="G50" i="13"/>
  <c r="G49" i="13"/>
  <c r="C48" i="13"/>
  <c r="H46" i="13"/>
  <c r="H28" i="13"/>
  <c r="G28" i="13"/>
  <c r="B24" i="13"/>
  <c r="B22" i="13"/>
  <c r="B13" i="13"/>
  <c r="G7" i="13"/>
  <c r="G6" i="13"/>
  <c r="G5" i="13"/>
  <c r="I159" i="12"/>
  <c r="I158" i="12"/>
  <c r="G157" i="12"/>
  <c r="G156" i="12"/>
  <c r="G153" i="12"/>
  <c r="I153" i="12" s="1"/>
  <c r="G152" i="12"/>
  <c r="I152" i="12" s="1"/>
  <c r="G150" i="12"/>
  <c r="I150" i="12" s="1"/>
  <c r="G149" i="12"/>
  <c r="I149" i="12" s="1"/>
  <c r="C147" i="12"/>
  <c r="G143" i="12"/>
  <c r="I143" i="12" s="1"/>
  <c r="C141" i="12"/>
  <c r="G139" i="12"/>
  <c r="I139" i="12" s="1"/>
  <c r="C138" i="12"/>
  <c r="B138" i="12"/>
  <c r="G136" i="12"/>
  <c r="B133" i="12" s="1"/>
  <c r="G135" i="12"/>
  <c r="I135" i="12" s="1"/>
  <c r="G134" i="12"/>
  <c r="I134" i="12" s="1"/>
  <c r="C133" i="12"/>
  <c r="G131" i="12"/>
  <c r="I131" i="12" s="1"/>
  <c r="D130" i="12"/>
  <c r="C130" i="12"/>
  <c r="B130" i="12"/>
  <c r="G128" i="12"/>
  <c r="I128" i="12" s="1"/>
  <c r="E127" i="12"/>
  <c r="E126" i="12"/>
  <c r="E125" i="12"/>
  <c r="G123" i="12"/>
  <c r="I123" i="12" s="1"/>
  <c r="G122" i="12"/>
  <c r="E121" i="12"/>
  <c r="G120" i="12"/>
  <c r="I120" i="12" s="1"/>
  <c r="G119" i="12"/>
  <c r="I119" i="12" s="1"/>
  <c r="C117" i="12"/>
  <c r="G115" i="12"/>
  <c r="I115" i="12" s="1"/>
  <c r="G114" i="12"/>
  <c r="G113" i="12"/>
  <c r="I113" i="12" s="1"/>
  <c r="C111" i="12"/>
  <c r="G108" i="12"/>
  <c r="I108" i="12" s="1"/>
  <c r="G107" i="12"/>
  <c r="B105" i="12" s="1"/>
  <c r="G106" i="12"/>
  <c r="I106" i="12" s="1"/>
  <c r="C105" i="12"/>
  <c r="G103" i="12"/>
  <c r="G102" i="12"/>
  <c r="I102" i="12" s="1"/>
  <c r="G101" i="12"/>
  <c r="I101" i="12" s="1"/>
  <c r="C100" i="12"/>
  <c r="G98" i="12"/>
  <c r="I98" i="12" s="1"/>
  <c r="G97" i="12"/>
  <c r="G96" i="12"/>
  <c r="I96" i="12" s="1"/>
  <c r="G95" i="12"/>
  <c r="I95" i="12" s="1"/>
  <c r="G94" i="12"/>
  <c r="I94" i="12" s="1"/>
  <c r="G93" i="12"/>
  <c r="G92" i="12"/>
  <c r="I92" i="12" s="1"/>
  <c r="C91" i="12"/>
  <c r="G89" i="12"/>
  <c r="I89" i="12" s="1"/>
  <c r="G88" i="12"/>
  <c r="I88" i="12" s="1"/>
  <c r="G87" i="12"/>
  <c r="I87" i="12" s="1"/>
  <c r="C86" i="12"/>
  <c r="G84" i="12"/>
  <c r="I84" i="12" s="1"/>
  <c r="G83" i="12"/>
  <c r="G82" i="12"/>
  <c r="I82" i="12" s="1"/>
  <c r="C80" i="12"/>
  <c r="I73" i="12"/>
  <c r="I72" i="12"/>
  <c r="I71" i="12"/>
  <c r="C70" i="12"/>
  <c r="B70" i="12"/>
  <c r="D70" i="12" s="1"/>
  <c r="G67" i="12"/>
  <c r="C65" i="12"/>
  <c r="G63" i="12"/>
  <c r="G62" i="12"/>
  <c r="B61" i="12" s="1"/>
  <c r="C61" i="12"/>
  <c r="G57" i="12"/>
  <c r="G56" i="12"/>
  <c r="G55" i="12"/>
  <c r="G54" i="12"/>
  <c r="G52" i="12"/>
  <c r="G51" i="12"/>
  <c r="G50" i="12"/>
  <c r="G49" i="12"/>
  <c r="C48" i="12"/>
  <c r="C47" i="12" s="1"/>
  <c r="H28" i="12"/>
  <c r="G28" i="12"/>
  <c r="B24" i="12"/>
  <c r="B22" i="12"/>
  <c r="B13" i="12"/>
  <c r="G7" i="12"/>
  <c r="G6" i="12"/>
  <c r="G5" i="12"/>
  <c r="B4" i="12" s="1"/>
  <c r="I159" i="11"/>
  <c r="G157" i="11"/>
  <c r="I24" i="17" s="1"/>
  <c r="G156" i="11"/>
  <c r="G153" i="11"/>
  <c r="G152" i="11"/>
  <c r="I152" i="11" s="1"/>
  <c r="G151" i="11"/>
  <c r="I151" i="11" s="1"/>
  <c r="G150" i="11"/>
  <c r="I150" i="11" s="1"/>
  <c r="G149" i="11"/>
  <c r="C147" i="11"/>
  <c r="C141" i="11"/>
  <c r="G139" i="11"/>
  <c r="I139" i="11" s="1"/>
  <c r="C138" i="11"/>
  <c r="B138" i="11"/>
  <c r="D138" i="11" s="1"/>
  <c r="G136" i="11"/>
  <c r="B133" i="11" s="1"/>
  <c r="G135" i="11"/>
  <c r="I135" i="11" s="1"/>
  <c r="G134" i="11"/>
  <c r="I134" i="11" s="1"/>
  <c r="C133" i="11"/>
  <c r="G131" i="11"/>
  <c r="I131" i="11" s="1"/>
  <c r="D130" i="11"/>
  <c r="C130" i="11"/>
  <c r="B130" i="11"/>
  <c r="G128" i="11"/>
  <c r="I128" i="11" s="1"/>
  <c r="E125" i="11"/>
  <c r="G122" i="11"/>
  <c r="I122" i="11" s="1"/>
  <c r="E121" i="11"/>
  <c r="G120" i="11"/>
  <c r="I120" i="11" s="1"/>
  <c r="G119" i="11"/>
  <c r="I119" i="11" s="1"/>
  <c r="C117" i="11"/>
  <c r="G115" i="11"/>
  <c r="I115" i="11" s="1"/>
  <c r="G114" i="11"/>
  <c r="G113" i="11"/>
  <c r="I113" i="11" s="1"/>
  <c r="G112" i="11"/>
  <c r="I112" i="11" s="1"/>
  <c r="C111" i="11"/>
  <c r="G108" i="11"/>
  <c r="I108" i="11" s="1"/>
  <c r="G107" i="11"/>
  <c r="I107" i="11" s="1"/>
  <c r="G106" i="11"/>
  <c r="I106" i="11" s="1"/>
  <c r="C105" i="11"/>
  <c r="G103" i="11"/>
  <c r="G102" i="11"/>
  <c r="I102" i="11" s="1"/>
  <c r="G101" i="11"/>
  <c r="I101" i="11" s="1"/>
  <c r="C100" i="11"/>
  <c r="G98" i="11"/>
  <c r="G97" i="11"/>
  <c r="I97" i="11" s="1"/>
  <c r="G96" i="11"/>
  <c r="I96" i="11" s="1"/>
  <c r="G95" i="11"/>
  <c r="I95" i="11" s="1"/>
  <c r="G94" i="11"/>
  <c r="I94" i="11" s="1"/>
  <c r="G93" i="11"/>
  <c r="G92" i="11"/>
  <c r="C91" i="11"/>
  <c r="G89" i="11"/>
  <c r="I89" i="11" s="1"/>
  <c r="G88" i="11"/>
  <c r="I88" i="11" s="1"/>
  <c r="G87" i="11"/>
  <c r="I87" i="11" s="1"/>
  <c r="C86" i="11"/>
  <c r="G84" i="11"/>
  <c r="I84" i="11" s="1"/>
  <c r="G83" i="11"/>
  <c r="G82" i="11"/>
  <c r="I82" i="11" s="1"/>
  <c r="C80" i="11"/>
  <c r="C70" i="11"/>
  <c r="G66" i="11"/>
  <c r="C65" i="11"/>
  <c r="G63" i="11"/>
  <c r="G62" i="11"/>
  <c r="C61" i="11"/>
  <c r="G57" i="11"/>
  <c r="G56" i="11"/>
  <c r="G55" i="11"/>
  <c r="G54" i="11"/>
  <c r="G53" i="11"/>
  <c r="G52" i="11"/>
  <c r="G50" i="11"/>
  <c r="G49" i="11"/>
  <c r="C48" i="11"/>
  <c r="C47" i="11" s="1"/>
  <c r="H28" i="11"/>
  <c r="G28" i="11"/>
  <c r="B24" i="11"/>
  <c r="B22" i="11"/>
  <c r="B13" i="11"/>
  <c r="G7" i="11"/>
  <c r="G6" i="11"/>
  <c r="G5" i="11"/>
  <c r="I159" i="10"/>
  <c r="I158" i="10"/>
  <c r="G156" i="10"/>
  <c r="I156" i="10" s="1"/>
  <c r="G153" i="10"/>
  <c r="I153" i="10" s="1"/>
  <c r="G152" i="10"/>
  <c r="I152" i="10" s="1"/>
  <c r="G151" i="10"/>
  <c r="I151" i="10" s="1"/>
  <c r="G150" i="10"/>
  <c r="A150" i="10" s="1"/>
  <c r="G149" i="10"/>
  <c r="I149" i="10" s="1"/>
  <c r="C147" i="10"/>
  <c r="G143" i="10"/>
  <c r="I143" i="10" s="1"/>
  <c r="C141" i="10"/>
  <c r="G139" i="10"/>
  <c r="I139" i="10" s="1"/>
  <c r="C138" i="10"/>
  <c r="B138" i="10"/>
  <c r="D138" i="10" s="1"/>
  <c r="G135" i="10"/>
  <c r="I135" i="10" s="1"/>
  <c r="G134" i="10"/>
  <c r="I134" i="10" s="1"/>
  <c r="C133" i="10"/>
  <c r="G131" i="10"/>
  <c r="I131" i="10" s="1"/>
  <c r="C130" i="10"/>
  <c r="B130" i="10"/>
  <c r="G128" i="10"/>
  <c r="I128" i="10" s="1"/>
  <c r="E127" i="10"/>
  <c r="E126" i="10"/>
  <c r="E125" i="10"/>
  <c r="E124" i="10"/>
  <c r="G123" i="10"/>
  <c r="I123" i="10" s="1"/>
  <c r="G122" i="10"/>
  <c r="E121" i="10"/>
  <c r="G120" i="10"/>
  <c r="I120" i="10" s="1"/>
  <c r="G119" i="10"/>
  <c r="I119" i="10" s="1"/>
  <c r="C117" i="10"/>
  <c r="G115" i="10"/>
  <c r="I115" i="10" s="1"/>
  <c r="G114" i="10"/>
  <c r="G113" i="10"/>
  <c r="I113" i="10" s="1"/>
  <c r="G112" i="10"/>
  <c r="I112" i="10" s="1"/>
  <c r="C111" i="10"/>
  <c r="G108" i="10"/>
  <c r="I108" i="10" s="1"/>
  <c r="G107" i="10"/>
  <c r="I107" i="10" s="1"/>
  <c r="G106" i="10"/>
  <c r="I106" i="10" s="1"/>
  <c r="C105" i="10"/>
  <c r="B105" i="10"/>
  <c r="G103" i="10"/>
  <c r="G102" i="10"/>
  <c r="I102" i="10" s="1"/>
  <c r="G101" i="10"/>
  <c r="I101" i="10" s="1"/>
  <c r="C100" i="10"/>
  <c r="G98" i="10"/>
  <c r="I98" i="10" s="1"/>
  <c r="G97" i="10"/>
  <c r="I97" i="10" s="1"/>
  <c r="G96" i="10"/>
  <c r="I96" i="10" s="1"/>
  <c r="G95" i="10"/>
  <c r="I95" i="10" s="1"/>
  <c r="G94" i="10"/>
  <c r="I94" i="10" s="1"/>
  <c r="G93" i="10"/>
  <c r="I93" i="10" s="1"/>
  <c r="G92" i="10"/>
  <c r="I92" i="10" s="1"/>
  <c r="C91" i="10"/>
  <c r="G89" i="10"/>
  <c r="I89" i="10" s="1"/>
  <c r="G87" i="10"/>
  <c r="I87" i="10" s="1"/>
  <c r="C86" i="10"/>
  <c r="G84" i="10"/>
  <c r="I84" i="10" s="1"/>
  <c r="G82" i="10"/>
  <c r="I82" i="10" s="1"/>
  <c r="C80" i="10"/>
  <c r="B70" i="10"/>
  <c r="I72" i="10"/>
  <c r="I71" i="10"/>
  <c r="C70" i="10"/>
  <c r="G66" i="10"/>
  <c r="C65" i="10"/>
  <c r="G63" i="10"/>
  <c r="C61" i="10"/>
  <c r="G57" i="10"/>
  <c r="G56" i="10"/>
  <c r="G55" i="10"/>
  <c r="G54" i="10"/>
  <c r="G53" i="10"/>
  <c r="G52" i="10"/>
  <c r="G51" i="10"/>
  <c r="G50" i="10"/>
  <c r="G49" i="10"/>
  <c r="C48" i="10"/>
  <c r="H28" i="10"/>
  <c r="G28" i="10"/>
  <c r="B24" i="10"/>
  <c r="B22" i="10"/>
  <c r="B13" i="10"/>
  <c r="G7" i="10"/>
  <c r="G6" i="10"/>
  <c r="G5" i="10"/>
  <c r="I159" i="9"/>
  <c r="I158" i="9"/>
  <c r="G157" i="9"/>
  <c r="I157" i="9" s="1"/>
  <c r="G156" i="9"/>
  <c r="G153" i="9"/>
  <c r="I153" i="9" s="1"/>
  <c r="G152" i="9"/>
  <c r="I152" i="9" s="1"/>
  <c r="G150" i="9"/>
  <c r="I150" i="9" s="1"/>
  <c r="G149" i="9"/>
  <c r="C147" i="9"/>
  <c r="G143" i="9"/>
  <c r="I143" i="9" s="1"/>
  <c r="C141" i="9"/>
  <c r="G139" i="9"/>
  <c r="I139" i="9" s="1"/>
  <c r="C138" i="9"/>
  <c r="B138" i="9"/>
  <c r="G136" i="9"/>
  <c r="G135" i="9"/>
  <c r="I135" i="9" s="1"/>
  <c r="G134" i="9"/>
  <c r="I134" i="9" s="1"/>
  <c r="C133" i="9"/>
  <c r="D130" i="9"/>
  <c r="C130" i="9"/>
  <c r="B130" i="9"/>
  <c r="G128" i="9"/>
  <c r="I128" i="9" s="1"/>
  <c r="E127" i="9"/>
  <c r="E126" i="9"/>
  <c r="E125" i="9"/>
  <c r="E124" i="9"/>
  <c r="G123" i="9"/>
  <c r="I123" i="9" s="1"/>
  <c r="G122" i="9"/>
  <c r="E121" i="9"/>
  <c r="G120" i="9"/>
  <c r="I120" i="9" s="1"/>
  <c r="G119" i="9"/>
  <c r="I119" i="9" s="1"/>
  <c r="C117" i="9"/>
  <c r="G115" i="9"/>
  <c r="I115" i="9" s="1"/>
  <c r="G114" i="9"/>
  <c r="G113" i="9"/>
  <c r="I113" i="9" s="1"/>
  <c r="G112" i="9"/>
  <c r="I112" i="9" s="1"/>
  <c r="C111" i="9"/>
  <c r="G108" i="9"/>
  <c r="I108" i="9" s="1"/>
  <c r="G107" i="9"/>
  <c r="I107" i="9" s="1"/>
  <c r="G106" i="9"/>
  <c r="I106" i="9" s="1"/>
  <c r="C105" i="9"/>
  <c r="G103" i="9"/>
  <c r="G102" i="9"/>
  <c r="I102" i="9" s="1"/>
  <c r="G101" i="9"/>
  <c r="I101" i="9" s="1"/>
  <c r="C100" i="9"/>
  <c r="G98" i="9"/>
  <c r="I98" i="9" s="1"/>
  <c r="G97" i="9"/>
  <c r="I97" i="9" s="1"/>
  <c r="G96" i="9"/>
  <c r="I96" i="9" s="1"/>
  <c r="G95" i="9"/>
  <c r="I95" i="9" s="1"/>
  <c r="G94" i="9"/>
  <c r="I94" i="9" s="1"/>
  <c r="G93" i="9"/>
  <c r="I93" i="9" s="1"/>
  <c r="G92" i="9"/>
  <c r="I92" i="9" s="1"/>
  <c r="C91" i="9"/>
  <c r="G89" i="9"/>
  <c r="I89" i="9" s="1"/>
  <c r="G88" i="9"/>
  <c r="I88" i="9" s="1"/>
  <c r="G87" i="9"/>
  <c r="I87" i="9" s="1"/>
  <c r="C86" i="9"/>
  <c r="G84" i="9"/>
  <c r="G83" i="9"/>
  <c r="G82" i="9"/>
  <c r="I82" i="9" s="1"/>
  <c r="C80" i="9"/>
  <c r="I73" i="9"/>
  <c r="I72" i="9"/>
  <c r="I71" i="9"/>
  <c r="C70" i="9"/>
  <c r="G66" i="9"/>
  <c r="C65" i="9"/>
  <c r="G63" i="9"/>
  <c r="G62" i="9"/>
  <c r="B61" i="9" s="1"/>
  <c r="C61" i="9"/>
  <c r="G57" i="9"/>
  <c r="G56" i="9"/>
  <c r="G55" i="9"/>
  <c r="G54" i="9"/>
  <c r="G53" i="9"/>
  <c r="G52" i="9"/>
  <c r="G51" i="9"/>
  <c r="G50" i="9"/>
  <c r="G49" i="9"/>
  <c r="C48" i="9"/>
  <c r="C47" i="9" s="1"/>
  <c r="H28" i="9"/>
  <c r="G28" i="9"/>
  <c r="B24" i="9"/>
  <c r="B22" i="9"/>
  <c r="B13" i="9"/>
  <c r="G7" i="9"/>
  <c r="G6" i="9"/>
  <c r="G5" i="9"/>
  <c r="I159" i="8"/>
  <c r="I158" i="8"/>
  <c r="G157" i="8"/>
  <c r="G156" i="8"/>
  <c r="G153" i="8"/>
  <c r="G152" i="8"/>
  <c r="G151" i="8"/>
  <c r="G150" i="8"/>
  <c r="G149" i="8"/>
  <c r="C147" i="8"/>
  <c r="G143" i="8"/>
  <c r="I143" i="8" s="1"/>
  <c r="C141" i="8"/>
  <c r="B141" i="8"/>
  <c r="C138" i="8"/>
  <c r="B138" i="8"/>
  <c r="G136" i="8"/>
  <c r="G135" i="8"/>
  <c r="I135" i="8" s="1"/>
  <c r="G134" i="8"/>
  <c r="I134" i="8" s="1"/>
  <c r="C133" i="8"/>
  <c r="D130" i="8"/>
  <c r="C130" i="8"/>
  <c r="B130" i="8"/>
  <c r="G128" i="8"/>
  <c r="E127" i="8"/>
  <c r="E126" i="8"/>
  <c r="E125" i="8"/>
  <c r="G123" i="8"/>
  <c r="I123" i="8" s="1"/>
  <c r="G122" i="8"/>
  <c r="G120" i="8"/>
  <c r="I120" i="8" s="1"/>
  <c r="G119" i="8"/>
  <c r="I119" i="8" s="1"/>
  <c r="C117" i="8"/>
  <c r="G115" i="8"/>
  <c r="G114" i="8"/>
  <c r="G113" i="8"/>
  <c r="I113" i="8" s="1"/>
  <c r="G112" i="8"/>
  <c r="I112" i="8" s="1"/>
  <c r="C111" i="8"/>
  <c r="G108" i="8"/>
  <c r="G107" i="8"/>
  <c r="C105" i="8"/>
  <c r="G103" i="8"/>
  <c r="G101" i="8"/>
  <c r="I101" i="8" s="1"/>
  <c r="C100" i="8"/>
  <c r="G98" i="8"/>
  <c r="I98" i="8" s="1"/>
  <c r="G97" i="8"/>
  <c r="I97" i="8" s="1"/>
  <c r="G96" i="8"/>
  <c r="I96" i="8" s="1"/>
  <c r="G95" i="8"/>
  <c r="I95" i="8" s="1"/>
  <c r="G94" i="8"/>
  <c r="I94" i="8" s="1"/>
  <c r="G93" i="8"/>
  <c r="I93" i="8" s="1"/>
  <c r="G92" i="8"/>
  <c r="I92" i="8" s="1"/>
  <c r="C91" i="8"/>
  <c r="G89" i="8"/>
  <c r="G88" i="8"/>
  <c r="I88" i="8" s="1"/>
  <c r="G87" i="8"/>
  <c r="C86" i="8"/>
  <c r="G84" i="8"/>
  <c r="I84" i="8" s="1"/>
  <c r="C80" i="8"/>
  <c r="I73" i="8"/>
  <c r="C70" i="8"/>
  <c r="C65" i="8"/>
  <c r="G63" i="8"/>
  <c r="G62" i="8"/>
  <c r="C61" i="8"/>
  <c r="G57" i="8"/>
  <c r="G56" i="8"/>
  <c r="G55" i="8"/>
  <c r="G54" i="8"/>
  <c r="G53" i="8"/>
  <c r="G52" i="8"/>
  <c r="G51" i="8"/>
  <c r="G50" i="8"/>
  <c r="G49" i="8"/>
  <c r="C48" i="8"/>
  <c r="C47" i="8" s="1"/>
  <c r="G28" i="8"/>
  <c r="B24" i="8"/>
  <c r="B22" i="8"/>
  <c r="B13" i="8"/>
  <c r="G7" i="8"/>
  <c r="G6" i="8"/>
  <c r="G5" i="8"/>
  <c r="I159" i="7"/>
  <c r="I158" i="7"/>
  <c r="G157" i="7"/>
  <c r="I157" i="7" s="1"/>
  <c r="G156" i="7"/>
  <c r="I156" i="7" s="1"/>
  <c r="G153" i="7"/>
  <c r="I153" i="7" s="1"/>
  <c r="G152" i="7"/>
  <c r="I152" i="7" s="1"/>
  <c r="G151" i="7"/>
  <c r="G150" i="7"/>
  <c r="I150" i="7" s="1"/>
  <c r="G149" i="7"/>
  <c r="C147" i="7"/>
  <c r="G143" i="7"/>
  <c r="I143" i="7" s="1"/>
  <c r="G142" i="7"/>
  <c r="I142" i="7" s="1"/>
  <c r="C141" i="7"/>
  <c r="G139" i="7"/>
  <c r="I139" i="7" s="1"/>
  <c r="C138" i="7"/>
  <c r="D138" i="7" s="1"/>
  <c r="B138" i="7"/>
  <c r="G136" i="7"/>
  <c r="G135" i="7"/>
  <c r="I135" i="7" s="1"/>
  <c r="G134" i="7"/>
  <c r="I134" i="7" s="1"/>
  <c r="C133" i="7"/>
  <c r="G131" i="7"/>
  <c r="I131" i="7" s="1"/>
  <c r="D130" i="7"/>
  <c r="C130" i="7"/>
  <c r="B130" i="7"/>
  <c r="G128" i="7"/>
  <c r="E127" i="7"/>
  <c r="E126" i="7"/>
  <c r="E125" i="7"/>
  <c r="E124" i="7"/>
  <c r="G123" i="7"/>
  <c r="I123" i="7" s="1"/>
  <c r="G122" i="7"/>
  <c r="G120" i="7"/>
  <c r="I120" i="7" s="1"/>
  <c r="G119" i="7"/>
  <c r="I119" i="7" s="1"/>
  <c r="G118" i="7"/>
  <c r="I118" i="7" s="1"/>
  <c r="C117" i="7"/>
  <c r="G115" i="7"/>
  <c r="I115" i="7" s="1"/>
  <c r="G114" i="7"/>
  <c r="G113" i="7"/>
  <c r="G112" i="7"/>
  <c r="I112" i="7" s="1"/>
  <c r="C111" i="7"/>
  <c r="G108" i="7"/>
  <c r="I108" i="7" s="1"/>
  <c r="G107" i="7"/>
  <c r="I107" i="7" s="1"/>
  <c r="G106" i="7"/>
  <c r="I106" i="7" s="1"/>
  <c r="C105" i="7"/>
  <c r="G103" i="7"/>
  <c r="G102" i="7"/>
  <c r="G101" i="7"/>
  <c r="I101" i="7" s="1"/>
  <c r="C100" i="7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C91" i="7"/>
  <c r="G89" i="7"/>
  <c r="I89" i="7" s="1"/>
  <c r="G88" i="7"/>
  <c r="I88" i="7" s="1"/>
  <c r="G87" i="7"/>
  <c r="I87" i="7" s="1"/>
  <c r="C86" i="7"/>
  <c r="B86" i="7"/>
  <c r="D86" i="7" s="1"/>
  <c r="G84" i="7"/>
  <c r="I84" i="7" s="1"/>
  <c r="G83" i="7"/>
  <c r="G82" i="7"/>
  <c r="I82" i="7" s="1"/>
  <c r="G81" i="7"/>
  <c r="I81" i="7" s="1"/>
  <c r="C80" i="7"/>
  <c r="I75" i="7"/>
  <c r="I73" i="7"/>
  <c r="B70" i="7"/>
  <c r="C70" i="7"/>
  <c r="G67" i="7"/>
  <c r="G56" i="2" s="1"/>
  <c r="G66" i="7"/>
  <c r="C65" i="7"/>
  <c r="G63" i="7"/>
  <c r="G62" i="7"/>
  <c r="C61" i="7"/>
  <c r="G57" i="7"/>
  <c r="G56" i="7"/>
  <c r="G55" i="7"/>
  <c r="G54" i="7"/>
  <c r="G53" i="7"/>
  <c r="G52" i="7"/>
  <c r="G51" i="7"/>
  <c r="G50" i="7"/>
  <c r="G49" i="7"/>
  <c r="C48" i="7"/>
  <c r="H28" i="7"/>
  <c r="G28" i="7"/>
  <c r="B24" i="7"/>
  <c r="B22" i="7"/>
  <c r="B13" i="7"/>
  <c r="G7" i="7"/>
  <c r="G6" i="7"/>
  <c r="G5" i="7"/>
  <c r="G134" i="6"/>
  <c r="G135" i="6"/>
  <c r="I68" i="6"/>
  <c r="I109" i="6"/>
  <c r="I139" i="6"/>
  <c r="I157" i="6"/>
  <c r="I160" i="6"/>
  <c r="I163" i="6"/>
  <c r="I159" i="6"/>
  <c r="I158" i="6"/>
  <c r="G156" i="6"/>
  <c r="G153" i="6"/>
  <c r="I153" i="6" s="1"/>
  <c r="G152" i="6"/>
  <c r="I152" i="6" s="1"/>
  <c r="G151" i="6"/>
  <c r="A150" i="6" s="1"/>
  <c r="G150" i="6"/>
  <c r="I150" i="6" s="1"/>
  <c r="G149" i="6"/>
  <c r="C147" i="6"/>
  <c r="G143" i="6"/>
  <c r="I143" i="6" s="1"/>
  <c r="C141" i="6"/>
  <c r="G139" i="6"/>
  <c r="C138" i="6"/>
  <c r="B138" i="6"/>
  <c r="G136" i="6"/>
  <c r="C133" i="6"/>
  <c r="G131" i="6"/>
  <c r="D130" i="6"/>
  <c r="C130" i="6"/>
  <c r="B130" i="6"/>
  <c r="G128" i="6"/>
  <c r="I128" i="6" s="1"/>
  <c r="E127" i="6"/>
  <c r="E126" i="6"/>
  <c r="E125" i="6"/>
  <c r="E124" i="6"/>
  <c r="G123" i="6"/>
  <c r="I123" i="6" s="1"/>
  <c r="G122" i="6"/>
  <c r="E121" i="6"/>
  <c r="G120" i="6"/>
  <c r="I120" i="6" s="1"/>
  <c r="G119" i="6"/>
  <c r="I119" i="6" s="1"/>
  <c r="C117" i="6"/>
  <c r="G115" i="6"/>
  <c r="I115" i="6" s="1"/>
  <c r="G114" i="6"/>
  <c r="G113" i="6"/>
  <c r="I113" i="6" s="1"/>
  <c r="G112" i="6"/>
  <c r="C111" i="6"/>
  <c r="G108" i="6"/>
  <c r="I108" i="6" s="1"/>
  <c r="G107" i="6"/>
  <c r="I107" i="6" s="1"/>
  <c r="G106" i="6"/>
  <c r="I106" i="6" s="1"/>
  <c r="C105" i="6"/>
  <c r="G103" i="6"/>
  <c r="G102" i="6"/>
  <c r="I102" i="6" s="1"/>
  <c r="G101" i="6"/>
  <c r="I101" i="6" s="1"/>
  <c r="C100" i="6"/>
  <c r="G98" i="6"/>
  <c r="I98" i="6" s="1"/>
  <c r="G97" i="6"/>
  <c r="I97" i="6" s="1"/>
  <c r="G96" i="6"/>
  <c r="I96" i="6" s="1"/>
  <c r="G95" i="6"/>
  <c r="I95" i="6" s="1"/>
  <c r="G94" i="6"/>
  <c r="I94" i="6" s="1"/>
  <c r="G93" i="6"/>
  <c r="I93" i="6" s="1"/>
  <c r="G92" i="6"/>
  <c r="I92" i="6" s="1"/>
  <c r="C91" i="6"/>
  <c r="B91" i="6"/>
  <c r="G89" i="6"/>
  <c r="G88" i="6"/>
  <c r="G87" i="6"/>
  <c r="I87" i="6" s="1"/>
  <c r="C86" i="6"/>
  <c r="G84" i="6"/>
  <c r="I84" i="6" s="1"/>
  <c r="G83" i="6"/>
  <c r="C80" i="6"/>
  <c r="I73" i="6"/>
  <c r="I72" i="6"/>
  <c r="I71" i="6"/>
  <c r="C70" i="6"/>
  <c r="C65" i="6"/>
  <c r="G63" i="6"/>
  <c r="C61" i="6"/>
  <c r="G57" i="6"/>
  <c r="G56" i="6"/>
  <c r="G55" i="6"/>
  <c r="G54" i="6"/>
  <c r="G53" i="6"/>
  <c r="G52" i="6"/>
  <c r="G51" i="6"/>
  <c r="G50" i="6"/>
  <c r="G49" i="6"/>
  <c r="C48" i="6"/>
  <c r="C47" i="6" s="1"/>
  <c r="H28" i="6"/>
  <c r="G28" i="6"/>
  <c r="B24" i="6"/>
  <c r="B22" i="6"/>
  <c r="B13" i="6"/>
  <c r="G7" i="6"/>
  <c r="G6" i="6"/>
  <c r="G5" i="6"/>
  <c r="J115" i="5"/>
  <c r="G114" i="5"/>
  <c r="G115" i="5"/>
  <c r="I115" i="5" s="1"/>
  <c r="G118" i="5"/>
  <c r="G119" i="5"/>
  <c r="G120" i="5"/>
  <c r="I120" i="5" s="1"/>
  <c r="J120" i="5" s="1"/>
  <c r="G122" i="5"/>
  <c r="G123" i="5"/>
  <c r="J151" i="5"/>
  <c r="J152" i="5"/>
  <c r="G142" i="5"/>
  <c r="G143" i="5"/>
  <c r="G151" i="5"/>
  <c r="G152" i="5"/>
  <c r="G153" i="5"/>
  <c r="I153" i="5" s="1"/>
  <c r="J153" i="5" s="1"/>
  <c r="I109" i="5"/>
  <c r="J109" i="5" s="1"/>
  <c r="I122" i="5"/>
  <c r="J122" i="5" s="1"/>
  <c r="I134" i="5"/>
  <c r="I135" i="5"/>
  <c r="I151" i="5"/>
  <c r="I152" i="5"/>
  <c r="I160" i="5"/>
  <c r="I163" i="5"/>
  <c r="J163" i="5" s="1"/>
  <c r="I68" i="5"/>
  <c r="J68" i="5" s="1"/>
  <c r="B61" i="11" l="1"/>
  <c r="I92" i="11"/>
  <c r="G81" i="2"/>
  <c r="B105" i="11"/>
  <c r="G140" i="2"/>
  <c r="I153" i="11"/>
  <c r="I20" i="17"/>
  <c r="I156" i="11"/>
  <c r="I23" i="17"/>
  <c r="B111" i="11"/>
  <c r="D111" i="11" s="1"/>
  <c r="I68" i="11"/>
  <c r="J68" i="11" s="1"/>
  <c r="G57" i="2"/>
  <c r="G108" i="2"/>
  <c r="I156" i="6"/>
  <c r="D23" i="17"/>
  <c r="A157" i="6"/>
  <c r="I84" i="9"/>
  <c r="D141" i="8"/>
  <c r="I150" i="8"/>
  <c r="G139" i="2"/>
  <c r="F23" i="17"/>
  <c r="G145" i="2"/>
  <c r="I115" i="8"/>
  <c r="G104" i="2"/>
  <c r="G111" i="2"/>
  <c r="I157" i="8"/>
  <c r="F24" i="17"/>
  <c r="I153" i="8"/>
  <c r="F20" i="17"/>
  <c r="G142" i="2"/>
  <c r="I108" i="8"/>
  <c r="G97" i="2"/>
  <c r="I152" i="8"/>
  <c r="J152" i="9" s="1"/>
  <c r="G141" i="2"/>
  <c r="I87" i="8"/>
  <c r="G76" i="2"/>
  <c r="B86" i="9"/>
  <c r="D86" i="9" s="1"/>
  <c r="I128" i="8"/>
  <c r="G117" i="2"/>
  <c r="I107" i="8"/>
  <c r="G96" i="2"/>
  <c r="B48" i="16"/>
  <c r="G46" i="16"/>
  <c r="I102" i="7"/>
  <c r="B65" i="7"/>
  <c r="I113" i="7"/>
  <c r="G102" i="2"/>
  <c r="B61" i="7"/>
  <c r="G46" i="7"/>
  <c r="G32" i="7" s="1"/>
  <c r="I131" i="6"/>
  <c r="I135" i="6"/>
  <c r="G124" i="2"/>
  <c r="I134" i="6"/>
  <c r="G123" i="2"/>
  <c r="I149" i="6"/>
  <c r="G138" i="2"/>
  <c r="I112" i="6"/>
  <c r="G101" i="2"/>
  <c r="I88" i="6"/>
  <c r="B70" i="6"/>
  <c r="D70" i="6" s="1"/>
  <c r="I83" i="6"/>
  <c r="E110" i="2"/>
  <c r="I119" i="5"/>
  <c r="J119" i="5" s="1"/>
  <c r="I118" i="5"/>
  <c r="J118" i="5" s="1"/>
  <c r="I114" i="5"/>
  <c r="J114" i="5" s="1"/>
  <c r="G103" i="2"/>
  <c r="I123" i="5"/>
  <c r="J123" i="5" s="1"/>
  <c r="I142" i="5"/>
  <c r="J142" i="5" s="1"/>
  <c r="I143" i="5"/>
  <c r="J143" i="5" s="1"/>
  <c r="G109" i="2"/>
  <c r="B4" i="7"/>
  <c r="C47" i="16"/>
  <c r="B65" i="16"/>
  <c r="D65" i="16" s="1"/>
  <c r="D80" i="16"/>
  <c r="D77" i="16" s="1"/>
  <c r="D133" i="16"/>
  <c r="D141" i="16"/>
  <c r="I83" i="16"/>
  <c r="B4" i="16"/>
  <c r="B91" i="16"/>
  <c r="B100" i="16"/>
  <c r="D100" i="16" s="1"/>
  <c r="B117" i="16"/>
  <c r="D117" i="16" s="1"/>
  <c r="D138" i="16"/>
  <c r="I136" i="16"/>
  <c r="D61" i="16"/>
  <c r="D105" i="16"/>
  <c r="B86" i="16"/>
  <c r="D86" i="16" s="1"/>
  <c r="I157" i="16"/>
  <c r="D91" i="16"/>
  <c r="B111" i="16"/>
  <c r="D111" i="16" s="1"/>
  <c r="A150" i="16"/>
  <c r="I151" i="16"/>
  <c r="I89" i="16"/>
  <c r="B91" i="15"/>
  <c r="B117" i="15"/>
  <c r="I156" i="15"/>
  <c r="A157" i="15"/>
  <c r="B86" i="15"/>
  <c r="D86" i="15" s="1"/>
  <c r="I122" i="15"/>
  <c r="D138" i="15"/>
  <c r="I93" i="15"/>
  <c r="I89" i="15"/>
  <c r="B70" i="15"/>
  <c r="D70" i="15" s="1"/>
  <c r="D91" i="15"/>
  <c r="B105" i="15"/>
  <c r="D105" i="15" s="1"/>
  <c r="B111" i="15"/>
  <c r="D111" i="15" s="1"/>
  <c r="A150" i="15"/>
  <c r="I151" i="15"/>
  <c r="B100" i="15"/>
  <c r="D100" i="15" s="1"/>
  <c r="D117" i="15"/>
  <c r="D61" i="15"/>
  <c r="D65" i="15"/>
  <c r="D80" i="15"/>
  <c r="I103" i="15"/>
  <c r="I83" i="15"/>
  <c r="B141" i="14"/>
  <c r="B61" i="14"/>
  <c r="D133" i="14"/>
  <c r="D141" i="14"/>
  <c r="I89" i="14"/>
  <c r="B91" i="14"/>
  <c r="B100" i="14"/>
  <c r="D100" i="14" s="1"/>
  <c r="B117" i="14"/>
  <c r="D117" i="14" s="1"/>
  <c r="D138" i="14"/>
  <c r="A157" i="14"/>
  <c r="I136" i="14"/>
  <c r="B4" i="14"/>
  <c r="B70" i="14"/>
  <c r="D70" i="14" s="1"/>
  <c r="D91" i="14"/>
  <c r="B105" i="14"/>
  <c r="B77" i="14" s="1"/>
  <c r="B111" i="14"/>
  <c r="D111" i="14" s="1"/>
  <c r="D61" i="14"/>
  <c r="D65" i="14"/>
  <c r="D80" i="14"/>
  <c r="D105" i="14"/>
  <c r="I122" i="14"/>
  <c r="B105" i="13"/>
  <c r="D105" i="13" s="1"/>
  <c r="B70" i="13"/>
  <c r="D70" i="13" s="1"/>
  <c r="B86" i="13"/>
  <c r="D86" i="13" s="1"/>
  <c r="B111" i="13"/>
  <c r="D111" i="13" s="1"/>
  <c r="I156" i="13"/>
  <c r="A157" i="13"/>
  <c r="I93" i="13"/>
  <c r="D61" i="13"/>
  <c r="D80" i="13"/>
  <c r="B141" i="13"/>
  <c r="D141" i="13" s="1"/>
  <c r="I136" i="13"/>
  <c r="D91" i="13"/>
  <c r="C47" i="13"/>
  <c r="I151" i="13"/>
  <c r="I83" i="13"/>
  <c r="I73" i="13"/>
  <c r="B4" i="13"/>
  <c r="B117" i="13"/>
  <c r="D117" i="13" s="1"/>
  <c r="D138" i="13"/>
  <c r="I122" i="13"/>
  <c r="I114" i="13"/>
  <c r="B91" i="12"/>
  <c r="B141" i="12"/>
  <c r="D141" i="12" s="1"/>
  <c r="I156" i="12"/>
  <c r="A157" i="12"/>
  <c r="I157" i="12"/>
  <c r="B86" i="12"/>
  <c r="D86" i="12" s="1"/>
  <c r="I136" i="12"/>
  <c r="D105" i="12"/>
  <c r="B100" i="12"/>
  <c r="D100" i="12" s="1"/>
  <c r="B117" i="12"/>
  <c r="D117" i="12" s="1"/>
  <c r="D138" i="12"/>
  <c r="I107" i="12"/>
  <c r="I103" i="12"/>
  <c r="I83" i="12"/>
  <c r="D61" i="12"/>
  <c r="D91" i="12"/>
  <c r="B111" i="12"/>
  <c r="D111" i="12" s="1"/>
  <c r="I122" i="12"/>
  <c r="I114" i="12"/>
  <c r="B91" i="11"/>
  <c r="I93" i="11"/>
  <c r="I114" i="11"/>
  <c r="B147" i="11"/>
  <c r="D147" i="11" s="1"/>
  <c r="I157" i="11"/>
  <c r="I149" i="11"/>
  <c r="D105" i="11"/>
  <c r="D61" i="11"/>
  <c r="B86" i="11"/>
  <c r="D86" i="11" s="1"/>
  <c r="A150" i="11"/>
  <c r="I136" i="11"/>
  <c r="J163" i="13"/>
  <c r="D91" i="11"/>
  <c r="B4" i="11"/>
  <c r="B100" i="11"/>
  <c r="D100" i="11" s="1"/>
  <c r="I103" i="11"/>
  <c r="I83" i="11"/>
  <c r="D105" i="10"/>
  <c r="B141" i="10"/>
  <c r="D141" i="10" s="1"/>
  <c r="D70" i="10"/>
  <c r="I73" i="10"/>
  <c r="B91" i="10"/>
  <c r="C47" i="10"/>
  <c r="B100" i="10"/>
  <c r="D100" i="10" s="1"/>
  <c r="B117" i="10"/>
  <c r="D117" i="10" s="1"/>
  <c r="I103" i="10"/>
  <c r="B48" i="10"/>
  <c r="B4" i="10"/>
  <c r="B111" i="10"/>
  <c r="D111" i="10" s="1"/>
  <c r="D130" i="10"/>
  <c r="I150" i="10"/>
  <c r="I122" i="10"/>
  <c r="I114" i="10"/>
  <c r="B141" i="9"/>
  <c r="D141" i="9" s="1"/>
  <c r="I156" i="9"/>
  <c r="A157" i="9"/>
  <c r="B70" i="9"/>
  <c r="D70" i="9" s="1"/>
  <c r="I149" i="9"/>
  <c r="B4" i="9"/>
  <c r="I83" i="9"/>
  <c r="B91" i="9"/>
  <c r="D91" i="9" s="1"/>
  <c r="B100" i="9"/>
  <c r="D100" i="9" s="1"/>
  <c r="I103" i="9"/>
  <c r="B117" i="9"/>
  <c r="D117" i="9" s="1"/>
  <c r="I122" i="9"/>
  <c r="D138" i="9"/>
  <c r="B133" i="9"/>
  <c r="D133" i="9" s="1"/>
  <c r="I136" i="9"/>
  <c r="B48" i="9"/>
  <c r="D61" i="9"/>
  <c r="C77" i="9"/>
  <c r="B105" i="9"/>
  <c r="D105" i="9" s="1"/>
  <c r="B111" i="9"/>
  <c r="D111" i="9" s="1"/>
  <c r="I114" i="9"/>
  <c r="I156" i="8"/>
  <c r="A157" i="8"/>
  <c r="B48" i="8"/>
  <c r="B61" i="8"/>
  <c r="D61" i="8" s="1"/>
  <c r="B86" i="8"/>
  <c r="D86" i="8" s="1"/>
  <c r="I89" i="8"/>
  <c r="B147" i="8"/>
  <c r="D147" i="8" s="1"/>
  <c r="I149" i="8"/>
  <c r="J115" i="13"/>
  <c r="B91" i="8"/>
  <c r="I103" i="8"/>
  <c r="B117" i="8"/>
  <c r="D117" i="8" s="1"/>
  <c r="I122" i="8"/>
  <c r="D138" i="8"/>
  <c r="D91" i="8"/>
  <c r="B105" i="8"/>
  <c r="D105" i="8" s="1"/>
  <c r="B111" i="8"/>
  <c r="D111" i="8" s="1"/>
  <c r="I114" i="8"/>
  <c r="A150" i="8"/>
  <c r="I151" i="8"/>
  <c r="B4" i="8"/>
  <c r="B133" i="8"/>
  <c r="D133" i="8" s="1"/>
  <c r="I136" i="8"/>
  <c r="J160" i="5"/>
  <c r="J160" i="7"/>
  <c r="B105" i="7"/>
  <c r="D105" i="7" s="1"/>
  <c r="C47" i="7"/>
  <c r="A150" i="7"/>
  <c r="I151" i="7"/>
  <c r="J135" i="13"/>
  <c r="B133" i="7"/>
  <c r="I136" i="7"/>
  <c r="B141" i="7"/>
  <c r="D141" i="7" s="1"/>
  <c r="B147" i="7"/>
  <c r="D147" i="7" s="1"/>
  <c r="I149" i="7"/>
  <c r="B111" i="7"/>
  <c r="D111" i="7" s="1"/>
  <c r="I114" i="7"/>
  <c r="B48" i="7"/>
  <c r="B47" i="7" s="1"/>
  <c r="D61" i="7"/>
  <c r="D65" i="7"/>
  <c r="D70" i="7"/>
  <c r="D80" i="7"/>
  <c r="I83" i="7"/>
  <c r="B91" i="7"/>
  <c r="D91" i="7" s="1"/>
  <c r="B100" i="7"/>
  <c r="D100" i="7" s="1"/>
  <c r="I103" i="7"/>
  <c r="B117" i="7"/>
  <c r="D117" i="7" s="1"/>
  <c r="I122" i="7"/>
  <c r="B141" i="6"/>
  <c r="B86" i="6"/>
  <c r="D141" i="6"/>
  <c r="J119" i="8"/>
  <c r="J119" i="7"/>
  <c r="J119" i="10"/>
  <c r="J119" i="11"/>
  <c r="J119" i="6"/>
  <c r="J123" i="7"/>
  <c r="J123" i="8"/>
  <c r="J123" i="9"/>
  <c r="J123" i="10"/>
  <c r="J123" i="6"/>
  <c r="B100" i="6"/>
  <c r="D100" i="6" s="1"/>
  <c r="I103" i="6"/>
  <c r="B111" i="6"/>
  <c r="D111" i="6" s="1"/>
  <c r="I114" i="6"/>
  <c r="J114" i="14" s="1"/>
  <c r="J134" i="6"/>
  <c r="J134" i="7"/>
  <c r="J134" i="8"/>
  <c r="J134" i="9"/>
  <c r="J134" i="10"/>
  <c r="J134" i="13"/>
  <c r="J134" i="12"/>
  <c r="J134" i="11"/>
  <c r="J134" i="16"/>
  <c r="J134" i="14"/>
  <c r="B48" i="6"/>
  <c r="D91" i="6"/>
  <c r="J115" i="7"/>
  <c r="J115" i="8"/>
  <c r="J115" i="9"/>
  <c r="J115" i="10"/>
  <c r="J115" i="6"/>
  <c r="J120" i="7"/>
  <c r="J120" i="8"/>
  <c r="J120" i="9"/>
  <c r="J120" i="10"/>
  <c r="J120" i="11"/>
  <c r="J120" i="16"/>
  <c r="J120" i="13"/>
  <c r="J120" i="6"/>
  <c r="J120" i="12"/>
  <c r="D138" i="6"/>
  <c r="J143" i="8"/>
  <c r="J143" i="7"/>
  <c r="J143" i="10"/>
  <c r="J143" i="9"/>
  <c r="J143" i="6"/>
  <c r="J163" i="8"/>
  <c r="J163" i="7"/>
  <c r="J163" i="9"/>
  <c r="J163" i="10"/>
  <c r="I151" i="6"/>
  <c r="J163" i="6"/>
  <c r="J115" i="15"/>
  <c r="J163" i="11"/>
  <c r="J119" i="13"/>
  <c r="J152" i="7"/>
  <c r="J152" i="8"/>
  <c r="J152" i="15"/>
  <c r="J152" i="6"/>
  <c r="J152" i="12"/>
  <c r="J160" i="8"/>
  <c r="J160" i="9"/>
  <c r="J160" i="10"/>
  <c r="J160" i="11"/>
  <c r="J160" i="12"/>
  <c r="J160" i="14"/>
  <c r="I89" i="6"/>
  <c r="J160" i="6"/>
  <c r="J160" i="15"/>
  <c r="J160" i="13"/>
  <c r="J115" i="11"/>
  <c r="B4" i="6"/>
  <c r="D86" i="6"/>
  <c r="B105" i="6"/>
  <c r="D105" i="6" s="1"/>
  <c r="B117" i="6"/>
  <c r="D117" i="6" s="1"/>
  <c r="I122" i="6"/>
  <c r="B133" i="6"/>
  <c r="D133" i="6" s="1"/>
  <c r="I136" i="6"/>
  <c r="J153" i="7"/>
  <c r="J153" i="8"/>
  <c r="J153" i="10"/>
  <c r="J153" i="9"/>
  <c r="J153" i="11"/>
  <c r="J153" i="13"/>
  <c r="J153" i="15"/>
  <c r="J153" i="6"/>
  <c r="J135" i="6"/>
  <c r="J135" i="8"/>
  <c r="J135" i="7"/>
  <c r="J135" i="9"/>
  <c r="J135" i="10"/>
  <c r="J134" i="15"/>
  <c r="J153" i="12"/>
  <c r="J135" i="11"/>
  <c r="J109" i="7"/>
  <c r="J109" i="8"/>
  <c r="J109" i="9"/>
  <c r="J109" i="10"/>
  <c r="J109" i="6"/>
  <c r="J109" i="15"/>
  <c r="J109" i="12"/>
  <c r="J68" i="7"/>
  <c r="J68" i="8"/>
  <c r="J68" i="9"/>
  <c r="J68" i="10"/>
  <c r="J68" i="6"/>
  <c r="J153" i="16"/>
  <c r="J109" i="16"/>
  <c r="J109" i="13"/>
  <c r="J109" i="11"/>
  <c r="J109" i="14"/>
  <c r="J153" i="14"/>
  <c r="J160" i="16"/>
  <c r="J120" i="14"/>
  <c r="J119" i="14"/>
  <c r="J163" i="12"/>
  <c r="J135" i="12"/>
  <c r="J119" i="12"/>
  <c r="J115" i="12"/>
  <c r="J163" i="14"/>
  <c r="J135" i="14"/>
  <c r="J115" i="14"/>
  <c r="J68" i="15"/>
  <c r="J68" i="12"/>
  <c r="J120" i="15"/>
  <c r="J163" i="16"/>
  <c r="J115" i="16"/>
  <c r="J135" i="16"/>
  <c r="J119" i="16"/>
  <c r="J163" i="15"/>
  <c r="J135" i="15"/>
  <c r="J119" i="15"/>
  <c r="B47" i="16"/>
  <c r="B77" i="16"/>
  <c r="C77" i="16"/>
  <c r="G32" i="16"/>
  <c r="B147" i="16"/>
  <c r="D147" i="16" s="1"/>
  <c r="C77" i="15"/>
  <c r="B147" i="15"/>
  <c r="D147" i="15" s="1"/>
  <c r="C77" i="14"/>
  <c r="C77" i="13"/>
  <c r="B147" i="13"/>
  <c r="D147" i="13" s="1"/>
  <c r="D80" i="12"/>
  <c r="D133" i="12"/>
  <c r="C77" i="12"/>
  <c r="D133" i="11"/>
  <c r="C77" i="11"/>
  <c r="D91" i="10"/>
  <c r="C77" i="10"/>
  <c r="C77" i="8"/>
  <c r="D133" i="7"/>
  <c r="C77" i="7"/>
  <c r="C77" i="6"/>
  <c r="B147" i="6"/>
  <c r="D147" i="6" s="1"/>
  <c r="B77" i="12" l="1"/>
  <c r="J68" i="16"/>
  <c r="J68" i="13"/>
  <c r="J68" i="14"/>
  <c r="J152" i="11"/>
  <c r="J152" i="13"/>
  <c r="J152" i="10"/>
  <c r="J152" i="14"/>
  <c r="J152" i="16"/>
  <c r="J119" i="9"/>
  <c r="D77" i="15"/>
  <c r="B77" i="15"/>
  <c r="D77" i="14"/>
  <c r="J122" i="16"/>
  <c r="J122" i="15"/>
  <c r="J122" i="14"/>
  <c r="B77" i="7"/>
  <c r="D77" i="7"/>
  <c r="J114" i="16"/>
  <c r="J122" i="7"/>
  <c r="J122" i="8"/>
  <c r="J122" i="9"/>
  <c r="J122" i="10"/>
  <c r="J122" i="12"/>
  <c r="J122" i="11"/>
  <c r="J122" i="6"/>
  <c r="J122" i="13"/>
  <c r="J151" i="7"/>
  <c r="J151" i="8"/>
  <c r="J151" i="6"/>
  <c r="J114" i="7"/>
  <c r="J114" i="8"/>
  <c r="J114" i="9"/>
  <c r="J114" i="10"/>
  <c r="J114" i="13"/>
  <c r="J114" i="6"/>
  <c r="J114" i="11"/>
  <c r="J114" i="12"/>
  <c r="J114" i="15"/>
  <c r="D77" i="12"/>
  <c r="G118" i="11"/>
  <c r="I118" i="11" s="1"/>
  <c r="G123" i="11"/>
  <c r="G112" i="2" s="1"/>
  <c r="G142" i="11"/>
  <c r="G143" i="11"/>
  <c r="G132" i="2" s="1"/>
  <c r="C147" i="5"/>
  <c r="C141" i="5"/>
  <c r="B141" i="5"/>
  <c r="C138" i="5"/>
  <c r="C133" i="5"/>
  <c r="C130" i="5"/>
  <c r="E127" i="5"/>
  <c r="E116" i="2" s="1"/>
  <c r="E126" i="5"/>
  <c r="E115" i="2" s="1"/>
  <c r="E125" i="5"/>
  <c r="E114" i="2" s="1"/>
  <c r="E124" i="5"/>
  <c r="E113" i="2" s="1"/>
  <c r="C117" i="5"/>
  <c r="C111" i="5"/>
  <c r="C105" i="5"/>
  <c r="C100" i="5"/>
  <c r="C91" i="5"/>
  <c r="C86" i="5"/>
  <c r="C80" i="5"/>
  <c r="I142" i="11" l="1"/>
  <c r="B141" i="11"/>
  <c r="D141" i="11" s="1"/>
  <c r="I143" i="11"/>
  <c r="I123" i="11"/>
  <c r="B117" i="11"/>
  <c r="D141" i="5"/>
  <c r="D117" i="11" l="1"/>
  <c r="J123" i="12"/>
  <c r="J123" i="15"/>
  <c r="J123" i="13"/>
  <c r="J123" i="14"/>
  <c r="J123" i="11"/>
  <c r="J123" i="16"/>
  <c r="J143" i="11"/>
  <c r="J143" i="16"/>
  <c r="J143" i="13"/>
  <c r="J143" i="12"/>
  <c r="J143" i="15"/>
  <c r="J143" i="14"/>
  <c r="I159" i="5"/>
  <c r="J159" i="7" s="1"/>
  <c r="C70" i="5"/>
  <c r="C65" i="5"/>
  <c r="C61" i="5"/>
  <c r="H123" i="2"/>
  <c r="I123" i="2" s="1"/>
  <c r="H108" i="2"/>
  <c r="H104" i="2"/>
  <c r="H98" i="2"/>
  <c r="C19" i="24"/>
  <c r="C21" i="24"/>
  <c r="J159" i="11" l="1"/>
  <c r="J159" i="10"/>
  <c r="J159" i="12"/>
  <c r="J159" i="13"/>
  <c r="J159" i="8"/>
  <c r="J159" i="6"/>
  <c r="J159" i="16"/>
  <c r="J159" i="14"/>
  <c r="J159" i="9"/>
  <c r="J159" i="15"/>
  <c r="C77" i="5"/>
  <c r="I98" i="2"/>
  <c r="I104" i="2"/>
  <c r="I9" i="2" l="1"/>
  <c r="E30" i="3"/>
  <c r="E29" i="3"/>
  <c r="E27" i="3"/>
  <c r="E31" i="3"/>
  <c r="E26" i="3"/>
  <c r="D146" i="28"/>
  <c r="D147" i="28" s="1"/>
  <c r="D148" i="28" s="1"/>
  <c r="D144" i="28"/>
  <c r="D150" i="28" s="1"/>
  <c r="D117" i="28"/>
  <c r="D114" i="28"/>
  <c r="D115" i="28" s="1"/>
  <c r="D83" i="28"/>
  <c r="D84" i="28" s="1"/>
  <c r="D81" i="28"/>
  <c r="D82" i="28" s="1"/>
  <c r="D46" i="28"/>
  <c r="D47" i="28" s="1"/>
  <c r="D45" i="28"/>
  <c r="D44" i="28"/>
  <c r="D48" i="28" s="1"/>
  <c r="D145" i="28" l="1"/>
  <c r="D149" i="28"/>
  <c r="F31" i="25"/>
  <c r="F17" i="25"/>
  <c r="F3" i="25"/>
  <c r="E21" i="25" l="1"/>
  <c r="E35" i="25" l="1"/>
  <c r="E7" i="25" l="1"/>
  <c r="E32" i="25"/>
  <c r="E18" i="25"/>
  <c r="E4" i="25"/>
  <c r="B117" i="17" l="1"/>
  <c r="G92" i="14" l="1"/>
  <c r="I92" i="14" s="1"/>
  <c r="G112" i="14" l="1"/>
  <c r="I112" i="14" s="1"/>
  <c r="I75" i="14"/>
  <c r="I71" i="14"/>
  <c r="G131" i="14"/>
  <c r="I131" i="14" s="1"/>
  <c r="G55" i="15"/>
  <c r="G46" i="15" s="1"/>
  <c r="B118" i="17"/>
  <c r="B111" i="17"/>
  <c r="B103" i="17"/>
  <c r="B48" i="15" l="1"/>
  <c r="B47" i="15" s="1"/>
  <c r="G32" i="15"/>
  <c r="G81" i="14"/>
  <c r="I81" i="14" s="1"/>
  <c r="G142" i="14" l="1"/>
  <c r="I142" i="14" s="1"/>
  <c r="G106" i="14" l="1"/>
  <c r="I106" i="14" s="1"/>
  <c r="I75" i="13" l="1"/>
  <c r="G103" i="13"/>
  <c r="G118" i="14"/>
  <c r="I118" i="14" s="1"/>
  <c r="G151" i="14"/>
  <c r="A150" i="14" l="1"/>
  <c r="I151" i="14"/>
  <c r="B147" i="14"/>
  <c r="D147" i="14" s="1"/>
  <c r="B100" i="13"/>
  <c r="I103" i="13"/>
  <c r="J133" i="28"/>
  <c r="J140" i="28"/>
  <c r="J139" i="28"/>
  <c r="J136" i="28"/>
  <c r="B150" i="28"/>
  <c r="K140" i="28"/>
  <c r="D100" i="13" l="1"/>
  <c r="D77" i="13" s="1"/>
  <c r="B77" i="13"/>
  <c r="G142" i="13" l="1"/>
  <c r="I142" i="13" s="1"/>
  <c r="G67" i="13" l="1"/>
  <c r="G112" i="13"/>
  <c r="I112" i="13" s="1"/>
  <c r="G118" i="13"/>
  <c r="I118" i="13" s="1"/>
  <c r="G106" i="13"/>
  <c r="I106" i="13" s="1"/>
  <c r="B65" i="13" l="1"/>
  <c r="D65" i="13" s="1"/>
  <c r="G66" i="13"/>
  <c r="G81" i="13"/>
  <c r="I81" i="13" s="1"/>
  <c r="K138" i="28" l="1"/>
  <c r="I75" i="12" l="1"/>
  <c r="G112" i="12"/>
  <c r="I112" i="12" s="1"/>
  <c r="G142" i="12"/>
  <c r="I142" i="12" s="1"/>
  <c r="G151" i="12"/>
  <c r="A150" i="12" l="1"/>
  <c r="I151" i="12"/>
  <c r="B147" i="12"/>
  <c r="D147" i="12" s="1"/>
  <c r="G81" i="12" l="1"/>
  <c r="I81" i="12" s="1"/>
  <c r="G53" i="12" l="1"/>
  <c r="B48" i="12" l="1"/>
  <c r="G118" i="12"/>
  <c r="I118" i="12" s="1"/>
  <c r="G66" i="12"/>
  <c r="B65" i="12" s="1"/>
  <c r="D65" i="12" s="1"/>
  <c r="G46" i="12" l="1"/>
  <c r="G32" i="12" s="1"/>
  <c r="B47" i="12"/>
  <c r="I75" i="11"/>
  <c r="F137" i="3" l="1"/>
  <c r="F26" i="3" s="1"/>
  <c r="D11" i="28" l="1"/>
  <c r="D64" i="28"/>
  <c r="G81" i="11" l="1"/>
  <c r="I81" i="11" l="1"/>
  <c r="B80" i="11"/>
  <c r="G46" i="11"/>
  <c r="I73" i="11"/>
  <c r="B70" i="11"/>
  <c r="D70" i="11" s="1"/>
  <c r="J7" i="10"/>
  <c r="J7" i="9"/>
  <c r="D80" i="11" l="1"/>
  <c r="D77" i="11" s="1"/>
  <c r="B77" i="11"/>
  <c r="G51" i="11"/>
  <c r="B48" i="11" l="1"/>
  <c r="G53" i="14"/>
  <c r="G53" i="13"/>
  <c r="G46" i="14" l="1"/>
  <c r="G32" i="14" s="1"/>
  <c r="B48" i="14"/>
  <c r="B47" i="14" s="1"/>
  <c r="B48" i="13"/>
  <c r="B47" i="13" s="1"/>
  <c r="G46" i="13"/>
  <c r="G32" i="13" s="1"/>
  <c r="G67" i="11"/>
  <c r="B65" i="11" l="1"/>
  <c r="G32" i="11"/>
  <c r="D65" i="11" l="1"/>
  <c r="B47" i="11"/>
  <c r="G81" i="10"/>
  <c r="I81" i="10" s="1"/>
  <c r="I75" i="10" l="1"/>
  <c r="G67" i="10"/>
  <c r="B65" i="10" s="1"/>
  <c r="D65" i="10" s="1"/>
  <c r="G142" i="10"/>
  <c r="I142" i="10" s="1"/>
  <c r="K10" i="19" l="1"/>
  <c r="G118" i="10" l="1"/>
  <c r="I118" i="10" s="1"/>
  <c r="G83" i="10"/>
  <c r="B80" i="10" s="1"/>
  <c r="R75" i="28"/>
  <c r="R74" i="28"/>
  <c r="I83" i="10" l="1"/>
  <c r="G131" i="8"/>
  <c r="I131" i="8" l="1"/>
  <c r="D80" i="10"/>
  <c r="G62" i="10"/>
  <c r="G136" i="10"/>
  <c r="G142" i="9"/>
  <c r="I142" i="9" s="1"/>
  <c r="G88" i="10"/>
  <c r="G77" i="2" s="1"/>
  <c r="I88" i="10" l="1"/>
  <c r="B86" i="10"/>
  <c r="B61" i="10"/>
  <c r="B133" i="10"/>
  <c r="D133" i="10" s="1"/>
  <c r="I136" i="10"/>
  <c r="D161" i="28"/>
  <c r="B161" i="28"/>
  <c r="J142" i="28"/>
  <c r="D154" i="28"/>
  <c r="D61" i="10" l="1"/>
  <c r="B47" i="10"/>
  <c r="D86" i="10"/>
  <c r="D77" i="10" s="1"/>
  <c r="B77" i="10"/>
  <c r="I75" i="9"/>
  <c r="G81" i="9" l="1"/>
  <c r="I81" i="9" l="1"/>
  <c r="B80" i="9"/>
  <c r="G151" i="9"/>
  <c r="G118" i="9"/>
  <c r="G67" i="9"/>
  <c r="D80" i="9" l="1"/>
  <c r="D77" i="9" s="1"/>
  <c r="B77" i="9"/>
  <c r="I118" i="9"/>
  <c r="G46" i="9"/>
  <c r="A150" i="9"/>
  <c r="I151" i="9"/>
  <c r="B147" i="9"/>
  <c r="D147" i="9" s="1"/>
  <c r="B65" i="9"/>
  <c r="G131" i="9"/>
  <c r="I131" i="9" l="1"/>
  <c r="G120" i="2"/>
  <c r="D65" i="9"/>
  <c r="B47" i="9"/>
  <c r="J151" i="12"/>
  <c r="J151" i="11"/>
  <c r="J151" i="14"/>
  <c r="J151" i="9"/>
  <c r="J151" i="16"/>
  <c r="J151" i="10"/>
  <c r="J151" i="15"/>
  <c r="J151" i="13"/>
  <c r="G32" i="9"/>
  <c r="G82" i="8"/>
  <c r="I82" i="8" s="1"/>
  <c r="G83" i="8"/>
  <c r="K136" i="28"/>
  <c r="K139" i="28"/>
  <c r="K142" i="28"/>
  <c r="K133" i="28"/>
  <c r="I83" i="8" l="1"/>
  <c r="G12" i="28"/>
  <c r="K13" i="28"/>
  <c r="D13" i="28"/>
  <c r="K44" i="28"/>
  <c r="L44" i="28"/>
  <c r="J44" i="28"/>
  <c r="B48" i="28"/>
  <c r="B147" i="28"/>
  <c r="B148" i="28" s="1"/>
  <c r="I71" i="8" l="1"/>
  <c r="I75" i="8"/>
  <c r="G102" i="8"/>
  <c r="G91" i="2" s="1"/>
  <c r="G67" i="8" l="1"/>
  <c r="I102" i="8"/>
  <c r="B100" i="8"/>
  <c r="G81" i="8"/>
  <c r="I81" i="8" l="1"/>
  <c r="B80" i="8"/>
  <c r="D80" i="8" s="1"/>
  <c r="D100" i="8"/>
  <c r="B77" i="8" l="1"/>
  <c r="D77" i="8"/>
  <c r="G118" i="8"/>
  <c r="I118" i="8" s="1"/>
  <c r="K15" i="19"/>
  <c r="G106" i="8" l="1"/>
  <c r="G142" i="8"/>
  <c r="I142" i="8" s="1"/>
  <c r="G66" i="8"/>
  <c r="G139" i="8"/>
  <c r="I139" i="8" s="1"/>
  <c r="I106" i="8" l="1"/>
  <c r="G46" i="8"/>
  <c r="G32" i="8" s="1"/>
  <c r="B70" i="8"/>
  <c r="D70" i="8" s="1"/>
  <c r="I72" i="8"/>
  <c r="B65" i="8"/>
  <c r="I75" i="6"/>
  <c r="G67" i="6"/>
  <c r="B47" i="8" l="1"/>
  <c r="D65" i="8"/>
  <c r="I10" i="2"/>
  <c r="O46" i="6" l="1"/>
  <c r="B19" i="19" l="1"/>
  <c r="G118" i="6"/>
  <c r="G81" i="6"/>
  <c r="G142" i="6"/>
  <c r="G82" i="6"/>
  <c r="I118" i="6" l="1"/>
  <c r="J118" i="7" s="1"/>
  <c r="G107" i="2"/>
  <c r="I142" i="6"/>
  <c r="G131" i="2"/>
  <c r="I81" i="6"/>
  <c r="J118" i="10"/>
  <c r="J118" i="15"/>
  <c r="J118" i="16"/>
  <c r="J118" i="6"/>
  <c r="I82" i="6"/>
  <c r="J142" i="7"/>
  <c r="J142" i="8"/>
  <c r="J142" i="9"/>
  <c r="J142" i="10"/>
  <c r="J142" i="11"/>
  <c r="J142" i="13"/>
  <c r="J142" i="6"/>
  <c r="J142" i="16"/>
  <c r="J142" i="12"/>
  <c r="J142" i="14"/>
  <c r="J142" i="15"/>
  <c r="J118" i="8" l="1"/>
  <c r="J118" i="14"/>
  <c r="J118" i="11"/>
  <c r="J118" i="12"/>
  <c r="J118" i="13"/>
  <c r="J118" i="9"/>
  <c r="D80" i="6"/>
  <c r="D77" i="6" s="1"/>
  <c r="B77" i="6"/>
  <c r="G62" i="6"/>
  <c r="O96" i="17"/>
  <c r="K94" i="17"/>
  <c r="B61" i="6" l="1"/>
  <c r="I94" i="17"/>
  <c r="G94" i="17"/>
  <c r="I5" i="23"/>
  <c r="I7" i="23"/>
  <c r="I9" i="23"/>
  <c r="I11" i="23"/>
  <c r="I13" i="23"/>
  <c r="B115" i="28"/>
  <c r="B117" i="28"/>
  <c r="B116" i="28"/>
  <c r="B83" i="28"/>
  <c r="D61" i="6" l="1"/>
  <c r="G139" i="5"/>
  <c r="G128" i="2" s="1"/>
  <c r="G50" i="5"/>
  <c r="G51" i="5"/>
  <c r="G52" i="5"/>
  <c r="G53" i="5"/>
  <c r="G54" i="5"/>
  <c r="G55" i="5"/>
  <c r="G56" i="5"/>
  <c r="G57" i="5"/>
  <c r="G62" i="5"/>
  <c r="G63" i="5"/>
  <c r="I71" i="5"/>
  <c r="I73" i="5"/>
  <c r="G81" i="5"/>
  <c r="G70" i="2" s="1"/>
  <c r="G82" i="5"/>
  <c r="G83" i="5"/>
  <c r="G72" i="2" s="1"/>
  <c r="G84" i="5"/>
  <c r="G73" i="2" s="1"/>
  <c r="G87" i="5"/>
  <c r="G88" i="5"/>
  <c r="I88" i="5" s="1"/>
  <c r="G89" i="5"/>
  <c r="G92" i="5"/>
  <c r="G93" i="5"/>
  <c r="I93" i="5" s="1"/>
  <c r="G94" i="5"/>
  <c r="G95" i="5"/>
  <c r="G96" i="5"/>
  <c r="G97" i="5"/>
  <c r="G98" i="5"/>
  <c r="G101" i="5"/>
  <c r="G102" i="5"/>
  <c r="G103" i="5"/>
  <c r="G107" i="5"/>
  <c r="I107" i="5" s="1"/>
  <c r="G112" i="5"/>
  <c r="G113" i="5"/>
  <c r="G128" i="5"/>
  <c r="G132" i="5"/>
  <c r="B130" i="5" s="1"/>
  <c r="G133" i="5"/>
  <c r="G136" i="5"/>
  <c r="G125" i="2" s="1"/>
  <c r="G149" i="5"/>
  <c r="G150" i="5"/>
  <c r="I150" i="5" s="1"/>
  <c r="G156" i="5"/>
  <c r="G157" i="5"/>
  <c r="I158" i="5"/>
  <c r="J158" i="7" s="1"/>
  <c r="G49" i="5"/>
  <c r="Y40" i="5"/>
  <c r="C48" i="5"/>
  <c r="H149" i="2"/>
  <c r="I82" i="5" l="1"/>
  <c r="J82" i="8" s="1"/>
  <c r="G71" i="2"/>
  <c r="B48" i="5"/>
  <c r="I157" i="5"/>
  <c r="J157" i="7" s="1"/>
  <c r="A157" i="5"/>
  <c r="I72" i="5"/>
  <c r="G61" i="2"/>
  <c r="J158" i="9"/>
  <c r="J158" i="6"/>
  <c r="J158" i="10"/>
  <c r="J158" i="11"/>
  <c r="J158" i="12"/>
  <c r="J158" i="14"/>
  <c r="J158" i="13"/>
  <c r="J158" i="15"/>
  <c r="J158" i="16"/>
  <c r="J158" i="8"/>
  <c r="I103" i="5"/>
  <c r="I95" i="5"/>
  <c r="I81" i="5"/>
  <c r="B111" i="5"/>
  <c r="D111" i="5" s="1"/>
  <c r="I113" i="5"/>
  <c r="J107" i="9"/>
  <c r="J107" i="13"/>
  <c r="J107" i="11"/>
  <c r="J107" i="10"/>
  <c r="J107" i="12"/>
  <c r="J107" i="14"/>
  <c r="J107" i="7"/>
  <c r="J107" i="15"/>
  <c r="J107" i="8"/>
  <c r="J107" i="6"/>
  <c r="J107" i="16"/>
  <c r="B100" i="5"/>
  <c r="D100" i="5" s="1"/>
  <c r="I102" i="5"/>
  <c r="I98" i="5"/>
  <c r="I94" i="5"/>
  <c r="I89" i="5"/>
  <c r="I84" i="5"/>
  <c r="J73" i="5"/>
  <c r="J73" i="10"/>
  <c r="J73" i="14"/>
  <c r="J73" i="7"/>
  <c r="J73" i="11"/>
  <c r="J73" i="12"/>
  <c r="J73" i="8"/>
  <c r="J73" i="15"/>
  <c r="J73" i="6"/>
  <c r="J73" i="16"/>
  <c r="J73" i="9"/>
  <c r="J73" i="13"/>
  <c r="I156" i="5"/>
  <c r="J150" i="5"/>
  <c r="J150" i="8"/>
  <c r="J150" i="12"/>
  <c r="J150" i="11"/>
  <c r="J150" i="9"/>
  <c r="J150" i="14"/>
  <c r="J150" i="10"/>
  <c r="J150" i="15"/>
  <c r="J150" i="13"/>
  <c r="J150" i="6"/>
  <c r="J150" i="7"/>
  <c r="J150" i="16"/>
  <c r="I112" i="5"/>
  <c r="I101" i="5"/>
  <c r="I97" i="5"/>
  <c r="J93" i="8"/>
  <c r="J93" i="11"/>
  <c r="J93" i="6"/>
  <c r="J93" i="9"/>
  <c r="J93" i="13"/>
  <c r="J93" i="16"/>
  <c r="J93" i="10"/>
  <c r="J93" i="12"/>
  <c r="J93" i="15"/>
  <c r="J93" i="7"/>
  <c r="J93" i="14"/>
  <c r="J88" i="7"/>
  <c r="J88" i="11"/>
  <c r="J88" i="12"/>
  <c r="J88" i="14"/>
  <c r="J88" i="8"/>
  <c r="J88" i="16"/>
  <c r="J88" i="6"/>
  <c r="J88" i="9"/>
  <c r="J88" i="13"/>
  <c r="J88" i="15"/>
  <c r="J88" i="10"/>
  <c r="I83" i="5"/>
  <c r="J72" i="5"/>
  <c r="J72" i="6"/>
  <c r="I139" i="5"/>
  <c r="I149" i="5"/>
  <c r="B133" i="5"/>
  <c r="D133" i="5" s="1"/>
  <c r="I136" i="5"/>
  <c r="I128" i="5"/>
  <c r="I96" i="5"/>
  <c r="I92" i="5"/>
  <c r="I87" i="5"/>
  <c r="J82" i="7"/>
  <c r="J82" i="13"/>
  <c r="J82" i="11"/>
  <c r="J82" i="15"/>
  <c r="J82" i="14"/>
  <c r="J82" i="9"/>
  <c r="J82" i="12"/>
  <c r="J82" i="6"/>
  <c r="J82" i="16"/>
  <c r="J71" i="5"/>
  <c r="J71" i="6"/>
  <c r="D80" i="5"/>
  <c r="B91" i="5"/>
  <c r="D91" i="5" s="1"/>
  <c r="B86" i="5"/>
  <c r="D86" i="5" s="1"/>
  <c r="B70" i="5"/>
  <c r="D70" i="5" s="1"/>
  <c r="A150" i="5"/>
  <c r="B147" i="5"/>
  <c r="D147" i="5" s="1"/>
  <c r="B100" i="2"/>
  <c r="B61" i="5"/>
  <c r="D61" i="5" s="1"/>
  <c r="G66" i="6"/>
  <c r="G46" i="6" s="1"/>
  <c r="J82" i="10" l="1"/>
  <c r="J157" i="6"/>
  <c r="J157" i="9"/>
  <c r="J157" i="8"/>
  <c r="J92" i="7"/>
  <c r="J92" i="11"/>
  <c r="J92" i="6"/>
  <c r="J92" i="8"/>
  <c r="J92" i="13"/>
  <c r="J92" i="9"/>
  <c r="J92" i="12"/>
  <c r="J92" i="15"/>
  <c r="J92" i="10"/>
  <c r="J92" i="14"/>
  <c r="J92" i="16"/>
  <c r="J128" i="10"/>
  <c r="J128" i="6"/>
  <c r="J128" i="16"/>
  <c r="J128" i="7"/>
  <c r="J128" i="11"/>
  <c r="J128" i="14"/>
  <c r="J128" i="8"/>
  <c r="J128" i="12"/>
  <c r="J128" i="15"/>
  <c r="J128" i="9"/>
  <c r="J128" i="13"/>
  <c r="J149" i="13"/>
  <c r="J149" i="9"/>
  <c r="J149" i="11"/>
  <c r="J149" i="10"/>
  <c r="J149" i="6"/>
  <c r="J149" i="15"/>
  <c r="J149" i="7"/>
  <c r="J149" i="12"/>
  <c r="J149" i="8"/>
  <c r="J149" i="16"/>
  <c r="J149" i="14"/>
  <c r="J83" i="8"/>
  <c r="J83" i="9"/>
  <c r="J83" i="11"/>
  <c r="J83" i="6"/>
  <c r="J83" i="16"/>
  <c r="J83" i="10"/>
  <c r="J83" i="14"/>
  <c r="J83" i="13"/>
  <c r="J83" i="7"/>
  <c r="J83" i="15"/>
  <c r="J83" i="12"/>
  <c r="J97" i="10"/>
  <c r="J97" i="12"/>
  <c r="J97" i="7"/>
  <c r="J97" i="13"/>
  <c r="J97" i="15"/>
  <c r="J97" i="8"/>
  <c r="J97" i="14"/>
  <c r="J97" i="6"/>
  <c r="J97" i="16"/>
  <c r="J97" i="11"/>
  <c r="J97" i="9"/>
  <c r="J112" i="9"/>
  <c r="J112" i="14"/>
  <c r="J112" i="13"/>
  <c r="J112" i="10"/>
  <c r="J112" i="15"/>
  <c r="J112" i="7"/>
  <c r="J112" i="11"/>
  <c r="J112" i="16"/>
  <c r="J112" i="8"/>
  <c r="J112" i="12"/>
  <c r="J112" i="6"/>
  <c r="J84" i="12"/>
  <c r="J84" i="9"/>
  <c r="J84" i="6"/>
  <c r="J84" i="10"/>
  <c r="J84" i="13"/>
  <c r="J84" i="15"/>
  <c r="J84" i="7"/>
  <c r="J84" i="11"/>
  <c r="J84" i="8"/>
  <c r="J84" i="14"/>
  <c r="J84" i="16"/>
  <c r="J94" i="10"/>
  <c r="J94" i="12"/>
  <c r="J94" i="15"/>
  <c r="J94" i="7"/>
  <c r="J94" i="16"/>
  <c r="J94" i="6"/>
  <c r="J94" i="8"/>
  <c r="J94" i="11"/>
  <c r="J94" i="14"/>
  <c r="J94" i="9"/>
  <c r="J94" i="13"/>
  <c r="J102" i="8"/>
  <c r="J102" i="12"/>
  <c r="J102" i="16"/>
  <c r="J102" i="9"/>
  <c r="J102" i="15"/>
  <c r="J102" i="10"/>
  <c r="J102" i="6"/>
  <c r="J102" i="14"/>
  <c r="J102" i="7"/>
  <c r="J102" i="13"/>
  <c r="J102" i="11"/>
  <c r="J95" i="15"/>
  <c r="J95" i="10"/>
  <c r="J95" i="6"/>
  <c r="J95" i="11"/>
  <c r="J95" i="12"/>
  <c r="J95" i="9"/>
  <c r="J95" i="14"/>
  <c r="J95" i="13"/>
  <c r="J95" i="7"/>
  <c r="J95" i="8"/>
  <c r="J95" i="16"/>
  <c r="J113" i="9"/>
  <c r="J113" i="11"/>
  <c r="J113" i="10"/>
  <c r="J113" i="12"/>
  <c r="J113" i="16"/>
  <c r="J113" i="7"/>
  <c r="J113" i="13"/>
  <c r="J113" i="14"/>
  <c r="J113" i="8"/>
  <c r="J113" i="15"/>
  <c r="J113" i="6"/>
  <c r="J87" i="7"/>
  <c r="J87" i="6"/>
  <c r="J87" i="11"/>
  <c r="J87" i="8"/>
  <c r="J87" i="14"/>
  <c r="J87" i="10"/>
  <c r="J87" i="12"/>
  <c r="J87" i="15"/>
  <c r="J87" i="13"/>
  <c r="J87" i="9"/>
  <c r="J87" i="16"/>
  <c r="J96" i="13"/>
  <c r="J96" i="10"/>
  <c r="J96" i="6"/>
  <c r="J96" i="7"/>
  <c r="J96" i="11"/>
  <c r="J96" i="8"/>
  <c r="J96" i="12"/>
  <c r="J96" i="14"/>
  <c r="J96" i="16"/>
  <c r="J96" i="15"/>
  <c r="J96" i="9"/>
  <c r="J136" i="14"/>
  <c r="J136" i="8"/>
  <c r="J136" i="13"/>
  <c r="J136" i="15"/>
  <c r="J136" i="9"/>
  <c r="J136" i="12"/>
  <c r="J136" i="16"/>
  <c r="J136" i="10"/>
  <c r="J136" i="6"/>
  <c r="J136" i="7"/>
  <c r="J136" i="11"/>
  <c r="J139" i="9"/>
  <c r="J139" i="10"/>
  <c r="J139" i="12"/>
  <c r="J139" i="6"/>
  <c r="J139" i="13"/>
  <c r="J139" i="7"/>
  <c r="J139" i="14"/>
  <c r="J139" i="15"/>
  <c r="J139" i="16"/>
  <c r="J139" i="8"/>
  <c r="J139" i="11"/>
  <c r="J101" i="10"/>
  <c r="J101" i="6"/>
  <c r="J101" i="7"/>
  <c r="J101" i="12"/>
  <c r="J101" i="16"/>
  <c r="J101" i="8"/>
  <c r="J101" i="11"/>
  <c r="J101" i="14"/>
  <c r="J101" i="13"/>
  <c r="J101" i="15"/>
  <c r="J101" i="9"/>
  <c r="J156" i="8"/>
  <c r="J156" i="13"/>
  <c r="J156" i="9"/>
  <c r="J156" i="12"/>
  <c r="J156" i="14"/>
  <c r="J156" i="15"/>
  <c r="J156" i="10"/>
  <c r="J156" i="16"/>
  <c r="J156" i="6"/>
  <c r="J156" i="11"/>
  <c r="J156" i="7"/>
  <c r="J89" i="16"/>
  <c r="J89" i="14"/>
  <c r="J89" i="8"/>
  <c r="J89" i="13"/>
  <c r="J89" i="7"/>
  <c r="J89" i="6"/>
  <c r="J89" i="9"/>
  <c r="J89" i="12"/>
  <c r="J89" i="10"/>
  <c r="J89" i="15"/>
  <c r="J89" i="11"/>
  <c r="J98" i="8"/>
  <c r="J98" i="13"/>
  <c r="J98" i="6"/>
  <c r="J98" i="9"/>
  <c r="J98" i="14"/>
  <c r="J98" i="10"/>
  <c r="J98" i="11"/>
  <c r="J98" i="12"/>
  <c r="J98" i="16"/>
  <c r="J98" i="7"/>
  <c r="J98" i="15"/>
  <c r="J81" i="7"/>
  <c r="J81" i="6"/>
  <c r="J81" i="8"/>
  <c r="J81" i="14"/>
  <c r="J81" i="15"/>
  <c r="J81" i="9"/>
  <c r="J81" i="11"/>
  <c r="J81" i="10"/>
  <c r="J81" i="12"/>
  <c r="J81" i="13"/>
  <c r="J81" i="16"/>
  <c r="J103" i="14"/>
  <c r="J103" i="13"/>
  <c r="J103" i="12"/>
  <c r="J103" i="16"/>
  <c r="J103" i="15"/>
  <c r="J103" i="9"/>
  <c r="J103" i="7"/>
  <c r="J103" i="6"/>
  <c r="J103" i="8"/>
  <c r="J103" i="11"/>
  <c r="J103" i="10"/>
  <c r="B65" i="6"/>
  <c r="G32" i="6"/>
  <c r="G28" i="5"/>
  <c r="O46" i="16"/>
  <c r="O41" i="16" s="1"/>
  <c r="N46" i="16"/>
  <c r="N41" i="16" s="1"/>
  <c r="M46" i="16"/>
  <c r="L46" i="16"/>
  <c r="M41" i="16"/>
  <c r="O46" i="15"/>
  <c r="N46" i="15"/>
  <c r="M46" i="15"/>
  <c r="M41" i="15" s="1"/>
  <c r="L46" i="15"/>
  <c r="O41" i="15"/>
  <c r="N41" i="15"/>
  <c r="O46" i="14"/>
  <c r="O41" i="14" s="1"/>
  <c r="N46" i="14"/>
  <c r="N41" i="14" s="1"/>
  <c r="M46" i="14"/>
  <c r="M41" i="14" s="1"/>
  <c r="L46" i="14"/>
  <c r="O46" i="13"/>
  <c r="O41" i="13" s="1"/>
  <c r="N46" i="13"/>
  <c r="N41" i="13" s="1"/>
  <c r="Q42" i="13" s="1"/>
  <c r="M46" i="13"/>
  <c r="M41" i="13" s="1"/>
  <c r="L46" i="13"/>
  <c r="O46" i="12"/>
  <c r="N46" i="12"/>
  <c r="N41" i="12" s="1"/>
  <c r="M46" i="12"/>
  <c r="M41" i="12" s="1"/>
  <c r="L46" i="12"/>
  <c r="O41" i="12"/>
  <c r="O46" i="11"/>
  <c r="N46" i="11"/>
  <c r="N41" i="11" s="1"/>
  <c r="M46" i="11"/>
  <c r="M41" i="11" s="1"/>
  <c r="L46" i="11"/>
  <c r="O41" i="11"/>
  <c r="O46" i="10"/>
  <c r="N46" i="10"/>
  <c r="N41" i="10" s="1"/>
  <c r="M46" i="10"/>
  <c r="M41" i="10" s="1"/>
  <c r="L46" i="10"/>
  <c r="G32" i="10" s="1"/>
  <c r="O41" i="10"/>
  <c r="O46" i="9"/>
  <c r="O41" i="9" s="1"/>
  <c r="N46" i="9"/>
  <c r="N41" i="9" s="1"/>
  <c r="M46" i="9"/>
  <c r="M41" i="9" s="1"/>
  <c r="L46" i="9"/>
  <c r="O46" i="8"/>
  <c r="O41" i="8" s="1"/>
  <c r="N46" i="8"/>
  <c r="N41" i="8" s="1"/>
  <c r="M46" i="8"/>
  <c r="M41" i="8" s="1"/>
  <c r="Q41" i="8" s="1"/>
  <c r="L46" i="8"/>
  <c r="O46" i="7"/>
  <c r="O41" i="7" s="1"/>
  <c r="N46" i="7"/>
  <c r="N41" i="7" s="1"/>
  <c r="M46" i="7"/>
  <c r="M41" i="7" s="1"/>
  <c r="L46" i="7"/>
  <c r="L40" i="7" s="1"/>
  <c r="N46" i="6"/>
  <c r="N41" i="6" s="1"/>
  <c r="M46" i="6"/>
  <c r="M41" i="6" s="1"/>
  <c r="L46" i="6"/>
  <c r="O41" i="6"/>
  <c r="I108" i="2"/>
  <c r="B117" i="5"/>
  <c r="D117" i="5" s="1"/>
  <c r="G106" i="5"/>
  <c r="B138" i="5"/>
  <c r="D138" i="5" s="1"/>
  <c r="G131" i="5"/>
  <c r="I131" i="5" s="1"/>
  <c r="I75" i="5"/>
  <c r="G66" i="5"/>
  <c r="G67" i="5"/>
  <c r="B84" i="28"/>
  <c r="B146" i="28"/>
  <c r="B144" i="28"/>
  <c r="B149" i="28" s="1"/>
  <c r="D19" i="28"/>
  <c r="B114" i="28"/>
  <c r="B47" i="28"/>
  <c r="B81" i="28"/>
  <c r="B82" i="28" s="1"/>
  <c r="B46" i="28"/>
  <c r="B45" i="28"/>
  <c r="B44" i="28"/>
  <c r="C34" i="1" l="1"/>
  <c r="H42" i="17"/>
  <c r="L40" i="6"/>
  <c r="L40" i="9"/>
  <c r="G95" i="2"/>
  <c r="G46" i="5"/>
  <c r="J75" i="5"/>
  <c r="J75" i="7"/>
  <c r="J75" i="6"/>
  <c r="J75" i="8"/>
  <c r="J75" i="11"/>
  <c r="J75" i="12"/>
  <c r="J75" i="13"/>
  <c r="J75" i="10"/>
  <c r="J75" i="9"/>
  <c r="J75" i="15"/>
  <c r="J75" i="14"/>
  <c r="J75" i="16"/>
  <c r="J131" i="7"/>
  <c r="J131" i="6"/>
  <c r="J131" i="14"/>
  <c r="J131" i="8"/>
  <c r="J131" i="15"/>
  <c r="J131" i="13"/>
  <c r="J131" i="9"/>
  <c r="J131" i="11"/>
  <c r="J131" i="16"/>
  <c r="J131" i="12"/>
  <c r="J131" i="10"/>
  <c r="I106" i="5"/>
  <c r="D65" i="6"/>
  <c r="B47" i="6"/>
  <c r="B65" i="5"/>
  <c r="D65" i="5" s="1"/>
  <c r="D18" i="28"/>
  <c r="G10" i="28"/>
  <c r="G11" i="28"/>
  <c r="L39" i="8"/>
  <c r="B145" i="28"/>
  <c r="G108" i="5"/>
  <c r="B105" i="5" l="1"/>
  <c r="D105" i="5" s="1"/>
  <c r="I108" i="5"/>
  <c r="J106" i="9"/>
  <c r="J106" i="14"/>
  <c r="J106" i="10"/>
  <c r="J106" i="13"/>
  <c r="J106" i="16"/>
  <c r="J106" i="15"/>
  <c r="J106" i="7"/>
  <c r="J106" i="12"/>
  <c r="J106" i="6"/>
  <c r="J106" i="11"/>
  <c r="J106" i="8"/>
  <c r="G13" i="28"/>
  <c r="F27" i="3"/>
  <c r="F35" i="3" s="1"/>
  <c r="F28" i="3"/>
  <c r="O46" i="5"/>
  <c r="O41" i="5" s="1"/>
  <c r="J108" i="10" l="1"/>
  <c r="J108" i="6"/>
  <c r="J108" i="15"/>
  <c r="J108" i="7"/>
  <c r="J108" i="11"/>
  <c r="J108" i="14"/>
  <c r="J108" i="16"/>
  <c r="J108" i="8"/>
  <c r="J108" i="13"/>
  <c r="J108" i="9"/>
  <c r="J108" i="12"/>
  <c r="B77" i="5"/>
  <c r="O55" i="17"/>
  <c r="B110" i="17"/>
  <c r="O56" i="17"/>
  <c r="O79" i="17"/>
  <c r="F210" i="3"/>
  <c r="B181" i="3" l="1"/>
  <c r="B196" i="3"/>
  <c r="B166" i="3"/>
  <c r="B151" i="3"/>
  <c r="O95" i="17"/>
  <c r="J94" i="17"/>
  <c r="B20" i="19" l="1"/>
  <c r="C18" i="3" l="1"/>
  <c r="B137" i="3"/>
  <c r="O81" i="17" l="1"/>
  <c r="O82" i="17"/>
  <c r="D40" i="1" l="1"/>
  <c r="D39" i="1"/>
  <c r="D38" i="1"/>
  <c r="D37" i="1"/>
  <c r="D36" i="1"/>
  <c r="D35" i="1"/>
  <c r="D34" i="1"/>
  <c r="D33" i="1"/>
  <c r="D32" i="1"/>
  <c r="D31" i="1"/>
  <c r="D30" i="1"/>
  <c r="O53" i="17"/>
  <c r="O54" i="17"/>
  <c r="D26" i="17"/>
  <c r="E26" i="17"/>
  <c r="F26" i="17"/>
  <c r="G26" i="17"/>
  <c r="H26" i="17"/>
  <c r="I26" i="17"/>
  <c r="J26" i="17"/>
  <c r="K26" i="17"/>
  <c r="L26" i="17"/>
  <c r="M26" i="17"/>
  <c r="N26" i="17"/>
  <c r="C26" i="17"/>
  <c r="O26" i="17" s="1"/>
  <c r="C19" i="3"/>
  <c r="B82" i="3"/>
  <c r="C166" i="19"/>
  <c r="E166" i="19" s="1"/>
  <c r="E158" i="19"/>
  <c r="E140" i="19"/>
  <c r="E104" i="19"/>
  <c r="E87" i="19"/>
  <c r="E70" i="19"/>
  <c r="C66" i="19"/>
  <c r="E47" i="19"/>
  <c r="B47" i="19"/>
  <c r="C46" i="19"/>
  <c r="D15" i="19"/>
  <c r="C69" i="19" l="1"/>
  <c r="B22" i="19"/>
  <c r="C22" i="19" s="1"/>
  <c r="B68" i="3" l="1"/>
  <c r="B55" i="3"/>
  <c r="C92" i="17"/>
  <c r="N94" i="17"/>
  <c r="H94" i="17"/>
  <c r="F94" i="17"/>
  <c r="E94" i="17"/>
  <c r="D94" i="17"/>
  <c r="C94" i="17"/>
  <c r="O90" i="17"/>
  <c r="B131" i="17" l="1"/>
  <c r="B129" i="17"/>
  <c r="N35" i="17" l="1"/>
  <c r="M35" i="17"/>
  <c r="L35" i="17"/>
  <c r="K35" i="17"/>
  <c r="J35" i="17"/>
  <c r="I35" i="17"/>
  <c r="H35" i="17"/>
  <c r="G35" i="17"/>
  <c r="F35" i="17"/>
  <c r="E35" i="17"/>
  <c r="D35" i="17"/>
  <c r="N18" i="17"/>
  <c r="M18" i="17"/>
  <c r="L18" i="17"/>
  <c r="K18" i="17"/>
  <c r="J18" i="17"/>
  <c r="I18" i="17"/>
  <c r="H18" i="17"/>
  <c r="H27" i="17" s="1"/>
  <c r="G18" i="17"/>
  <c r="F18" i="17"/>
  <c r="E18" i="17"/>
  <c r="D18" i="17"/>
  <c r="N11" i="17"/>
  <c r="M11" i="17"/>
  <c r="L11" i="17"/>
  <c r="K11" i="17"/>
  <c r="J11" i="17"/>
  <c r="I11" i="17"/>
  <c r="H11" i="17"/>
  <c r="G11" i="17"/>
  <c r="F11" i="17"/>
  <c r="E11" i="17"/>
  <c r="D11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N6" i="17"/>
  <c r="N8" i="17" s="1"/>
  <c r="M6" i="17"/>
  <c r="M8" i="17" s="1"/>
  <c r="L6" i="17"/>
  <c r="K6" i="17"/>
  <c r="K8" i="17" s="1"/>
  <c r="J6" i="17"/>
  <c r="I6" i="17"/>
  <c r="H6" i="17"/>
  <c r="G6" i="17"/>
  <c r="F6" i="17"/>
  <c r="E6" i="17"/>
  <c r="D6" i="17"/>
  <c r="C30" i="17"/>
  <c r="C32" i="17" s="1"/>
  <c r="L8" i="17" l="1"/>
  <c r="D27" i="17"/>
  <c r="L27" i="17"/>
  <c r="N27" i="17"/>
  <c r="E27" i="17"/>
  <c r="I27" i="17"/>
  <c r="K27" i="17"/>
  <c r="J27" i="17"/>
  <c r="M27" i="17"/>
  <c r="H142" i="2" l="1"/>
  <c r="F27" i="17"/>
  <c r="I142" i="2" l="1"/>
  <c r="C24" i="17"/>
  <c r="C20" i="17"/>
  <c r="J157" i="5"/>
  <c r="C22" i="17"/>
  <c r="C21" i="17"/>
  <c r="C23" i="17"/>
  <c r="I149" i="2"/>
  <c r="G27" i="17"/>
  <c r="O21" i="17" l="1"/>
  <c r="O20" i="17"/>
  <c r="O23" i="17"/>
  <c r="O22" i="17"/>
  <c r="J156" i="5"/>
  <c r="I67" i="16" l="1"/>
  <c r="I63" i="16"/>
  <c r="I62" i="16"/>
  <c r="I57" i="16"/>
  <c r="I56" i="16"/>
  <c r="I54" i="16"/>
  <c r="I52" i="16"/>
  <c r="I51" i="16"/>
  <c r="I50" i="16"/>
  <c r="I49" i="16"/>
  <c r="I26" i="16"/>
  <c r="I25" i="16"/>
  <c r="I22" i="16"/>
  <c r="I20" i="16"/>
  <c r="I19" i="16"/>
  <c r="I18" i="16"/>
  <c r="I17" i="16"/>
  <c r="I16" i="16"/>
  <c r="I15" i="16"/>
  <c r="I14" i="16"/>
  <c r="I67" i="15"/>
  <c r="I63" i="15"/>
  <c r="I62" i="15"/>
  <c r="I57" i="15"/>
  <c r="I56" i="15"/>
  <c r="I55" i="15"/>
  <c r="I54" i="15"/>
  <c r="I52" i="15"/>
  <c r="I51" i="15"/>
  <c r="I50" i="15"/>
  <c r="I49" i="15"/>
  <c r="I26" i="15"/>
  <c r="I25" i="15"/>
  <c r="I22" i="15"/>
  <c r="I20" i="15"/>
  <c r="I19" i="15"/>
  <c r="I18" i="15"/>
  <c r="I17" i="15"/>
  <c r="I16" i="15"/>
  <c r="I15" i="15"/>
  <c r="I14" i="15"/>
  <c r="I67" i="14"/>
  <c r="I63" i="14"/>
  <c r="I57" i="14"/>
  <c r="I56" i="14"/>
  <c r="I54" i="14"/>
  <c r="I52" i="14"/>
  <c r="I51" i="14"/>
  <c r="I50" i="14"/>
  <c r="I49" i="14"/>
  <c r="I26" i="14"/>
  <c r="I25" i="14"/>
  <c r="I22" i="14"/>
  <c r="I20" i="14"/>
  <c r="I19" i="14"/>
  <c r="I18" i="14"/>
  <c r="I17" i="14"/>
  <c r="I16" i="14"/>
  <c r="I15" i="14"/>
  <c r="I14" i="14"/>
  <c r="I67" i="13"/>
  <c r="I63" i="13"/>
  <c r="I57" i="13"/>
  <c r="I56" i="13"/>
  <c r="I54" i="13"/>
  <c r="I52" i="13"/>
  <c r="I51" i="13"/>
  <c r="I50" i="13"/>
  <c r="I26" i="13"/>
  <c r="I25" i="13"/>
  <c r="I22" i="13"/>
  <c r="I20" i="13"/>
  <c r="I19" i="13"/>
  <c r="I18" i="13"/>
  <c r="I17" i="13"/>
  <c r="I16" i="13"/>
  <c r="I15" i="13"/>
  <c r="I14" i="13"/>
  <c r="I67" i="12"/>
  <c r="I66" i="12"/>
  <c r="I62" i="12"/>
  <c r="I57" i="12"/>
  <c r="I56" i="12"/>
  <c r="I54" i="12"/>
  <c r="I52" i="12"/>
  <c r="I51" i="12"/>
  <c r="I50" i="12"/>
  <c r="I49" i="12"/>
  <c r="I26" i="12"/>
  <c r="I25" i="12"/>
  <c r="I22" i="12"/>
  <c r="I20" i="12"/>
  <c r="I19" i="12"/>
  <c r="I18" i="12"/>
  <c r="I17" i="12"/>
  <c r="I16" i="12"/>
  <c r="I15" i="12"/>
  <c r="I14" i="12"/>
  <c r="I72" i="11"/>
  <c r="I71" i="11"/>
  <c r="I67" i="11"/>
  <c r="I66" i="11"/>
  <c r="I62" i="11"/>
  <c r="I57" i="11"/>
  <c r="I56" i="11"/>
  <c r="I54" i="11"/>
  <c r="I52" i="11"/>
  <c r="I51" i="11"/>
  <c r="I50" i="11"/>
  <c r="I49" i="11"/>
  <c r="I26" i="11"/>
  <c r="I25" i="11"/>
  <c r="I22" i="11"/>
  <c r="I20" i="11"/>
  <c r="I19" i="11"/>
  <c r="I18" i="11"/>
  <c r="I17" i="11"/>
  <c r="I16" i="11"/>
  <c r="I15" i="11"/>
  <c r="I14" i="11"/>
  <c r="J7" i="11"/>
  <c r="I66" i="10"/>
  <c r="I57" i="10"/>
  <c r="I56" i="10"/>
  <c r="I54" i="10"/>
  <c r="I52" i="10"/>
  <c r="I51" i="10"/>
  <c r="I50" i="10"/>
  <c r="I49" i="10"/>
  <c r="I26" i="10"/>
  <c r="I25" i="10"/>
  <c r="I22" i="10"/>
  <c r="I20" i="10"/>
  <c r="I19" i="10"/>
  <c r="I18" i="10"/>
  <c r="I17" i="10"/>
  <c r="I16" i="10"/>
  <c r="I15" i="10"/>
  <c r="I14" i="10"/>
  <c r="I67" i="9"/>
  <c r="I66" i="9"/>
  <c r="I62" i="9"/>
  <c r="I57" i="9"/>
  <c r="I56" i="9"/>
  <c r="I54" i="9"/>
  <c r="I52" i="9"/>
  <c r="I51" i="9"/>
  <c r="I50" i="9"/>
  <c r="I49" i="9"/>
  <c r="I26" i="9"/>
  <c r="I25" i="9"/>
  <c r="I22" i="9"/>
  <c r="I20" i="9"/>
  <c r="I19" i="9"/>
  <c r="I18" i="9"/>
  <c r="I17" i="9"/>
  <c r="I16" i="9"/>
  <c r="I15" i="9"/>
  <c r="I14" i="9"/>
  <c r="I67" i="8"/>
  <c r="I66" i="8"/>
  <c r="I63" i="8"/>
  <c r="I56" i="8"/>
  <c r="I54" i="8"/>
  <c r="I53" i="8"/>
  <c r="I52" i="8"/>
  <c r="I51" i="8"/>
  <c r="I50" i="8"/>
  <c r="I49" i="8"/>
  <c r="I26" i="8"/>
  <c r="I25" i="8"/>
  <c r="I22" i="8"/>
  <c r="I20" i="8"/>
  <c r="I19" i="8"/>
  <c r="I18" i="8"/>
  <c r="I17" i="8"/>
  <c r="I16" i="8"/>
  <c r="I15" i="8"/>
  <c r="I14" i="8"/>
  <c r="I72" i="7"/>
  <c r="I71" i="7"/>
  <c r="I67" i="7"/>
  <c r="I63" i="7"/>
  <c r="I57" i="7"/>
  <c r="I56" i="7"/>
  <c r="I54" i="7"/>
  <c r="I53" i="7"/>
  <c r="I52" i="7"/>
  <c r="I51" i="7"/>
  <c r="I50" i="7"/>
  <c r="I26" i="7"/>
  <c r="I25" i="7"/>
  <c r="I22" i="7"/>
  <c r="I20" i="7"/>
  <c r="I19" i="7"/>
  <c r="I18" i="7"/>
  <c r="I17" i="7"/>
  <c r="I16" i="7"/>
  <c r="I15" i="7"/>
  <c r="I14" i="7"/>
  <c r="J71" i="15" l="1"/>
  <c r="J71" i="7"/>
  <c r="J71" i="13"/>
  <c r="J71" i="8"/>
  <c r="J71" i="14"/>
  <c r="J71" i="11"/>
  <c r="J71" i="12"/>
  <c r="J71" i="10"/>
  <c r="J71" i="16"/>
  <c r="J71" i="9"/>
  <c r="J72" i="8"/>
  <c r="J72" i="13"/>
  <c r="J72" i="7"/>
  <c r="J72" i="12"/>
  <c r="J72" i="16"/>
  <c r="J72" i="11"/>
  <c r="J72" i="15"/>
  <c r="J72" i="10"/>
  <c r="J72" i="14"/>
  <c r="J72" i="9"/>
  <c r="I49" i="13"/>
  <c r="I55" i="14"/>
  <c r="I55" i="16"/>
  <c r="I66" i="16"/>
  <c r="I55" i="11"/>
  <c r="I66" i="13"/>
  <c r="I62" i="13"/>
  <c r="I66" i="14"/>
  <c r="I62" i="14"/>
  <c r="I66" i="15"/>
  <c r="I63" i="12"/>
  <c r="I63" i="11"/>
  <c r="I63" i="10"/>
  <c r="I62" i="10"/>
  <c r="I67" i="10"/>
  <c r="I63" i="9"/>
  <c r="I53" i="16"/>
  <c r="I53" i="15"/>
  <c r="D48" i="15" s="1"/>
  <c r="D47" i="15" s="1"/>
  <c r="I53" i="14"/>
  <c r="I53" i="13"/>
  <c r="I53" i="12"/>
  <c r="I53" i="11"/>
  <c r="D48" i="11" s="1"/>
  <c r="D47" i="11" s="1"/>
  <c r="I53" i="9"/>
  <c r="I53" i="10"/>
  <c r="I62" i="8"/>
  <c r="I57" i="8"/>
  <c r="I49" i="7"/>
  <c r="I62" i="7"/>
  <c r="I66" i="7"/>
  <c r="I55" i="7"/>
  <c r="I55" i="13"/>
  <c r="I55" i="12"/>
  <c r="I55" i="10"/>
  <c r="I55" i="9"/>
  <c r="I55" i="8"/>
  <c r="J92" i="5"/>
  <c r="C47" i="5"/>
  <c r="I67" i="6"/>
  <c r="I66" i="6"/>
  <c r="I62" i="6"/>
  <c r="I57" i="6"/>
  <c r="I56" i="6"/>
  <c r="I54" i="6"/>
  <c r="I52" i="6"/>
  <c r="I51" i="6"/>
  <c r="I50" i="6"/>
  <c r="I49" i="6"/>
  <c r="I26" i="6"/>
  <c r="I25" i="6"/>
  <c r="I22" i="6"/>
  <c r="I20" i="6"/>
  <c r="I19" i="6"/>
  <c r="I18" i="6"/>
  <c r="I17" i="6"/>
  <c r="I16" i="6"/>
  <c r="I15" i="6"/>
  <c r="I14" i="6"/>
  <c r="N46" i="5"/>
  <c r="N41" i="5" s="1"/>
  <c r="M46" i="5"/>
  <c r="M41" i="5" s="1"/>
  <c r="L46" i="5"/>
  <c r="H62" i="2"/>
  <c r="F29" i="2"/>
  <c r="F28" i="2"/>
  <c r="F26" i="2"/>
  <c r="G25" i="2"/>
  <c r="F22" i="2"/>
  <c r="F23" i="2"/>
  <c r="F24" i="2"/>
  <c r="F25" i="2"/>
  <c r="H25" i="2" s="1"/>
  <c r="F20" i="2"/>
  <c r="F21" i="2"/>
  <c r="F19" i="2"/>
  <c r="B22" i="5"/>
  <c r="B13" i="5"/>
  <c r="J14" i="5"/>
  <c r="I55" i="5"/>
  <c r="J55" i="5" s="1"/>
  <c r="I56" i="5"/>
  <c r="J56" i="5" s="1"/>
  <c r="I57" i="5"/>
  <c r="H147" i="2"/>
  <c r="H148" i="2"/>
  <c r="I148" i="2" s="1"/>
  <c r="H145" i="2"/>
  <c r="I145" i="2" s="1"/>
  <c r="H146" i="2"/>
  <c r="H124" i="2"/>
  <c r="D48" i="16" l="1"/>
  <c r="D47" i="16" s="1"/>
  <c r="D48" i="14"/>
  <c r="D47" i="14" s="1"/>
  <c r="D48" i="12"/>
  <c r="D47" i="12" s="1"/>
  <c r="D48" i="10"/>
  <c r="D47" i="10" s="1"/>
  <c r="D48" i="9"/>
  <c r="D47" i="9" s="1"/>
  <c r="D48" i="8"/>
  <c r="D47" i="8" s="1"/>
  <c r="D48" i="13"/>
  <c r="D47" i="13" s="1"/>
  <c r="D48" i="7"/>
  <c r="D47" i="7" s="1"/>
  <c r="I46" i="11"/>
  <c r="H37" i="1"/>
  <c r="H35" i="1"/>
  <c r="H33" i="1"/>
  <c r="J18" i="15"/>
  <c r="J98" i="5"/>
  <c r="D130" i="5"/>
  <c r="J139" i="5"/>
  <c r="J82" i="5"/>
  <c r="J20" i="15"/>
  <c r="J16" i="15"/>
  <c r="J17" i="15"/>
  <c r="J57" i="14"/>
  <c r="J19" i="15"/>
  <c r="J15" i="15"/>
  <c r="I46" i="12"/>
  <c r="I46" i="16"/>
  <c r="H39" i="1"/>
  <c r="I46" i="15"/>
  <c r="I63" i="6"/>
  <c r="I46" i="7"/>
  <c r="I53" i="6"/>
  <c r="J56" i="11"/>
  <c r="J56" i="15"/>
  <c r="J56" i="12"/>
  <c r="J56" i="13"/>
  <c r="J56" i="14"/>
  <c r="J56" i="16"/>
  <c r="J57" i="13"/>
  <c r="J57" i="16"/>
  <c r="J57" i="12"/>
  <c r="J57" i="11"/>
  <c r="J57" i="15"/>
  <c r="J20" i="13"/>
  <c r="J20" i="16"/>
  <c r="J19" i="9"/>
  <c r="J19" i="16"/>
  <c r="J19" i="13"/>
  <c r="J18" i="13"/>
  <c r="J18" i="16"/>
  <c r="J18" i="9"/>
  <c r="J17" i="16"/>
  <c r="J17" i="13"/>
  <c r="J17" i="9"/>
  <c r="J16" i="16"/>
  <c r="J16" i="9"/>
  <c r="J15" i="9"/>
  <c r="J14" i="11"/>
  <c r="J14" i="13"/>
  <c r="J14" i="14"/>
  <c r="J14" i="15"/>
  <c r="J14" i="12"/>
  <c r="J14" i="16"/>
  <c r="I62" i="5"/>
  <c r="J62" i="10" s="1"/>
  <c r="I66" i="5"/>
  <c r="J66" i="9" s="1"/>
  <c r="J113" i="5"/>
  <c r="J87" i="5"/>
  <c r="J149" i="5"/>
  <c r="I46" i="9"/>
  <c r="J56" i="10"/>
  <c r="J56" i="9"/>
  <c r="J56" i="8"/>
  <c r="J56" i="7"/>
  <c r="J14" i="10"/>
  <c r="J14" i="9"/>
  <c r="J14" i="7"/>
  <c r="J14" i="8"/>
  <c r="J57" i="8"/>
  <c r="J57" i="10"/>
  <c r="J57" i="9"/>
  <c r="I55" i="6"/>
  <c r="J55" i="13" s="1"/>
  <c r="I46" i="14"/>
  <c r="I46" i="13"/>
  <c r="I46" i="8"/>
  <c r="J57" i="6"/>
  <c r="J14" i="6"/>
  <c r="J56" i="6"/>
  <c r="I124" i="2"/>
  <c r="G51" i="2"/>
  <c r="G55" i="2"/>
  <c r="H40" i="2"/>
  <c r="H41" i="2"/>
  <c r="H42" i="2"/>
  <c r="H43" i="2"/>
  <c r="H45" i="2"/>
  <c r="H46" i="2"/>
  <c r="G44" i="2"/>
  <c r="G45" i="2"/>
  <c r="G26" i="2"/>
  <c r="D48" i="6" l="1"/>
  <c r="D47" i="6" s="1"/>
  <c r="D77" i="5"/>
  <c r="H44" i="2"/>
  <c r="H36" i="1"/>
  <c r="H32" i="1"/>
  <c r="H38" i="1"/>
  <c r="H31" i="1"/>
  <c r="J62" i="5"/>
  <c r="J66" i="7"/>
  <c r="J66" i="10"/>
  <c r="J66" i="8"/>
  <c r="J62" i="9"/>
  <c r="J62" i="7"/>
  <c r="H40" i="1"/>
  <c r="J62" i="8"/>
  <c r="J62" i="6"/>
  <c r="J66" i="6"/>
  <c r="J55" i="6"/>
  <c r="J55" i="11"/>
  <c r="J55" i="16"/>
  <c r="J55" i="12"/>
  <c r="J55" i="15"/>
  <c r="J55" i="14"/>
  <c r="J66" i="5"/>
  <c r="J66" i="16"/>
  <c r="J66" i="15"/>
  <c r="J66" i="14"/>
  <c r="J66" i="11"/>
  <c r="J66" i="12"/>
  <c r="J66" i="13"/>
  <c r="J62" i="16"/>
  <c r="J62" i="15"/>
  <c r="J62" i="14"/>
  <c r="J62" i="11"/>
  <c r="J62" i="12"/>
  <c r="J62" i="13"/>
  <c r="J112" i="5"/>
  <c r="J81" i="5"/>
  <c r="J55" i="8"/>
  <c r="J55" i="10"/>
  <c r="J55" i="9"/>
  <c r="J55" i="7"/>
  <c r="I46" i="6"/>
  <c r="I44" i="2"/>
  <c r="N11" i="23"/>
  <c r="L11" i="23"/>
  <c r="F11" i="23"/>
  <c r="N9" i="23"/>
  <c r="L9" i="23"/>
  <c r="F9" i="23"/>
  <c r="N7" i="23"/>
  <c r="L7" i="23"/>
  <c r="F7" i="23"/>
  <c r="N5" i="23"/>
  <c r="L5" i="23"/>
  <c r="F5" i="23"/>
  <c r="E28" i="3"/>
  <c r="E35" i="3" s="1"/>
  <c r="C70" i="17"/>
  <c r="C83" i="17" s="1"/>
  <c r="O76" i="17"/>
  <c r="O75" i="17"/>
  <c r="H30" i="1" l="1"/>
  <c r="O74" i="17"/>
  <c r="B83" i="17"/>
  <c r="O43" i="17"/>
  <c r="O46" i="17"/>
  <c r="O57" i="17"/>
  <c r="H109" i="2"/>
  <c r="N91" i="17"/>
  <c r="M91" i="17"/>
  <c r="L91" i="17"/>
  <c r="K91" i="17"/>
  <c r="J91" i="17"/>
  <c r="I91" i="17"/>
  <c r="H91" i="17"/>
  <c r="G91" i="17"/>
  <c r="F91" i="17"/>
  <c r="E91" i="17"/>
  <c r="D91" i="17"/>
  <c r="N30" i="17"/>
  <c r="N32" i="17" s="1"/>
  <c r="M30" i="17"/>
  <c r="M32" i="17" s="1"/>
  <c r="L30" i="17"/>
  <c r="L32" i="17" s="1"/>
  <c r="K30" i="17"/>
  <c r="K32" i="17" s="1"/>
  <c r="J30" i="17"/>
  <c r="J32" i="17" s="1"/>
  <c r="I30" i="17"/>
  <c r="I32" i="17" s="1"/>
  <c r="H30" i="17"/>
  <c r="H32" i="17" s="1"/>
  <c r="G30" i="17"/>
  <c r="G32" i="17" s="1"/>
  <c r="F30" i="17"/>
  <c r="F32" i="17" s="1"/>
  <c r="E30" i="17"/>
  <c r="E32" i="17" s="1"/>
  <c r="D30" i="17"/>
  <c r="D32" i="17" s="1"/>
  <c r="O77" i="17"/>
  <c r="B112" i="3" l="1"/>
  <c r="I50" i="5" l="1"/>
  <c r="I45" i="2"/>
  <c r="H38" i="2"/>
  <c r="H39" i="2"/>
  <c r="D29" i="1"/>
  <c r="O58" i="17"/>
  <c r="I52" i="5"/>
  <c r="B102" i="17"/>
  <c r="J50" i="16" l="1"/>
  <c r="J50" i="14"/>
  <c r="J50" i="15"/>
  <c r="J52" i="16"/>
  <c r="J52" i="15"/>
  <c r="J52" i="14"/>
  <c r="G41" i="2"/>
  <c r="I41" i="2" s="1"/>
  <c r="G39" i="2"/>
  <c r="I39" i="2" s="1"/>
  <c r="G40" i="2"/>
  <c r="I40" i="2" s="1"/>
  <c r="I53" i="5"/>
  <c r="J53" i="13" s="1"/>
  <c r="G42" i="2"/>
  <c r="I42" i="2" s="1"/>
  <c r="I54" i="5"/>
  <c r="J54" i="12" s="1"/>
  <c r="G43" i="2"/>
  <c r="I43" i="2" s="1"/>
  <c r="I51" i="5"/>
  <c r="C37" i="2"/>
  <c r="J52" i="8"/>
  <c r="J50" i="6"/>
  <c r="G38" i="2"/>
  <c r="J50" i="11"/>
  <c r="J50" i="12"/>
  <c r="J50" i="13"/>
  <c r="J50" i="10"/>
  <c r="J50" i="9"/>
  <c r="J52" i="12"/>
  <c r="J52" i="11"/>
  <c r="J52" i="13"/>
  <c r="J52" i="9"/>
  <c r="J52" i="10"/>
  <c r="J52" i="5"/>
  <c r="J50" i="5"/>
  <c r="J52" i="6"/>
  <c r="J50" i="7"/>
  <c r="J52" i="7"/>
  <c r="J51" i="8"/>
  <c r="J50" i="8"/>
  <c r="I49" i="5"/>
  <c r="D48" i="5" s="1"/>
  <c r="O52" i="17"/>
  <c r="O80" i="17"/>
  <c r="O51" i="17"/>
  <c r="J53" i="8" l="1"/>
  <c r="J54" i="8"/>
  <c r="J54" i="9"/>
  <c r="J53" i="12"/>
  <c r="J53" i="9"/>
  <c r="J53" i="11"/>
  <c r="J54" i="11"/>
  <c r="J53" i="10"/>
  <c r="J51" i="16"/>
  <c r="J51" i="14"/>
  <c r="J51" i="15"/>
  <c r="J51" i="7"/>
  <c r="J54" i="10"/>
  <c r="J54" i="13"/>
  <c r="J51" i="6"/>
  <c r="J51" i="5"/>
  <c r="J51" i="9"/>
  <c r="J54" i="7"/>
  <c r="J54" i="15"/>
  <c r="J54" i="16"/>
  <c r="J54" i="14"/>
  <c r="J53" i="14"/>
  <c r="J53" i="15"/>
  <c r="J53" i="7"/>
  <c r="J53" i="16"/>
  <c r="J54" i="5"/>
  <c r="J54" i="6"/>
  <c r="J53" i="5"/>
  <c r="J53" i="6"/>
  <c r="I38" i="2"/>
  <c r="J51" i="12"/>
  <c r="J51" i="13"/>
  <c r="J51" i="11"/>
  <c r="J51" i="10"/>
  <c r="J49" i="15"/>
  <c r="J49" i="5"/>
  <c r="J49" i="8"/>
  <c r="J49" i="14" l="1"/>
  <c r="J49" i="11"/>
  <c r="J49" i="16"/>
  <c r="J49" i="7"/>
  <c r="J49" i="13"/>
  <c r="J49" i="10"/>
  <c r="J49" i="12"/>
  <c r="J49" i="9"/>
  <c r="J49" i="6"/>
  <c r="O71" i="17" l="1"/>
  <c r="O78" i="17"/>
  <c r="O94" i="17"/>
  <c r="O93" i="17"/>
  <c r="G6" i="5"/>
  <c r="C59" i="1" s="1"/>
  <c r="G7" i="5"/>
  <c r="C60" i="1" s="1"/>
  <c r="B24" i="5" l="1"/>
  <c r="O49" i="17" l="1"/>
  <c r="O47" i="17"/>
  <c r="O48" i="17"/>
  <c r="O50" i="17"/>
  <c r="O14" i="17"/>
  <c r="H151" i="2"/>
  <c r="G21" i="2"/>
  <c r="H21" i="2" s="1"/>
  <c r="G22" i="2"/>
  <c r="G23" i="2"/>
  <c r="H23" i="2" s="1"/>
  <c r="G24" i="2"/>
  <c r="J19" i="5" l="1"/>
  <c r="J19" i="7"/>
  <c r="J19" i="8"/>
  <c r="J19" i="10"/>
  <c r="J19" i="12"/>
  <c r="J18" i="10"/>
  <c r="J18" i="8"/>
  <c r="J18" i="7"/>
  <c r="J18" i="12"/>
  <c r="J17" i="10"/>
  <c r="J17" i="7"/>
  <c r="J17" i="8"/>
  <c r="J17" i="12"/>
  <c r="J17" i="14"/>
  <c r="J20" i="5"/>
  <c r="J20" i="8"/>
  <c r="J20" i="7"/>
  <c r="J18" i="5"/>
  <c r="J18" i="6"/>
  <c r="J19" i="14"/>
  <c r="J19" i="6"/>
  <c r="J17" i="5"/>
  <c r="J17" i="6"/>
  <c r="O13" i="17"/>
  <c r="H131" i="2"/>
  <c r="H132" i="2"/>
  <c r="G5" i="5"/>
  <c r="H22" i="2"/>
  <c r="H24" i="2"/>
  <c r="H26" i="2"/>
  <c r="B140" i="17"/>
  <c r="B139" i="17"/>
  <c r="M70" i="17"/>
  <c r="M83" i="17" s="1"/>
  <c r="N70" i="17"/>
  <c r="N83" i="17" s="1"/>
  <c r="L70" i="17"/>
  <c r="L83" i="17" s="1"/>
  <c r="K70" i="17"/>
  <c r="K83" i="17" s="1"/>
  <c r="J70" i="17"/>
  <c r="J83" i="17" s="1"/>
  <c r="I70" i="17"/>
  <c r="I83" i="17" s="1"/>
  <c r="H70" i="17"/>
  <c r="H83" i="17" s="1"/>
  <c r="G70" i="17"/>
  <c r="G83" i="17" s="1"/>
  <c r="F70" i="17"/>
  <c r="F83" i="17" s="1"/>
  <c r="E70" i="17"/>
  <c r="E83" i="17" s="1"/>
  <c r="D70" i="17"/>
  <c r="D83" i="17" s="1"/>
  <c r="N41" i="17"/>
  <c r="M41" i="17"/>
  <c r="L41" i="17"/>
  <c r="K41" i="17"/>
  <c r="J41" i="17"/>
  <c r="I41" i="17"/>
  <c r="H41" i="17"/>
  <c r="N92" i="17"/>
  <c r="N99" i="17" s="1"/>
  <c r="M92" i="17"/>
  <c r="M99" i="17" s="1"/>
  <c r="L99" i="17"/>
  <c r="K92" i="17"/>
  <c r="K99" i="17" s="1"/>
  <c r="J92" i="17"/>
  <c r="J99" i="17" s="1"/>
  <c r="I92" i="17"/>
  <c r="I99" i="17" s="1"/>
  <c r="H92" i="17"/>
  <c r="H99" i="17" s="1"/>
  <c r="G92" i="17"/>
  <c r="G99" i="17" s="1"/>
  <c r="F92" i="17"/>
  <c r="F99" i="17" s="1"/>
  <c r="E92" i="17"/>
  <c r="E99" i="17" s="1"/>
  <c r="D92" i="17"/>
  <c r="D99" i="17" s="1"/>
  <c r="N15" i="17"/>
  <c r="M15" i="17"/>
  <c r="L15" i="17"/>
  <c r="K15" i="17"/>
  <c r="J15" i="17"/>
  <c r="I15" i="17"/>
  <c r="H15" i="17"/>
  <c r="G15" i="17"/>
  <c r="F15" i="17"/>
  <c r="E15" i="17"/>
  <c r="D15" i="17"/>
  <c r="C35" i="17"/>
  <c r="C11" i="17"/>
  <c r="C15" i="17" s="1"/>
  <c r="C91" i="17"/>
  <c r="C18" i="17"/>
  <c r="C27" i="17" s="1"/>
  <c r="C6" i="17"/>
  <c r="O6" i="17" s="1"/>
  <c r="C61" i="1"/>
  <c r="J15" i="5"/>
  <c r="I22" i="5"/>
  <c r="I25" i="5"/>
  <c r="J25" i="16" s="1"/>
  <c r="I26" i="5"/>
  <c r="H28" i="5"/>
  <c r="G13" i="2"/>
  <c r="I31" i="2"/>
  <c r="G28" i="2"/>
  <c r="H125" i="2"/>
  <c r="H138" i="2"/>
  <c r="H139" i="2"/>
  <c r="H140" i="2"/>
  <c r="H141" i="2"/>
  <c r="G20" i="2"/>
  <c r="G19" i="2"/>
  <c r="G17" i="2"/>
  <c r="H111" i="2"/>
  <c r="H112" i="2"/>
  <c r="H117" i="2"/>
  <c r="H107" i="2"/>
  <c r="H51" i="2"/>
  <c r="H52" i="2"/>
  <c r="H81" i="2"/>
  <c r="H82" i="2"/>
  <c r="H83" i="2"/>
  <c r="H84" i="2"/>
  <c r="H85" i="2"/>
  <c r="H86" i="2"/>
  <c r="H55" i="2"/>
  <c r="H57" i="2"/>
  <c r="H60" i="2"/>
  <c r="H61" i="2"/>
  <c r="H101" i="2"/>
  <c r="H102" i="2"/>
  <c r="H64" i="2"/>
  <c r="O91" i="17" l="1"/>
  <c r="C99" i="17"/>
  <c r="O99" i="17" s="1"/>
  <c r="C54" i="2"/>
  <c r="J89" i="5"/>
  <c r="J96" i="5"/>
  <c r="I125" i="2"/>
  <c r="C59" i="2"/>
  <c r="I132" i="2"/>
  <c r="O92" i="17"/>
  <c r="J83" i="5"/>
  <c r="G32" i="5"/>
  <c r="G46" i="2"/>
  <c r="I85" i="2"/>
  <c r="I84" i="2"/>
  <c r="I67" i="5"/>
  <c r="B54" i="2"/>
  <c r="I63" i="5"/>
  <c r="J63" i="7" s="1"/>
  <c r="G52" i="2"/>
  <c r="J107" i="5"/>
  <c r="J101" i="5"/>
  <c r="H20" i="2"/>
  <c r="H28" i="2"/>
  <c r="I86" i="2"/>
  <c r="H19" i="2"/>
  <c r="O41" i="17"/>
  <c r="C136" i="2"/>
  <c r="I131" i="2"/>
  <c r="I139" i="2"/>
  <c r="J26" i="16"/>
  <c r="J22" i="16"/>
  <c r="J15" i="16"/>
  <c r="I83" i="2"/>
  <c r="I140" i="2"/>
  <c r="I151" i="2"/>
  <c r="C130" i="2"/>
  <c r="J26" i="5"/>
  <c r="J26" i="8"/>
  <c r="J26" i="9"/>
  <c r="J26" i="10"/>
  <c r="J26" i="11"/>
  <c r="J26" i="12"/>
  <c r="J26" i="13"/>
  <c r="J26" i="6"/>
  <c r="J26" i="7"/>
  <c r="J26" i="14"/>
  <c r="J26" i="15"/>
  <c r="J25" i="7"/>
  <c r="J25" i="8"/>
  <c r="J25" i="10"/>
  <c r="J25" i="12"/>
  <c r="J25" i="15"/>
  <c r="J25" i="5"/>
  <c r="J25" i="6"/>
  <c r="J25" i="9"/>
  <c r="J25" i="11"/>
  <c r="J25" i="13"/>
  <c r="J25" i="14"/>
  <c r="J22" i="5"/>
  <c r="J22" i="8"/>
  <c r="J22" i="9"/>
  <c r="J22" i="10"/>
  <c r="J22" i="11"/>
  <c r="J22" i="12"/>
  <c r="J22" i="13"/>
  <c r="J22" i="6"/>
  <c r="J22" i="7"/>
  <c r="J22" i="14"/>
  <c r="J22" i="15"/>
  <c r="J20" i="10"/>
  <c r="J20" i="12"/>
  <c r="J20" i="6"/>
  <c r="J20" i="9"/>
  <c r="J20" i="11"/>
  <c r="J20" i="14"/>
  <c r="J18" i="11"/>
  <c r="J18" i="14"/>
  <c r="J16" i="7"/>
  <c r="J16" i="10"/>
  <c r="J16" i="12"/>
  <c r="J16" i="5"/>
  <c r="J16" i="6"/>
  <c r="J16" i="8"/>
  <c r="J16" i="11"/>
  <c r="J16" i="13"/>
  <c r="J16" i="14"/>
  <c r="J15" i="8"/>
  <c r="J15" i="10"/>
  <c r="J15" i="11"/>
  <c r="J15" i="12"/>
  <c r="J15" i="13"/>
  <c r="J15" i="6"/>
  <c r="J15" i="7"/>
  <c r="J15" i="14"/>
  <c r="I13" i="2"/>
  <c r="H91" i="2"/>
  <c r="H92" i="2"/>
  <c r="H87" i="2"/>
  <c r="C80" i="2" s="1"/>
  <c r="J67" i="6" l="1"/>
  <c r="J67" i="14"/>
  <c r="J67" i="15"/>
  <c r="J84" i="5"/>
  <c r="J97" i="5"/>
  <c r="J94" i="5"/>
  <c r="J93" i="5"/>
  <c r="H29" i="1"/>
  <c r="J63" i="6"/>
  <c r="J46" i="6" s="1"/>
  <c r="J108" i="5"/>
  <c r="J63" i="12"/>
  <c r="J128" i="5"/>
  <c r="I62" i="2"/>
  <c r="B59" i="2"/>
  <c r="D59" i="2" s="1"/>
  <c r="J88" i="5"/>
  <c r="J103" i="5"/>
  <c r="J63" i="5"/>
  <c r="J63" i="16"/>
  <c r="J63" i="15"/>
  <c r="J63" i="14"/>
  <c r="J63" i="11"/>
  <c r="J63" i="13"/>
  <c r="J63" i="8"/>
  <c r="J63" i="9"/>
  <c r="J63" i="10"/>
  <c r="J67" i="5"/>
  <c r="J67" i="16"/>
  <c r="J67" i="11"/>
  <c r="J67" i="13"/>
  <c r="J67" i="8"/>
  <c r="J67" i="10"/>
  <c r="J67" i="9"/>
  <c r="J95" i="5"/>
  <c r="J102" i="5"/>
  <c r="B47" i="5"/>
  <c r="D47" i="5"/>
  <c r="I46" i="2"/>
  <c r="D37" i="2" s="1"/>
  <c r="B37" i="2"/>
  <c r="J67" i="12"/>
  <c r="J67" i="7"/>
  <c r="I87" i="2"/>
  <c r="B130" i="2"/>
  <c r="J106" i="5"/>
  <c r="J57" i="5"/>
  <c r="J57" i="7"/>
  <c r="I46" i="5"/>
  <c r="G29" i="2"/>
  <c r="G31" i="2" s="1"/>
  <c r="H70" i="2"/>
  <c r="H71" i="2"/>
  <c r="I71" i="2" s="1"/>
  <c r="H72" i="2"/>
  <c r="I72" i="2" s="1"/>
  <c r="H73" i="2"/>
  <c r="H76" i="2"/>
  <c r="H77" i="2"/>
  <c r="I77" i="2" s="1"/>
  <c r="H78" i="2"/>
  <c r="I78" i="2" s="1"/>
  <c r="H95" i="2"/>
  <c r="H96" i="2"/>
  <c r="I96" i="2" s="1"/>
  <c r="H97" i="2"/>
  <c r="I97" i="2" s="1"/>
  <c r="H103" i="2"/>
  <c r="H120" i="2"/>
  <c r="C119" i="2" s="1"/>
  <c r="H128" i="2"/>
  <c r="C127" i="2" s="1"/>
  <c r="I111" i="2"/>
  <c r="B29" i="2"/>
  <c r="I117" i="2"/>
  <c r="D8" i="17"/>
  <c r="F8" i="17"/>
  <c r="I8" i="17"/>
  <c r="O27" i="17"/>
  <c r="O70" i="17"/>
  <c r="O72" i="17"/>
  <c r="O73" i="17"/>
  <c r="O89" i="17"/>
  <c r="B138" i="17"/>
  <c r="B141" i="17" s="1"/>
  <c r="E32" i="1"/>
  <c r="E34" i="1"/>
  <c r="C55" i="1"/>
  <c r="C63" i="1" s="1"/>
  <c r="B9" i="3"/>
  <c r="C9" i="3" s="1"/>
  <c r="B14" i="3"/>
  <c r="C14" i="3" s="1"/>
  <c r="B42" i="3"/>
  <c r="D6" i="3" s="1"/>
  <c r="D7" i="3"/>
  <c r="D8" i="3"/>
  <c r="D9" i="3"/>
  <c r="G11" i="8" s="1"/>
  <c r="B97" i="3"/>
  <c r="D10" i="3" s="1"/>
  <c r="G11" i="9" s="1"/>
  <c r="D11" i="3"/>
  <c r="G11" i="10" s="1"/>
  <c r="B125" i="3"/>
  <c r="D12" i="3" s="1"/>
  <c r="G11" i="11" s="1"/>
  <c r="H33" i="11" s="1"/>
  <c r="D13" i="3"/>
  <c r="G11" i="12" s="1"/>
  <c r="D14" i="3"/>
  <c r="G11" i="13" s="1"/>
  <c r="D15" i="3"/>
  <c r="G11" i="14" s="1"/>
  <c r="D16" i="3"/>
  <c r="G11" i="15" s="1"/>
  <c r="D17" i="3"/>
  <c r="G11" i="16" s="1"/>
  <c r="E37" i="1"/>
  <c r="B15" i="3"/>
  <c r="C15" i="3" s="1"/>
  <c r="E38" i="1"/>
  <c r="E39" i="1"/>
  <c r="E31" i="1"/>
  <c r="B8" i="3"/>
  <c r="C8" i="3" s="1"/>
  <c r="I57" i="2"/>
  <c r="E33" i="1"/>
  <c r="B10" i="3"/>
  <c r="C10" i="3" s="1"/>
  <c r="B127" i="2"/>
  <c r="B16" i="3"/>
  <c r="C16" i="3" s="1"/>
  <c r="B119" i="2"/>
  <c r="I103" i="2"/>
  <c r="B11" i="3"/>
  <c r="C11" i="3" s="1"/>
  <c r="I60" i="2"/>
  <c r="I91" i="2"/>
  <c r="I52" i="2"/>
  <c r="I55" i="2"/>
  <c r="I141" i="2"/>
  <c r="C50" i="2"/>
  <c r="C36" i="2" s="1"/>
  <c r="I82" i="2"/>
  <c r="E35" i="1"/>
  <c r="B12" i="3"/>
  <c r="C12" i="3" s="1"/>
  <c r="B17" i="3"/>
  <c r="C17" i="3" s="1"/>
  <c r="E40" i="1"/>
  <c r="B7" i="3"/>
  <c r="C7" i="3" s="1"/>
  <c r="E30" i="1"/>
  <c r="I92" i="2"/>
  <c r="J8" i="17"/>
  <c r="I64" i="2"/>
  <c r="E36" i="1"/>
  <c r="B13" i="3"/>
  <c r="C13" i="3" s="1"/>
  <c r="I109" i="2"/>
  <c r="J46" i="7" l="1"/>
  <c r="I11" i="8"/>
  <c r="I28" i="8" s="1"/>
  <c r="G30" i="1"/>
  <c r="O83" i="17"/>
  <c r="C75" i="2"/>
  <c r="J46" i="8"/>
  <c r="J46" i="9"/>
  <c r="J46" i="5"/>
  <c r="E37" i="3"/>
  <c r="G11" i="5"/>
  <c r="G8" i="17"/>
  <c r="E8" i="17"/>
  <c r="O7" i="17"/>
  <c r="B4" i="5"/>
  <c r="H6" i="3"/>
  <c r="H7" i="3" s="1"/>
  <c r="H8" i="3" s="1"/>
  <c r="H9" i="3" s="1"/>
  <c r="H10" i="3" s="1"/>
  <c r="H11" i="3" s="1"/>
  <c r="H12" i="3" s="1"/>
  <c r="H13" i="3" s="1"/>
  <c r="F17" i="3"/>
  <c r="F14" i="3"/>
  <c r="F12" i="3"/>
  <c r="F13" i="3"/>
  <c r="F7" i="3"/>
  <c r="D21" i="3"/>
  <c r="D22" i="3" s="1"/>
  <c r="H29" i="2"/>
  <c r="I73" i="2"/>
  <c r="B94" i="2"/>
  <c r="C122" i="2"/>
  <c r="C69" i="2"/>
  <c r="H90" i="2"/>
  <c r="C89" i="2" s="1"/>
  <c r="C106" i="2"/>
  <c r="D130" i="2"/>
  <c r="I76" i="2"/>
  <c r="I81" i="2"/>
  <c r="B80" i="2"/>
  <c r="D80" i="2" s="1"/>
  <c r="C94" i="2"/>
  <c r="I70" i="2"/>
  <c r="I107" i="2"/>
  <c r="I51" i="2"/>
  <c r="I61" i="2"/>
  <c r="I112" i="2"/>
  <c r="I95" i="2"/>
  <c r="C100" i="2"/>
  <c r="I101" i="2"/>
  <c r="I102" i="2"/>
  <c r="D127" i="2"/>
  <c r="B122" i="2"/>
  <c r="B75" i="2"/>
  <c r="C8" i="17"/>
  <c r="D54" i="2"/>
  <c r="O18" i="17"/>
  <c r="B106" i="2"/>
  <c r="B50" i="2"/>
  <c r="B36" i="2" s="1"/>
  <c r="F16" i="3"/>
  <c r="I120" i="2"/>
  <c r="D119" i="2" s="1"/>
  <c r="F15" i="3"/>
  <c r="F9" i="3"/>
  <c r="D42" i="1"/>
  <c r="O30" i="17"/>
  <c r="O32" i="17" s="1"/>
  <c r="O11" i="17"/>
  <c r="H8" i="17"/>
  <c r="B89" i="2"/>
  <c r="I128" i="2"/>
  <c r="B69" i="2"/>
  <c r="F8" i="3"/>
  <c r="F11" i="3"/>
  <c r="F10" i="3"/>
  <c r="G32" i="1" l="1"/>
  <c r="I11" i="6"/>
  <c r="I28" i="6" s="1"/>
  <c r="B11" i="16"/>
  <c r="E11" i="16"/>
  <c r="G31" i="16"/>
  <c r="G33" i="16" s="1"/>
  <c r="B11" i="6"/>
  <c r="G31" i="6"/>
  <c r="G33" i="6" s="1"/>
  <c r="C30" i="1" s="1"/>
  <c r="E11" i="6"/>
  <c r="G31" i="15"/>
  <c r="G33" i="15" s="1"/>
  <c r="B11" i="15"/>
  <c r="E11" i="15"/>
  <c r="B11" i="14"/>
  <c r="E11" i="14"/>
  <c r="G31" i="14"/>
  <c r="G33" i="14" s="1"/>
  <c r="B11" i="9"/>
  <c r="E11" i="9"/>
  <c r="G31" i="9"/>
  <c r="G33" i="9" s="1"/>
  <c r="B11" i="7"/>
  <c r="E11" i="7"/>
  <c r="G31" i="7"/>
  <c r="G33" i="7" s="1"/>
  <c r="B11" i="10"/>
  <c r="E11" i="10"/>
  <c r="G31" i="10"/>
  <c r="B11" i="11"/>
  <c r="G31" i="11"/>
  <c r="G33" i="11" s="1"/>
  <c r="E11" i="11"/>
  <c r="B11" i="13"/>
  <c r="E11" i="13"/>
  <c r="G31" i="13"/>
  <c r="G33" i="13" s="1"/>
  <c r="B11" i="8"/>
  <c r="E11" i="8"/>
  <c r="G31" i="8"/>
  <c r="G33" i="8" s="1"/>
  <c r="C32" i="1" s="1"/>
  <c r="B11" i="12"/>
  <c r="G31" i="12"/>
  <c r="G33" i="12" s="1"/>
  <c r="E11" i="12"/>
  <c r="C66" i="2"/>
  <c r="B66" i="2"/>
  <c r="G40" i="1"/>
  <c r="G39" i="1"/>
  <c r="G38" i="1"/>
  <c r="G37" i="1"/>
  <c r="G36" i="1"/>
  <c r="G35" i="1"/>
  <c r="G34" i="1"/>
  <c r="G33" i="1"/>
  <c r="G31" i="1"/>
  <c r="G31" i="5"/>
  <c r="G33" i="5" s="1"/>
  <c r="C35" i="2"/>
  <c r="D75" i="2"/>
  <c r="E38" i="3"/>
  <c r="F38" i="3"/>
  <c r="F37" i="3"/>
  <c r="E29" i="1"/>
  <c r="E42" i="1" s="1"/>
  <c r="I11" i="16"/>
  <c r="I28" i="16" s="1"/>
  <c r="I11" i="15"/>
  <c r="I28" i="15" s="1"/>
  <c r="I11" i="14"/>
  <c r="I28" i="14" s="1"/>
  <c r="I11" i="13"/>
  <c r="I28" i="13" s="1"/>
  <c r="I11" i="12"/>
  <c r="I28" i="12" s="1"/>
  <c r="I11" i="11"/>
  <c r="I28" i="11" s="1"/>
  <c r="I11" i="10"/>
  <c r="I28" i="10" s="1"/>
  <c r="I11" i="9"/>
  <c r="I28" i="9" s="1"/>
  <c r="I11" i="7"/>
  <c r="I28" i="7" s="1"/>
  <c r="D50" i="2"/>
  <c r="D36" i="2" s="1"/>
  <c r="B32" i="2"/>
  <c r="H14" i="3"/>
  <c r="H15" i="3" s="1"/>
  <c r="H16" i="3" s="1"/>
  <c r="H17" i="3" s="1"/>
  <c r="B11" i="5"/>
  <c r="G29" i="1"/>
  <c r="I11" i="5"/>
  <c r="F17" i="2"/>
  <c r="D100" i="2"/>
  <c r="D106" i="2"/>
  <c r="D122" i="2"/>
  <c r="B6" i="3"/>
  <c r="O8" i="17"/>
  <c r="E11" i="5"/>
  <c r="D89" i="2"/>
  <c r="D94" i="2"/>
  <c r="I90" i="2"/>
  <c r="D69" i="2"/>
  <c r="D66" i="2" l="1"/>
  <c r="J43" i="1"/>
  <c r="E46" i="1"/>
  <c r="F6" i="3"/>
  <c r="B21" i="3"/>
  <c r="D23" i="3" s="1"/>
  <c r="C35" i="1"/>
  <c r="F35" i="1"/>
  <c r="C39" i="1"/>
  <c r="F39" i="1"/>
  <c r="F40" i="1"/>
  <c r="C29" i="1"/>
  <c r="C36" i="1"/>
  <c r="F36" i="1"/>
  <c r="C37" i="1"/>
  <c r="F37" i="1"/>
  <c r="C38" i="1"/>
  <c r="F38" i="1"/>
  <c r="C31" i="1"/>
  <c r="D42" i="17"/>
  <c r="D37" i="17"/>
  <c r="F42" i="17"/>
  <c r="F59" i="17" s="1"/>
  <c r="F37" i="17"/>
  <c r="J11" i="16"/>
  <c r="J28" i="16" s="1"/>
  <c r="J11" i="15"/>
  <c r="J28" i="15" s="1"/>
  <c r="J11" i="14"/>
  <c r="J28" i="14" s="1"/>
  <c r="J11" i="11"/>
  <c r="J28" i="11" s="1"/>
  <c r="J11" i="13"/>
  <c r="J28" i="13" s="1"/>
  <c r="J11" i="12"/>
  <c r="J28" i="12" s="1"/>
  <c r="J11" i="8"/>
  <c r="J11" i="10"/>
  <c r="J28" i="10" s="1"/>
  <c r="J11" i="7"/>
  <c r="J28" i="7" s="1"/>
  <c r="J11" i="6"/>
  <c r="J28" i="6" s="1"/>
  <c r="J11" i="9"/>
  <c r="J28" i="9" s="1"/>
  <c r="J11" i="5"/>
  <c r="J28" i="5" s="1"/>
  <c r="I28" i="5"/>
  <c r="J28" i="8"/>
  <c r="H17" i="2"/>
  <c r="H31" i="2" s="1"/>
  <c r="F31" i="2"/>
  <c r="G6" i="3"/>
  <c r="C6" i="3"/>
  <c r="C21" i="3" s="1"/>
  <c r="O12" i="17"/>
  <c r="O15" i="17" s="1"/>
  <c r="G42" i="1"/>
  <c r="C40" i="1" l="1"/>
  <c r="N13" i="23"/>
  <c r="C33" i="1"/>
  <c r="J42" i="1"/>
  <c r="C42" i="17"/>
  <c r="C37" i="17"/>
  <c r="E37" i="17"/>
  <c r="E42" i="17"/>
  <c r="E59" i="17" s="1"/>
  <c r="J42" i="17"/>
  <c r="J37" i="17"/>
  <c r="L42" i="17"/>
  <c r="L37" i="17"/>
  <c r="N42" i="17"/>
  <c r="G37" i="17"/>
  <c r="I37" i="17"/>
  <c r="I42" i="17"/>
  <c r="K42" i="17"/>
  <c r="K37" i="17"/>
  <c r="M42" i="17"/>
  <c r="M37" i="17"/>
  <c r="O35" i="17"/>
  <c r="F42" i="1"/>
  <c r="D59" i="17"/>
  <c r="I6" i="3"/>
  <c r="G7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L59" i="17" l="1"/>
  <c r="I59" i="17"/>
  <c r="I61" i="17" s="1"/>
  <c r="K59" i="17"/>
  <c r="J59" i="17"/>
  <c r="J61" i="17" s="1"/>
  <c r="N37" i="17"/>
  <c r="G42" i="17"/>
  <c r="C59" i="17"/>
  <c r="I7" i="3"/>
  <c r="G8" i="3"/>
  <c r="G59" i="17" l="1"/>
  <c r="L13" i="23"/>
  <c r="I8" i="3"/>
  <c r="G9" i="3"/>
  <c r="F13" i="23" l="1"/>
  <c r="G10" i="3"/>
  <c r="I9" i="3"/>
  <c r="I10" i="3" l="1"/>
  <c r="G11" i="3"/>
  <c r="I11" i="3" l="1"/>
  <c r="G12" i="3"/>
  <c r="I12" i="3" l="1"/>
  <c r="G13" i="3"/>
  <c r="G14" i="3" l="1"/>
  <c r="I14" i="3" s="1"/>
  <c r="I13" i="3"/>
  <c r="G15" i="3" l="1"/>
  <c r="G16" i="3" s="1"/>
  <c r="I15" i="3" l="1"/>
  <c r="G17" i="3"/>
  <c r="I17" i="3" s="1"/>
  <c r="I16" i="3"/>
  <c r="I138" i="2" l="1"/>
  <c r="A139" i="2"/>
  <c r="H37" i="17" l="1"/>
  <c r="O37" i="17" s="1"/>
  <c r="C42" i="1"/>
  <c r="C51" i="1" s="1"/>
  <c r="H59" i="17"/>
  <c r="H61" i="17" s="1"/>
  <c r="O59" i="17" l="1"/>
  <c r="O61" i="17" s="1"/>
  <c r="O42" i="17"/>
  <c r="P59" i="17" s="1"/>
  <c r="H34" i="1" l="1"/>
  <c r="H42" i="1" s="1"/>
  <c r="H47" i="1" l="1"/>
  <c r="J45" i="1"/>
  <c r="H50" i="1"/>
  <c r="J47" i="1" l="1"/>
  <c r="H49" i="1"/>
  <c r="J46" i="16" l="1"/>
  <c r="J46" i="12"/>
  <c r="J46" i="11"/>
  <c r="J157" i="16"/>
  <c r="J157" i="12"/>
  <c r="J157" i="11"/>
  <c r="D147" i="10"/>
  <c r="I35" i="2"/>
  <c r="I146" i="2"/>
  <c r="G35" i="2"/>
  <c r="A146" i="2"/>
  <c r="J157" i="13"/>
  <c r="J46" i="13"/>
  <c r="B147" i="10"/>
  <c r="A157" i="10"/>
  <c r="G46" i="10"/>
  <c r="I46" i="10"/>
  <c r="B35" i="2"/>
  <c r="H24" i="17"/>
  <c r="O24" i="17"/>
  <c r="O19" i="17"/>
  <c r="J157" i="10"/>
  <c r="J46" i="10"/>
  <c r="J157" i="15"/>
  <c r="J46" i="15"/>
  <c r="I157" i="10"/>
  <c r="J157" i="14"/>
  <c r="J46" i="14"/>
  <c r="G157" i="10"/>
  <c r="G146" i="2"/>
  <c r="B136" i="2"/>
  <c r="D136" i="2"/>
  <c r="D35" i="2"/>
</calcChain>
</file>

<file path=xl/sharedStrings.xml><?xml version="1.0" encoding="utf-8"?>
<sst xmlns="http://schemas.openxmlformats.org/spreadsheetml/2006/main" count="4064" uniqueCount="1085">
  <si>
    <t>YEAR</t>
  </si>
  <si>
    <t>Financial Goal:</t>
  </si>
  <si>
    <t>NET SAVING</t>
  </si>
  <si>
    <t>TAX/Refund</t>
  </si>
  <si>
    <t>INCOME</t>
  </si>
  <si>
    <t>OFFERING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</si>
  <si>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</si>
  <si>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</si>
  <si>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</si>
  <si>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</si>
  <si>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</si>
  <si>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</si>
  <si>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</si>
  <si>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</si>
  <si>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</si>
  <si>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</si>
  <si>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</si>
  <si>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</si>
  <si>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offering rate</t>
  </si>
  <si>
    <t>monthly mortgage paym't</t>
  </si>
  <si>
    <t>other expenses</t>
  </si>
  <si>
    <t>monthly w/ mortgage</t>
  </si>
  <si>
    <t>Income Breakdown:</t>
  </si>
  <si>
    <t>After Tax</t>
  </si>
  <si>
    <t>Teaching:</t>
  </si>
  <si>
    <t>Electricity</t>
  </si>
  <si>
    <t>Water</t>
  </si>
  <si>
    <t>Allowance</t>
  </si>
  <si>
    <t>TOTAL</t>
  </si>
  <si>
    <t>ANNUAL EXPENSES (Actual vs. Budgeting)</t>
  </si>
  <si>
    <t xml:space="preserve">Actual </t>
  </si>
  <si>
    <t>Under/(Over)</t>
  </si>
  <si>
    <t>YTD Total</t>
  </si>
  <si>
    <t>Annual Budget</t>
  </si>
  <si>
    <t>Available</t>
  </si>
  <si>
    <t>Monthly Bgt</t>
  </si>
  <si>
    <t>Cell phone</t>
  </si>
  <si>
    <t>Insurance:</t>
  </si>
  <si>
    <t>Car Insurance</t>
  </si>
  <si>
    <t>Life Insurance Premium</t>
  </si>
  <si>
    <t>Home Maintenance:</t>
  </si>
  <si>
    <t>Living:</t>
  </si>
  <si>
    <t>Cash Allowance</t>
  </si>
  <si>
    <t>Clothes &amp; Shoes</t>
  </si>
  <si>
    <t>Car:</t>
  </si>
  <si>
    <t>CK's meal at work w/coworkers</t>
  </si>
  <si>
    <t>Education:</t>
  </si>
  <si>
    <t>BJU Curriculumn</t>
  </si>
  <si>
    <t>Admission fee to parks, museums</t>
  </si>
  <si>
    <t>Lodge, hotel</t>
  </si>
  <si>
    <t>Gifts to family members</t>
  </si>
  <si>
    <t>Gifts to others</t>
  </si>
  <si>
    <t>Medical &amp; Health</t>
  </si>
  <si>
    <t>Vitamins, co-pay, out of pocket etc.</t>
  </si>
  <si>
    <t>Misc</t>
  </si>
  <si>
    <t>Proverbs 3:9</t>
  </si>
  <si>
    <t>“HONOR the Lord with your wealth, with the FIRST fruits of all your crops”</t>
  </si>
  <si>
    <t>Income</t>
  </si>
  <si>
    <t>Goal 10%</t>
  </si>
  <si>
    <t>Realized Giving</t>
  </si>
  <si>
    <t>Fund to Allocate</t>
  </si>
  <si>
    <t>Realized giving %</t>
  </si>
  <si>
    <t>Acc. Income</t>
  </si>
  <si>
    <t>Accum Giving</t>
  </si>
  <si>
    <t>Acc. %</t>
  </si>
  <si>
    <t>Total</t>
  </si>
  <si>
    <t>Avg monthly</t>
  </si>
  <si>
    <t>giving %</t>
  </si>
  <si>
    <t>Budgeted Amt</t>
  </si>
  <si>
    <t xml:space="preserve">Realized </t>
  </si>
  <si>
    <t>Receipt?</t>
  </si>
  <si>
    <t>Baptist Mid Mission</t>
  </si>
  <si>
    <t>Kirk Lehner</t>
  </si>
  <si>
    <t>EMU International</t>
  </si>
  <si>
    <t>Tim &amp; Ruth Bixby</t>
  </si>
  <si>
    <t>CEF Greater NYC</t>
  </si>
  <si>
    <t>monthly</t>
  </si>
  <si>
    <t xml:space="preserve"> </t>
  </si>
  <si>
    <t>weekly</t>
  </si>
  <si>
    <t>DETAILED GIVING ALLOCATION:</t>
  </si>
  <si>
    <t>ck#</t>
  </si>
  <si>
    <t>date</t>
  </si>
  <si>
    <t>Amt $</t>
  </si>
  <si>
    <t>Note</t>
  </si>
  <si>
    <t>South Pacific</t>
  </si>
  <si>
    <t>Elisa &amp; Helen Teo</t>
  </si>
  <si>
    <t>Chinese children in NYC</t>
  </si>
  <si>
    <t>NYC</t>
  </si>
  <si>
    <t>Jan</t>
  </si>
  <si>
    <t>Feb</t>
  </si>
  <si>
    <t>Mar</t>
  </si>
  <si>
    <t>Apr</t>
  </si>
  <si>
    <t>Jun</t>
  </si>
  <si>
    <t>Jul</t>
  </si>
  <si>
    <t>*</t>
  </si>
  <si>
    <t>Aug</t>
  </si>
  <si>
    <t>Sep</t>
  </si>
  <si>
    <t>Oct</t>
  </si>
  <si>
    <t>Nov</t>
  </si>
  <si>
    <t>Dec</t>
  </si>
  <si>
    <t>Month</t>
  </si>
  <si>
    <t>^</t>
  </si>
  <si>
    <t>Year</t>
  </si>
  <si>
    <t>Liberty Univ.</t>
  </si>
  <si>
    <t>Withheld</t>
  </si>
  <si>
    <t>Gifts to CK's parents</t>
  </si>
  <si>
    <t>Actual Total</t>
  </si>
  <si>
    <t>Cash/Check</t>
  </si>
  <si>
    <t>Home Improvement:</t>
  </si>
  <si>
    <t>SUBACCOUNTS</t>
  </si>
  <si>
    <t>Carryover</t>
  </si>
  <si>
    <t>prior year</t>
  </si>
  <si>
    <t>Distribution</t>
  </si>
  <si>
    <t>Balance</t>
  </si>
  <si>
    <t>Frances' allowance</t>
  </si>
  <si>
    <t>(Principal $10000, APR 5%)</t>
  </si>
  <si>
    <t>04/26/2010 balance</t>
  </si>
  <si>
    <t>2/26/2012 Balance</t>
  </si>
  <si>
    <t>I owe Dad (Principal) from 4/26/10</t>
  </si>
  <si>
    <t>Interest total</t>
  </si>
  <si>
    <t>Chris' Job Related Travel Log</t>
  </si>
  <si>
    <t>Travel To</t>
  </si>
  <si>
    <t>SAS Conference</t>
  </si>
  <si>
    <t>Kids College Fund</t>
  </si>
  <si>
    <t>EMERGENCY FUND</t>
  </si>
  <si>
    <t>AT&amp;T</t>
  </si>
  <si>
    <t>Home Indoor Appliance &amp; maintenance</t>
  </si>
  <si>
    <t>Yard tools maintenance (mowner, snow thrower)</t>
  </si>
  <si>
    <t>Offering/Giving</t>
  </si>
  <si>
    <t>Allowance to CK's Parents</t>
  </si>
  <si>
    <t>Allowance to FC's Parents</t>
  </si>
  <si>
    <t>FC's pocket money</t>
  </si>
  <si>
    <t xml:space="preserve">Loan (Lender: FC's Dad.. </t>
  </si>
  <si>
    <t>Plan to save for emergency fund</t>
  </si>
  <si>
    <t>Vacation - Food/Eat Out</t>
  </si>
  <si>
    <t>Vacation Transportation exp. (Gas, Airfare. Train etc)</t>
  </si>
  <si>
    <t>Gifts</t>
  </si>
  <si>
    <t xml:space="preserve"> to Sunday school teachers, shower gifts</t>
  </si>
  <si>
    <t>Art Purchase (not budgeted, taken out from emergency fund)</t>
  </si>
  <si>
    <t>Annual Income</t>
  </si>
  <si>
    <t>Monthly Income</t>
  </si>
  <si>
    <t>OFFERING/GIVING</t>
  </si>
  <si>
    <t>AVAILABLE FOR EXPENSE</t>
  </si>
  <si>
    <t>GIVING %</t>
  </si>
  <si>
    <t>DEBT</t>
  </si>
  <si>
    <t>SAVING</t>
  </si>
  <si>
    <t>Carry-Over</t>
  </si>
  <si>
    <t>Annual Bdgt</t>
  </si>
  <si>
    <t>Avaiable</t>
  </si>
  <si>
    <t>PRIOR YEAR FEDERAL/STATE TAX REFUND</t>
  </si>
  <si>
    <t>Extra saving to emergency fund</t>
  </si>
  <si>
    <t>Prior year TAX REFUND</t>
  </si>
  <si>
    <t>(Principal $18750, APR 6%)</t>
  </si>
  <si>
    <t>$18750 in July 2009 to July 2010</t>
  </si>
  <si>
    <t>$10000 in 12/10</t>
  </si>
  <si>
    <t>Medical Insurance Exp. (CK's Parents)</t>
  </si>
  <si>
    <t>Medical Insurance Exp. (FC's Parents)</t>
  </si>
  <si>
    <t>Medical Insurance Exp. (CK's parents)</t>
  </si>
  <si>
    <t>Medical Insurance Exp. (FC's parents)</t>
  </si>
  <si>
    <t>Extra to CK's Parents</t>
  </si>
  <si>
    <t>Extra to FC's Parents</t>
  </si>
  <si>
    <t>Medical Insurance Premium</t>
  </si>
  <si>
    <t>Insurance Premium Distribution</t>
  </si>
  <si>
    <t>Extra to cover Property Tax</t>
  </si>
  <si>
    <t>Necessities (non-food) ie. Tissues, detergent, shampoo, cookware etc</t>
  </si>
  <si>
    <t>Outdoor yard (Seeding, fertilizers, plants, lawn service etc.)</t>
  </si>
  <si>
    <t xml:space="preserve"> Allowance Distribution</t>
  </si>
  <si>
    <t>Monthly Budgeted</t>
  </si>
  <si>
    <t>MONTH-END SAVING (to emergency fd)</t>
  </si>
  <si>
    <t>Extra for Income Tax</t>
  </si>
  <si>
    <t>Budgeted College Fund</t>
  </si>
  <si>
    <t>Extra from Emergency Fund to College</t>
  </si>
  <si>
    <t>DISTRIBUTION:</t>
  </si>
  <si>
    <t>FC's Dad Account***</t>
  </si>
  <si>
    <t>Extra Interest</t>
  </si>
  <si>
    <t>FC's allowance saved for kids</t>
  </si>
  <si>
    <t>Borrowed to fund CK&amp;FC ETF investment in summer of 2009/2010, but it ended up with big loss. Paid off 12/7/12.</t>
  </si>
  <si>
    <t>Borrowed to pay our mortgage in Dec. 2010.  Paid off loan 5/5/12</t>
  </si>
  <si>
    <t>For future care (medical)</t>
  </si>
  <si>
    <t>Net Total College Fund</t>
  </si>
  <si>
    <t>Net Total Emergency Fd</t>
  </si>
  <si>
    <t>To CDs account/Investent</t>
  </si>
  <si>
    <t>Cash Reward</t>
  </si>
  <si>
    <t>For allowance</t>
  </si>
  <si>
    <t>WITHHELD*</t>
  </si>
  <si>
    <t>Related purchase cost, appraisal report</t>
  </si>
  <si>
    <t xml:space="preserve">Mortgage </t>
  </si>
  <si>
    <t>(1241-1251 Adams Street, Unit504, Dorchester, MA 02124)</t>
  </si>
  <si>
    <t>Lend to Adam Bonett (Car Loan)</t>
  </si>
  <si>
    <t>Financial Result:</t>
  </si>
  <si>
    <t>$62,000,@3% apr, 48 months</t>
  </si>
  <si>
    <t>(Tax Return 2106-EZ)</t>
  </si>
  <si>
    <t>TEACHING CONTRACTS:</t>
  </si>
  <si>
    <t>School</t>
  </si>
  <si>
    <t>Per session</t>
  </si>
  <si>
    <t># of sessions</t>
  </si>
  <si>
    <t xml:space="preserve">Liberty University </t>
  </si>
  <si>
    <t>Online Internet Class</t>
  </si>
  <si>
    <t>8 weeks</t>
  </si>
  <si>
    <t>Manchester, NH</t>
  </si>
  <si>
    <t>Rental Income</t>
  </si>
  <si>
    <t>2. Parking fees, tolls, and transportation, including train, bus, etc., that did not involve overnight travel or commuting to and from work.</t>
  </si>
  <si>
    <t>Mass Pike</t>
  </si>
  <si>
    <t>Boston Express</t>
  </si>
  <si>
    <t>capital one</t>
  </si>
  <si>
    <t>Subway</t>
  </si>
  <si>
    <t>Parking</t>
  </si>
  <si>
    <t>3. Travel expense while away from home overnight, incl. lodging, airplane, car rental, etc.  Do not include meals and entertainment.</t>
  </si>
  <si>
    <t>4. Business expenses not included on lines 1 through 3.  Do not include meals and entertainment.</t>
  </si>
  <si>
    <t>TOTAL #4</t>
  </si>
  <si>
    <t>Cell phone (Statistic work @ Liberty Mutual special projects, teaching &amp; traveling to attend professional conference)</t>
  </si>
  <si>
    <t>Capital One</t>
  </si>
  <si>
    <t>Internet Access (On-line teaching, Liberty Mutual work at home, UNH,  DWC teaching)</t>
  </si>
  <si>
    <t>Comcast.com</t>
  </si>
  <si>
    <t xml:space="preserve">Internet </t>
  </si>
  <si>
    <t>Skype Communication</t>
  </si>
  <si>
    <t>Amazon.com</t>
  </si>
  <si>
    <t>Book</t>
  </si>
  <si>
    <t xml:space="preserve">capital one </t>
  </si>
  <si>
    <t>BJU Press</t>
  </si>
  <si>
    <t>Office Supplies for Teaching Handouts, Exam papers &amp; Prints</t>
  </si>
  <si>
    <t>Staples</t>
  </si>
  <si>
    <t>printer ink</t>
  </si>
  <si>
    <t>USPS</t>
  </si>
  <si>
    <t>Paper</t>
  </si>
  <si>
    <t>1/28/12</t>
  </si>
  <si>
    <t>Walmart (electronic)</t>
  </si>
  <si>
    <t>iPod $195</t>
  </si>
  <si>
    <t>4/28/12</t>
  </si>
  <si>
    <t>Brookstone</t>
  </si>
  <si>
    <t>iPad cover $49.99</t>
  </si>
  <si>
    <t>Apple Store</t>
  </si>
  <si>
    <t>iPad &amp; accessories $438</t>
  </si>
  <si>
    <t>7/16/12</t>
  </si>
  <si>
    <t>Printer $399</t>
  </si>
  <si>
    <t>5. Meals and entertainment expensesX 50%</t>
  </si>
  <si>
    <t>50% of #5 total</t>
  </si>
  <si>
    <t>Dunkin</t>
  </si>
  <si>
    <t>Eurest Dinning</t>
  </si>
  <si>
    <t>Boston meeting</t>
  </si>
  <si>
    <t>Walmart</t>
  </si>
  <si>
    <t>Pho 88</t>
  </si>
  <si>
    <t>Pho Pasteur</t>
  </si>
  <si>
    <t>UNH Teaching</t>
  </si>
  <si>
    <t>CPCA Exam</t>
  </si>
  <si>
    <t>Mileage</t>
  </si>
  <si>
    <t>Real Estate Tax</t>
  </si>
  <si>
    <t>Liberty University</t>
  </si>
  <si>
    <t>Total Teaching</t>
  </si>
  <si>
    <t>TOTAL INCOME</t>
  </si>
  <si>
    <t>5/31/13</t>
  </si>
  <si>
    <t>Pho Hoa Restaurant</t>
  </si>
  <si>
    <t>Dumpling Café</t>
  </si>
  <si>
    <t>Nathan's own saving (work income)</t>
  </si>
  <si>
    <t>Eileen's own saving (work income)</t>
  </si>
  <si>
    <t>Net Income</t>
  </si>
  <si>
    <t>Rec'd Date</t>
  </si>
  <si>
    <t>CHILDREN'S</t>
  </si>
  <si>
    <t>Toby &amp; Susan Stevens</t>
  </si>
  <si>
    <t>6/21/13</t>
  </si>
  <si>
    <t>To Investment Acct (TradeKing)</t>
  </si>
  <si>
    <t>Deficit in In-laws Carryover</t>
  </si>
  <si>
    <t>Starbucks</t>
  </si>
  <si>
    <t>$</t>
  </si>
  <si>
    <t>Training Chinese home church pastors in China</t>
  </si>
  <si>
    <t>Money from Grandparents KUO to Nathan</t>
  </si>
  <si>
    <t>Money from Grandparents KUO to Eileen</t>
  </si>
  <si>
    <t>Sponsor Date</t>
  </si>
  <si>
    <t>4. CK's 2014 salary increase $6000 (after tax about 4300) and bonus all go to Adams Street extra principal.</t>
  </si>
  <si>
    <t xml:space="preserve">2. Save $1000 monthly toward Dad Chou's account to pay off the loan of $62,000 that borrowed in Feb 2013 for part of down payment for Adams Street property. </t>
  </si>
  <si>
    <t>Boston</t>
  </si>
  <si>
    <t>The prior years and this year's financial overview</t>
  </si>
  <si>
    <t xml:space="preserve">Income </t>
  </si>
  <si>
    <t>Offering</t>
  </si>
  <si>
    <t>%</t>
  </si>
  <si>
    <t xml:space="preserve"> (Lender: FC's Dad.  Principal=$62000)</t>
  </si>
  <si>
    <t>Downpayment Loan for Adams Street from FC's Dad</t>
  </si>
  <si>
    <t xml:space="preserve">3/15/13 purchased 1241 Adams Street, F504, Dorchester, MA 02124 </t>
  </si>
  <si>
    <t>Business - Rental Property</t>
  </si>
  <si>
    <t>Maintenance - food &amp; travel cost</t>
  </si>
  <si>
    <t>Remodeling Cost (incl.labor &amp; materials)</t>
  </si>
  <si>
    <t>Maintenance &amp; Repairs - materials cost</t>
  </si>
  <si>
    <t>Job&amp;Teaching Research Exp:</t>
  </si>
  <si>
    <t>Books &amp; Data Purchase</t>
  </si>
  <si>
    <t>Computer, electronics, app service exp</t>
  </si>
  <si>
    <t>Job&amp;Teaching Food Exp:</t>
  </si>
  <si>
    <t>Job&amp;Teaching Contract Communication Exp:</t>
  </si>
  <si>
    <t>Job&amp;Teaching Travel Exp:</t>
  </si>
  <si>
    <t>Rental Home Insurance ($680 1n 2013)</t>
  </si>
  <si>
    <t>Office Supply, ink cartridge, copy paper etc</t>
  </si>
  <si>
    <t>Cell phone (AT&amp;T)</t>
  </si>
  <si>
    <t>LIVING EXPENSES</t>
  </si>
  <si>
    <t>BUSINESS EXPENSES</t>
  </si>
  <si>
    <t>House repairs(materials: light bulbs)</t>
  </si>
  <si>
    <t>Fish Tank &amp; House Plants maintenance (planters and food)</t>
  </si>
  <si>
    <t>Septic Tank pumped up (Service 2014 summer, $315 every 2years)</t>
  </si>
  <si>
    <t xml:space="preserve">Pellet stove cleanup annually </t>
  </si>
  <si>
    <t>Repairs &amp; Maintenance (Oil change, new tires)</t>
  </si>
  <si>
    <t>Tassimo Coffee</t>
  </si>
  <si>
    <t>CK's Clothes &amp; Shoes</t>
  </si>
  <si>
    <t>FC's</t>
  </si>
  <si>
    <t>NK's</t>
  </si>
  <si>
    <t>EK's</t>
  </si>
  <si>
    <t>Haircut &amp; Skin products (Mainly FC's)</t>
  </si>
  <si>
    <t>Groceries &amp; Food (Incl. Entertainment)</t>
  </si>
  <si>
    <t>Dine-out with Taiwan family members</t>
  </si>
  <si>
    <t>Movie Night, DVD Rental, Bowling</t>
  </si>
  <si>
    <t>Food/Eat Out</t>
  </si>
  <si>
    <t>Transportation (Airfare, Car Rental &amp; Gas, Bus etc)</t>
  </si>
  <si>
    <t>Admission fees to parks, museums</t>
  </si>
  <si>
    <t>EXPENSES WILL BE DEDUCTED FROM EMERGENCY FUND DIRECTLY IF NEEDED</t>
  </si>
  <si>
    <t>(2) Overseas Vacation (Taiwan)- Deducted from Travel Fund Withheld</t>
  </si>
  <si>
    <t>(1) Domestic Vacation *** Credit card cash back reward included in vacation transportation</t>
  </si>
  <si>
    <t>Taiwan Travel Fund</t>
  </si>
  <si>
    <t xml:space="preserve">WITHHELD </t>
  </si>
  <si>
    <t>Kuo Pool Fund</t>
  </si>
  <si>
    <t>Chou Saving Acct</t>
  </si>
  <si>
    <t>Sports / Camp fees</t>
  </si>
  <si>
    <t>TOTAL EXPENSES</t>
  </si>
  <si>
    <t>BUDGETING SAVING</t>
  </si>
  <si>
    <t>Grocery cash planned monthly - $400</t>
  </si>
  <si>
    <t xml:space="preserve">(1) Beginning this year, Nathan will take care of grocery shopping and bookkeeping.  </t>
  </si>
  <si>
    <t>Painting, remodeling &amp; new tools for remodeling etc. (one room painting?)</t>
  </si>
  <si>
    <t>Piano/Art/Dance lesson</t>
  </si>
  <si>
    <t xml:space="preserve">Homeschooling exp. </t>
  </si>
  <si>
    <t>Passport, Visa, Legal fee</t>
  </si>
  <si>
    <t>Gifts, Suvenirs</t>
  </si>
  <si>
    <t>(A) Project of this month:</t>
  </si>
  <si>
    <t>(B) Meals &amp; hospitality:</t>
  </si>
  <si>
    <t>(C) Baker's property maintenance:</t>
  </si>
  <si>
    <t>(D) Family Celebration &amp; things happened</t>
  </si>
  <si>
    <t>AP</t>
  </si>
  <si>
    <t>CapitalOne</t>
  </si>
  <si>
    <t>TAIWAN Travel Fund</t>
  </si>
  <si>
    <t xml:space="preserve">Withheld </t>
  </si>
  <si>
    <t>Saving Account Balance+Interest</t>
  </si>
  <si>
    <t>*(1)  Adams Street (Baker) property out of pocket closing $20660.21.  Splited $5660.21 from emergency fund and $15,000 kids' college fund.</t>
  </si>
  <si>
    <t>NOTE for Dad Chou's Acct</t>
  </si>
  <si>
    <t>(1) Borrowed from Dad's money for investment in 2009/2010</t>
  </si>
  <si>
    <t>LOAN borrowed from Dad Chou's ~~~</t>
  </si>
  <si>
    <t>(2) $62,000 for Baker Sq Apt (1241 Adams St, F504, Dorchester, MA 02124) on 2/4/2013</t>
  </si>
  <si>
    <t>2/4/13, $62,000,@3% apr, 48 months</t>
  </si>
  <si>
    <t>2013 paid to Dad Chou Acct</t>
  </si>
  <si>
    <t>2014 paid to Dad Chou Acct</t>
  </si>
  <si>
    <t>(1) In Oct. 2003, Dad Chou brought $50,000 to FC for emergency fund we can use since no immediate family members in USA near us.  Later, FC applied it to house principal.</t>
  </si>
  <si>
    <t>(2) FC's parents gave $10,000 each to N&amp;E when they were born.  FC applied those $20,000 to our Wasseran Hts mortgage.</t>
  </si>
  <si>
    <t xml:space="preserve">(3) Dad Chou insisted the first $50,000 that FC applied to house principal was a house warming gift, not a loan.  But Chris refused.  We will have to save $50,000 in the future to pay it back, per Chris.  </t>
  </si>
  <si>
    <t>(4) Dad Chou brought another $50,000 in March/April 2004 and FC deposited it to her saving account with kids' college fund together.  It helps to finance our baker apartment purchase.</t>
  </si>
  <si>
    <t>Pay off debts borrowed from Chou **(2)</t>
  </si>
  <si>
    <t>Money from Grandparents CHOU to Nathan***(3)</t>
  </si>
  <si>
    <t>Money from Grandparents CHOU to Eileen***(3)</t>
  </si>
  <si>
    <t xml:space="preserve">***(3) Grandparents CHOU gave Nathan and Eileen each $10,000 when they were born and the amount was not recorded here.  The total $20,000 birth gift was already applied to Wasserman Heights house principal.  </t>
  </si>
  <si>
    <t>(1) SAVING ACCOUNT - KUO POOL FUND</t>
  </si>
  <si>
    <t>(2) SAVING ACCOUNT - FC SAVING (CHILDREN'S &amp; DAD CHOU)</t>
  </si>
  <si>
    <t>Year End Distribution to Kids' College Fd</t>
  </si>
  <si>
    <t>Extra R/E Principal</t>
  </si>
  <si>
    <t>Chinese New Year</t>
  </si>
  <si>
    <t>12/16/13</t>
  </si>
  <si>
    <t>Planned to pay it off on</t>
  </si>
  <si>
    <t>SAVING FOR THIS MONTH+Cash Reward from credit cards</t>
  </si>
  <si>
    <t>RECONCILIATION/ INTEREST</t>
  </si>
  <si>
    <t>FINALIZED DATE</t>
  </si>
  <si>
    <t>YTD Actual</t>
  </si>
  <si>
    <t>Monthly Bdgt</t>
  </si>
  <si>
    <t>Annual Financial Snapshot  (Withheld includes: Property Tax, Both sides of Parents, &amp; Saving for college fund)</t>
  </si>
  <si>
    <t>Grandparents CHOU gave N&amp;E each second $10,000 in July 2013 and the amount was recorded here as Children's college fund, deposited in FC's own saving account.  They also give N&amp;E birthday gift and CNY gift every year.</t>
  </si>
  <si>
    <t>3/28/14</t>
  </si>
  <si>
    <t>EXPENSES**</t>
  </si>
  <si>
    <t>** Includes Rental Property Mgt Fee</t>
  </si>
  <si>
    <t>* Includes allowance to both sides of parents and loan payment</t>
  </si>
  <si>
    <t>3. Plan to pay off the loan borrowed from Dad Chou ($69894.34 interest included) in Year 2017.</t>
  </si>
  <si>
    <t>3/14/13</t>
  </si>
  <si>
    <t>Burlington, VT</t>
  </si>
  <si>
    <t>12/13/13</t>
  </si>
  <si>
    <t xml:space="preserve">1. Complete mileages. Multiply line 8a by 56.5 cents (.565). </t>
  </si>
  <si>
    <t>mileages - Conference</t>
  </si>
  <si>
    <t>mileages - Teaching</t>
  </si>
  <si>
    <t>10 James Ave, Boston, MA</t>
  </si>
  <si>
    <t>1/15/13</t>
  </si>
  <si>
    <t>Bus</t>
  </si>
  <si>
    <t>1/23/13</t>
  </si>
  <si>
    <t>2/15/13</t>
  </si>
  <si>
    <t>4/26/13</t>
  </si>
  <si>
    <t>5/13/13</t>
  </si>
  <si>
    <t>Subway Arlington</t>
  </si>
  <si>
    <t>5/22/13</t>
  </si>
  <si>
    <t>5/30/13</t>
  </si>
  <si>
    <t>Concord CoachBoston</t>
  </si>
  <si>
    <t>7/15/13</t>
  </si>
  <si>
    <t>8/14/13</t>
  </si>
  <si>
    <t>9/24/13</t>
  </si>
  <si>
    <t>10/16/13</t>
  </si>
  <si>
    <t>11/14/13</t>
  </si>
  <si>
    <t>11/21/13</t>
  </si>
  <si>
    <t xml:space="preserve">MTA </t>
  </si>
  <si>
    <t>EZ-Pass</t>
  </si>
  <si>
    <t>4/16/13</t>
  </si>
  <si>
    <t>EZ Pass</t>
  </si>
  <si>
    <t>TD Bank</t>
  </si>
  <si>
    <t>6/19/13</t>
  </si>
  <si>
    <t>Manchester Airport</t>
  </si>
  <si>
    <t>7/29/13</t>
  </si>
  <si>
    <t>US Bank</t>
  </si>
  <si>
    <t>Fairfield Inn Burlington</t>
  </si>
  <si>
    <t>Lodging</t>
  </si>
  <si>
    <t>Williston, VT</t>
  </si>
  <si>
    <t>9/15/13</t>
  </si>
  <si>
    <t>9/20/13</t>
  </si>
  <si>
    <t>9/29/13</t>
  </si>
  <si>
    <t>9/28/13</t>
  </si>
  <si>
    <t>Lake Champlain Transportation</t>
  </si>
  <si>
    <t>Ferry</t>
  </si>
  <si>
    <t>12/20/13</t>
  </si>
  <si>
    <t>MMA Admissions</t>
  </si>
  <si>
    <t>ticket</t>
  </si>
  <si>
    <t>MTA, New York</t>
  </si>
  <si>
    <t>12/21/13</t>
  </si>
  <si>
    <t>Update phone to G4 network</t>
  </si>
  <si>
    <t>7/19/13</t>
  </si>
  <si>
    <t>International Conference</t>
  </si>
  <si>
    <t>10/21/13</t>
  </si>
  <si>
    <t>Networking/gift cards</t>
  </si>
  <si>
    <t>12/19/13</t>
  </si>
  <si>
    <t>Panera Bread</t>
  </si>
  <si>
    <t>Books, Journals Subscription &amp; Data Purchase for Analyses (Liberty Mutual, Teaching)</t>
  </si>
  <si>
    <t>3/23/13</t>
  </si>
  <si>
    <t>3/29/13</t>
  </si>
  <si>
    <t>Fast Action Lock &amp; Security</t>
  </si>
  <si>
    <t>Software update</t>
  </si>
  <si>
    <t>5/16/13</t>
  </si>
  <si>
    <t>DVD &amp; Books</t>
  </si>
  <si>
    <t>6/27/13</t>
  </si>
  <si>
    <t>Shutterfly</t>
  </si>
  <si>
    <t>Photo booklet</t>
  </si>
  <si>
    <t>Darrels Music Hall</t>
  </si>
  <si>
    <t>Wardmaps</t>
  </si>
  <si>
    <t>8/19/13</t>
  </si>
  <si>
    <t>Apple Itunes Store</t>
  </si>
  <si>
    <t>App for online book</t>
  </si>
  <si>
    <t>9/18/13</t>
  </si>
  <si>
    <t>The Economist Newspaper</t>
  </si>
  <si>
    <t>Journal Subscription</t>
  </si>
  <si>
    <t>9/25/13</t>
  </si>
  <si>
    <t>9/26/13</t>
  </si>
  <si>
    <t>10/14/13</t>
  </si>
  <si>
    <t>10/15/13</t>
  </si>
  <si>
    <t>10/22/13</t>
  </si>
  <si>
    <t>Elecshack Inc</t>
  </si>
  <si>
    <t>Data Repaired</t>
  </si>
  <si>
    <t>11/13/13</t>
  </si>
  <si>
    <t>11/23/13</t>
  </si>
  <si>
    <t>11/25/13</t>
  </si>
  <si>
    <t>Kindle book</t>
  </si>
  <si>
    <t>12/13/2013</t>
  </si>
  <si>
    <t xml:space="preserve">Pencil </t>
  </si>
  <si>
    <t>6/18/13</t>
  </si>
  <si>
    <t>CD-R</t>
  </si>
  <si>
    <t>12/24/13</t>
  </si>
  <si>
    <t xml:space="preserve">Computer </t>
  </si>
  <si>
    <t>6/28/13</t>
  </si>
  <si>
    <t>postage</t>
  </si>
  <si>
    <t>9/23/13</t>
  </si>
  <si>
    <t>Purchased Date</t>
  </si>
  <si>
    <t>Depreciation Amt</t>
  </si>
  <si>
    <t>Purchase Price</t>
  </si>
  <si>
    <t>1/18/13</t>
  </si>
  <si>
    <t>1/22/13</t>
  </si>
  <si>
    <t>1/26/13</t>
  </si>
  <si>
    <t>Pho Da Lat</t>
  </si>
  <si>
    <t>Collegue meeting</t>
  </si>
  <si>
    <t>1/28/13</t>
  </si>
  <si>
    <t>Samurai Express</t>
  </si>
  <si>
    <t>Thai Basil Restaurant</t>
  </si>
  <si>
    <t>Douzo Japanese Restaurant</t>
  </si>
  <si>
    <t>Chen Yang Li Restaurant</t>
  </si>
  <si>
    <t>Meeting - UNH</t>
  </si>
  <si>
    <t>3/26/13</t>
  </si>
  <si>
    <t>IHOP#3328</t>
  </si>
  <si>
    <t>Sarku Japan</t>
  </si>
  <si>
    <t>4/21/13</t>
  </si>
  <si>
    <t>4/24/13</t>
  </si>
  <si>
    <t>Hei La Moon Restaurant</t>
  </si>
  <si>
    <t>Dinner after flight back from Phila, PA</t>
  </si>
  <si>
    <t>You You Japanese Bistro</t>
  </si>
  <si>
    <t>Souper Salad Berkel</t>
  </si>
  <si>
    <t>Ben &amp; Jerry's</t>
  </si>
  <si>
    <t>Special Project in VT</t>
  </si>
  <si>
    <t>Three Tomatoes</t>
  </si>
  <si>
    <t>Asiana Noodle Shop</t>
  </si>
  <si>
    <t>East China</t>
  </si>
  <si>
    <t>Pauline's Café &amp; Restaurant</t>
  </si>
  <si>
    <t>8/23/13</t>
  </si>
  <si>
    <t>Bao Bao Bakery</t>
  </si>
  <si>
    <t>Little Caesars</t>
  </si>
  <si>
    <t>Liberty Boston</t>
  </si>
  <si>
    <t>Mexicali Authentic Mexican</t>
  </si>
  <si>
    <t>VT</t>
  </si>
  <si>
    <t>Church and Main St.</t>
  </si>
  <si>
    <t>9/30/13</t>
  </si>
  <si>
    <t>Burger King</t>
  </si>
  <si>
    <t>Taipei &amp; Tokyo Restaurant</t>
  </si>
  <si>
    <t>Sbarro</t>
  </si>
  <si>
    <t>St Is Fery Aubonpain</t>
  </si>
  <si>
    <t>12/22/13</t>
  </si>
  <si>
    <t>Vernon Dinner</t>
  </si>
  <si>
    <t>Office Equipment Depreciation_3rd year (3years depreciation from 2012 to 2014)</t>
  </si>
  <si>
    <t>Stationaries</t>
  </si>
  <si>
    <t>Logan Airport Parking</t>
  </si>
  <si>
    <t>Cash receipt</t>
  </si>
  <si>
    <t>3/24/14</t>
  </si>
  <si>
    <t>ACTUAL</t>
  </si>
  <si>
    <t>BDGT</t>
  </si>
  <si>
    <t>+/ -</t>
  </si>
  <si>
    <t>Federal Tax Refund</t>
  </si>
  <si>
    <t>State Tax Refund</t>
  </si>
  <si>
    <t>*Tax Refund Offering reflected in the month that the refund was received.</t>
  </si>
  <si>
    <t>(Baker Apartment is considered as Children's College Fund)</t>
  </si>
  <si>
    <t>Offset by Emergency Fund</t>
  </si>
  <si>
    <t xml:space="preserve">To cover oversea travel </t>
  </si>
  <si>
    <t>To conver living expenses</t>
  </si>
  <si>
    <t>Reformed Church of Newtown</t>
  </si>
  <si>
    <t>To Real Estate Extra Pincipal (Investment)</t>
  </si>
  <si>
    <t>Baker extra pincipal</t>
  </si>
  <si>
    <t>Loan payment</t>
  </si>
  <si>
    <t>To Trade King (CK manages)</t>
  </si>
  <si>
    <t>Net Saving in Emg Fd</t>
  </si>
  <si>
    <t>**** Include in regular monthly expenses*****</t>
  </si>
  <si>
    <t>After moving to Queens, NY</t>
  </si>
  <si>
    <t>69-13 67 Place, Glendale, NY 11385</t>
  </si>
  <si>
    <t>mileages - Special Projects</t>
  </si>
  <si>
    <t>20% Down Payment</t>
  </si>
  <si>
    <t>Mortgage Amount</t>
  </si>
  <si>
    <t>Cost of Purchase</t>
  </si>
  <si>
    <t>Tower Home Inspectors, LLC</t>
  </si>
  <si>
    <t>(69-13 67th Place, Glendale, NY 11385)</t>
  </si>
  <si>
    <t>mileages - CPCU</t>
  </si>
  <si>
    <t>Lend to Kuo for Baker Sq Condo purchase**(2)</t>
  </si>
  <si>
    <t>(2) Save for Glendale remodeling project</t>
  </si>
  <si>
    <t>10/20/14-12/12/14, Mon-Fri nights</t>
  </si>
  <si>
    <t xml:space="preserve">1. Rental property (1241 Adams Street, F504, Boston, MA 02124) is for Children's college fund.  Plan to pay off this mortgage in Year 2018. </t>
  </si>
  <si>
    <t>ACTS 18:9-10</t>
  </si>
  <si>
    <t>mgt fee Baker's</t>
  </si>
  <si>
    <t>Baker's</t>
  </si>
  <si>
    <t>Continue</t>
  </si>
  <si>
    <t>To Real Estate Purchase*(4) Glendale, NY</t>
  </si>
  <si>
    <t>To Real Estate Purchase*(1) Baker's</t>
  </si>
  <si>
    <t xml:space="preserve">To Real Estate Purchase*(1)Baker's </t>
  </si>
  <si>
    <t>Lend to Kuo for Glendale NY house purchase (4)</t>
  </si>
  <si>
    <t>**(2) 2/4/2013 Borrowed from Dad Chou for Adams Street down payment $62,000</t>
  </si>
  <si>
    <t>Liberty Mutual Home Insurance</t>
  </si>
  <si>
    <t>Appraisal Report</t>
  </si>
  <si>
    <t>Maureen Papalas</t>
  </si>
  <si>
    <t>Liberty Land Abstract</t>
  </si>
  <si>
    <t>*(4) Glendale, NY house 9/5/14.  5% Downpayment and part of closing exp borrowed from Chou (total $61,800).</t>
  </si>
  <si>
    <t>($37,700 to pay off loan borrowed from Chou for Baker purchase)</t>
  </si>
  <si>
    <t>(4)7/5/2014 $41,800 and 9/5/12 $20,000 Borrowed from Dad Chou's total $61,800 for Glendale purchase</t>
  </si>
  <si>
    <t>$61,800, @3% APR, 48 months</t>
  </si>
  <si>
    <t>Interest</t>
  </si>
  <si>
    <t>ACTUAL PAID OFF DATE</t>
  </si>
  <si>
    <t>ACTUAL PAID INTEREST</t>
  </si>
  <si>
    <t>2015 Paid to Dad Chou Acct</t>
  </si>
  <si>
    <t>TOTAL (incl $83,600 downpayment)</t>
  </si>
  <si>
    <t xml:space="preserve">less: 20% downpayment </t>
  </si>
  <si>
    <t>TOTAL COST OF PURCHASE</t>
  </si>
  <si>
    <t>A) Demolition &amp; Trash Removal</t>
  </si>
  <si>
    <t>B) Roofing</t>
  </si>
  <si>
    <t>Flat rooftop &amp; Asphalt tiles replaced by Huang, Yuang 10/28-11/1</t>
  </si>
  <si>
    <t>Soundproofing materials for ceiling, cement boards, compounds, grout for tiling</t>
  </si>
  <si>
    <t>Jan. 2015</t>
  </si>
  <si>
    <t>Plumbing, Electrical wires materials: BX cables,switches , plugs &amp; boxes etc.</t>
  </si>
  <si>
    <t>Construction materials: nails, screws, 2x4, 3x1 wood beams for closet structure building,</t>
  </si>
  <si>
    <t>9/6, 9/13 CK demolished the dinning/living partition walls to make it open concept</t>
  </si>
  <si>
    <t xml:space="preserve">10/27-10/28/14 hired team to demolished 1&amp;2 fl and found extra 2 windows in living room, </t>
  </si>
  <si>
    <t xml:space="preserve">demolished </t>
  </si>
  <si>
    <t xml:space="preserve">CK demlished basement, 11/23-11/30 CK cleaned the sand buried under the bathroom floor </t>
  </si>
  <si>
    <t>C) Electrical Wiring done partially by Jack (11/15) 1.5 days SLOW, CK did 1st &amp; 2nd floor mostly in Dec,</t>
  </si>
  <si>
    <t>Insulation materials for wall &amp; radiator pipes - CK</t>
  </si>
  <si>
    <t>strengthen bathroom floor w/ hardwood panel</t>
  </si>
  <si>
    <t>Bathroom: Toilet, Vanity, Faucet, Shower Base, shower head, floor tiles &amp; wall tiles, Vent out</t>
  </si>
  <si>
    <t>Kitchen floor tiles,5/8" Drywalls (50+80+20 pcs),</t>
  </si>
  <si>
    <t>D) Wages to Johnny &amp; Justin  $200/10 hours/day each, 6 days $1200 each</t>
  </si>
  <si>
    <t>D) Materials Purchased by Us</t>
  </si>
  <si>
    <t>1/12/15~1/17/15 Bathroom: drywall, tiling, vent out, fix closet &amp; drywall closet (2nd flr DONE)</t>
  </si>
  <si>
    <t>1/5/15~1/10/15  Drywall - most of 1st flr. 2nd Floor: 3 rooms and stairway except closet</t>
  </si>
  <si>
    <t>F) Misc. Material Purchased /Delivery Fee by Justin/Johnny</t>
  </si>
  <si>
    <t>Glendale, NY Purchase</t>
  </si>
  <si>
    <t>*$61,800 borrowed from Parents Chou account</t>
  </si>
  <si>
    <t>w/o house related exp</t>
  </si>
  <si>
    <t>monthly w/o mortgage &amp; remodeling</t>
  </si>
  <si>
    <t>Purchased Glendale house</t>
  </si>
  <si>
    <t>Glendale remodeling</t>
  </si>
  <si>
    <t>Prior Year Saving</t>
  </si>
  <si>
    <t>Investment Acct</t>
  </si>
  <si>
    <t>E) Special Orders:</t>
  </si>
  <si>
    <t>18 Vynl Windows: Double Hungs, Tempered Glass. Low E3, Argon, Energy Star, Full Screen</t>
  </si>
  <si>
    <t>Liberty Land Abstract, mortgage recording fee</t>
  </si>
  <si>
    <t>Water/Sewer</t>
  </si>
  <si>
    <t>Management Fee ($564 in 2015 from $540.45, 2% increse)</t>
  </si>
  <si>
    <t>BOA</t>
  </si>
  <si>
    <t>HomeDepot</t>
  </si>
  <si>
    <t>Year 2015 Giving</t>
  </si>
  <si>
    <t>Paris, France</t>
  </si>
  <si>
    <t>Heating</t>
  </si>
  <si>
    <t>Non-heating</t>
  </si>
  <si>
    <t>1/19~1/24 Kitchen partition wall, closet understairs, pantry closet above basement stairs, mudroom, electrical wiring for kitchen &amp; mudroom area</t>
  </si>
  <si>
    <t>Shen &amp; Chang, LLC</t>
  </si>
  <si>
    <t>Avg month ($)</t>
  </si>
  <si>
    <t>Total Usage(kwh)</t>
  </si>
  <si>
    <t>Con Edison</t>
  </si>
  <si>
    <t>Ave Usage</t>
  </si>
  <si>
    <t>Max Usage</t>
  </si>
  <si>
    <t>Min. Usage</t>
  </si>
  <si>
    <t>Acct#25-2833-6375-0003-3</t>
  </si>
  <si>
    <t>ytchou131</t>
  </si>
  <si>
    <t>Kuo224218</t>
  </si>
  <si>
    <t>Notes /Utility</t>
  </si>
  <si>
    <t>^ Hired workers (Johnny &amp; Justin) to repair the house Mon-Sat. 8am to 6pm.</t>
  </si>
  <si>
    <t>National Grid</t>
  </si>
  <si>
    <t>www.coned.com</t>
  </si>
  <si>
    <t>www.nationalgridus.com</t>
  </si>
  <si>
    <t>Ytchou311</t>
  </si>
  <si>
    <t>Ave  Usage/Month (kwh)</t>
  </si>
  <si>
    <t>09740-32294</t>
  </si>
  <si>
    <t>Glendale Non-Heating</t>
  </si>
  <si>
    <t>09740-32302</t>
  </si>
  <si>
    <t>Glendale Water/Sewer</t>
  </si>
  <si>
    <t>Ytchou131</t>
  </si>
  <si>
    <t>Kuo224</t>
  </si>
  <si>
    <t>E20162844</t>
  </si>
  <si>
    <t>Total Usage(cubic ft)</t>
  </si>
  <si>
    <t>Total Usage(therms)</t>
  </si>
  <si>
    <t>Ave Usage/Month (therms)</t>
  </si>
  <si>
    <t>Note/Heating Gas</t>
  </si>
  <si>
    <t>G-guest visits and stays over night less than 2 weeks</t>
  </si>
  <si>
    <t>F-family visits from Taiwan, normally longer than 2 weeks</t>
  </si>
  <si>
    <t>Water Charge</t>
  </si>
  <si>
    <t>Sewer Charge</t>
  </si>
  <si>
    <t>**</t>
  </si>
  <si>
    <t xml:space="preserve">*Haven't set up thermostat until late Dec.  It was set as 68F before by the previous owner.  </t>
  </si>
  <si>
    <t>Ave Usage/Heating Month (therms)</t>
  </si>
  <si>
    <t>(Cooking, Water heater, Gas Dryer)</t>
  </si>
  <si>
    <t>Feb. 2015</t>
  </si>
  <si>
    <t>Liberty Mutual ($858)</t>
  </si>
  <si>
    <t>CK's $500,000/Premium $432</t>
  </si>
  <si>
    <t>Registry (Sienna $84/55.2, Corolla $51/43.2)</t>
  </si>
  <si>
    <t>Furniture &amp; home deco (Glendale House)</t>
  </si>
  <si>
    <t>Home Depot Credit Service</t>
  </si>
  <si>
    <t>P.O.Box 182676</t>
  </si>
  <si>
    <t>Columbus, OH 43218-2676</t>
  </si>
  <si>
    <t>Promotional</t>
  </si>
  <si>
    <t>Paid</t>
  </si>
  <si>
    <t>Remaining Balance</t>
  </si>
  <si>
    <t>StatementDate</t>
  </si>
  <si>
    <t>TOTAL in SV-Kuo Pool Fd</t>
  </si>
  <si>
    <t>9/5/14 purchased 6913 67th Place, Glendale, NY 11385. 2 months of mortgage$4945.42 paid in 2014</t>
  </si>
  <si>
    <t>Annual Expense</t>
  </si>
  <si>
    <t>Monthly Exp. Excluded mortgage etc.</t>
  </si>
  <si>
    <t>Oct. 2011 paid off the 10 Wasserman Heights house (in 6.5 years)</t>
  </si>
  <si>
    <t>Annual Expense w/o mortgage, loan, remodeling exp</t>
  </si>
  <si>
    <t>(1/27 Blizzard Juo, no working)</t>
  </si>
  <si>
    <t xml:space="preserve">Hardwood Floor (Bruce: Salsa Cherry Maple 3/4 in thick, 5" wide, random length), </t>
  </si>
  <si>
    <t>1&amp;2 Flr: baseboards, window&amp;door trims, compound, 6  interior doors, 5 bi-folds, grout etc</t>
  </si>
  <si>
    <t>Basement: ceramic tiles, construction materials, drywalls, insulation, shower base &amp; shower door, interior doors &amp; bi-fold, recess lights etc.</t>
  </si>
  <si>
    <t>Basement: bathroom vanity, shower head, faucet, toilet, shower surround tiles</t>
  </si>
  <si>
    <t>G) Heating: Replacing furnance 1/30/15, $6800 by Joe the Plumbing.  (First $4300, then $500/month for 5 months to pay it off.)</t>
  </si>
  <si>
    <t>Expiration Date</t>
  </si>
  <si>
    <t>Promotion</t>
  </si>
  <si>
    <t>1/2/15 -1/3/15 1st ceiling leveling, soundproof panels &amp; drywalling</t>
  </si>
  <si>
    <t>1/26~1/31 Kitchen &amp; mudroom floor tiling, Patch up Basement walls, drywalling stairway to basement</t>
  </si>
  <si>
    <t xml:space="preserve">2/16-3/14  4 weeks of wage: Finish 1&amp;2 floor, partial of basement.  Painting, Baseboard, Hardwood Floors, </t>
  </si>
  <si>
    <t>2/2~2/7  basement partition, insulate walls, rewire water supply pipe between the walls (so no need to lower the ceiling) and insulate the pipe, electrical wiring, recess light</t>
  </si>
  <si>
    <t>2/9/15 Paid</t>
  </si>
  <si>
    <t>Remaing Bal</t>
  </si>
  <si>
    <t>3/9/15 Paid</t>
  </si>
  <si>
    <t>Net Papa Chou's Account (SV-CHOU)</t>
  </si>
  <si>
    <t>3/2/15</t>
  </si>
  <si>
    <t>Teaching Income (Liberty U)</t>
  </si>
  <si>
    <t xml:space="preserve">2/22/15 CK accepted AIG offer ($175,000 base salary + $45,000 annual bonus) and will begin to work in NYC after we come back from family vacation in Taiwan. </t>
  </si>
  <si>
    <t>AIG</t>
  </si>
  <si>
    <t>Mar. 2015</t>
  </si>
  <si>
    <t>3/16-3/21 Basement drywalling, bathroom plumbing, laundry closet plumbing, ceiling, rewire gas pipe to the edge of the house, not in the center</t>
  </si>
  <si>
    <t>Apr. 2015</t>
  </si>
  <si>
    <t>**Set as 55 to 50F when we're not there; but Johnny &amp; Justin set 75F when they work there since Jan 2, 2015, saving reflected in Dec bill (12/15/14-1/15/15) compared to Dec.</t>
  </si>
  <si>
    <t>3/23-3/28  Project: 1&amp;2nd flr done, kitchen painted, basement plumbing, sheet rock taped</t>
  </si>
  <si>
    <t>3/16/15-5/8/15, Mon-Fri nights</t>
  </si>
  <si>
    <t>2/9-4/3/2015, Mon-Fri nights</t>
  </si>
  <si>
    <t>3/13/15 Balance</t>
  </si>
  <si>
    <t>est</t>
  </si>
  <si>
    <t>act</t>
  </si>
  <si>
    <t>Johnny &amp; Justin slowed it down while we were in Taiwan: they did nothing in basement, replaced windows, door trims and baseboards, hardwood floor and painted the most of 1&amp;2 floor.</t>
  </si>
  <si>
    <t>On 3/20 we came to Glendale and found they spent whole week only did less half of stairway railing.  3/22 Chris told them we won't pay them by day but project.</t>
  </si>
  <si>
    <t>They asked for $18,000 for the rest of job by 4/11/15.  On 3/28 they threatened to sue us for letting them working in abesto environment which they knew from the first day.</t>
  </si>
  <si>
    <t>They took pictures of the abesto in our basement.  Chris agreed to continue hiring them till 4/11.  We had no choice but pay them $18,000.</t>
  </si>
  <si>
    <t>(#1990  $2000, #1991  $2300, #2000  $500, #2004 $500)</t>
  </si>
  <si>
    <t xml:space="preserve"> NO INT FOR 6 MOS - PYMT REQ</t>
  </si>
  <si>
    <t xml:space="preserve"> -NO INT FOR 6 MOS - PMT REQ</t>
  </si>
  <si>
    <t xml:space="preserve"> NO INT FOR 24 MOS - PMT REQ</t>
  </si>
  <si>
    <t xml:space="preserve"> -NO INT FOR 24 MOS - PMT REQ</t>
  </si>
  <si>
    <t>Trans Date</t>
  </si>
  <si>
    <t>Credit</t>
  </si>
  <si>
    <t>Card 1 consumer card: Chris C Kuo</t>
  </si>
  <si>
    <t>GL</t>
  </si>
  <si>
    <t>(3) Save our expenses though living in NYC.  It might be a challenge, but pray God helps me to find places to shop.</t>
  </si>
  <si>
    <t>(4) Find more cost effective recipes to feed family and guests – we want to continue to open house.</t>
  </si>
  <si>
    <t>Chris first day @AIG 4/6/15</t>
  </si>
  <si>
    <t>Nathan is 11.</t>
  </si>
  <si>
    <t>3/30-4/4  basement tile floor, bathroom &amp; laundry room plumbing, front and back doors installed</t>
  </si>
  <si>
    <t>4/6-4/11  Bathroom surround and floor tiles, wall primed, closet doors, baseboards and door trims. Security door.</t>
  </si>
  <si>
    <t>BOA/TD</t>
  </si>
  <si>
    <t xml:space="preserve">4/13-4/17  Finish interior </t>
  </si>
  <si>
    <t>Cleaning NH house for house sell listing</t>
  </si>
  <si>
    <t>FC's Home Depot Credit Card (for Glendale Kitchen Remodeling Expense)</t>
  </si>
  <si>
    <t>6 mos</t>
  </si>
  <si>
    <t>18 mos</t>
  </si>
  <si>
    <t>GE washer &amp; dryer</t>
  </si>
  <si>
    <t>Kitchen cabinetry 1</t>
  </si>
  <si>
    <t>4/20-4/25 Exterior work: window trims, siding, front gutters, security door and storm door.  Project $1500.</t>
  </si>
  <si>
    <t>Dryer &amp; Washer (Laundry set)</t>
  </si>
  <si>
    <t>Security door &amp; storm door etc</t>
  </si>
  <si>
    <t>^ Furnance replacement $6,800 2/6/15.  More energy efficient than the old one.</t>
  </si>
  <si>
    <t>Yearly Estimated Cost =</t>
  </si>
  <si>
    <t>NH heating (propane+pellet stove) is about $2200/year.  NY gas (heating+none heating) estimated about $1600/year.  NYC heating is cheapter than NH for it uses natural gas rather than propane.</t>
  </si>
  <si>
    <t>Total Usage (Gallon)</t>
  </si>
  <si>
    <t>Ave Usage/Month (gl)</t>
  </si>
  <si>
    <t>(1 Cubic Feet = 7.48 Gallons of Water)</t>
  </si>
  <si>
    <t>cubic ft</t>
  </si>
  <si>
    <t>Rate per GL</t>
  </si>
  <si>
    <t>Rate/kwh</t>
  </si>
  <si>
    <t>kwh</t>
  </si>
  <si>
    <t>But for the first year in NYC, expect more water usage like 36,000 gallons of water usage to clean the house.</t>
  </si>
  <si>
    <t>(Basement tiles job and cleaning the whole house)</t>
  </si>
  <si>
    <t>BUDGETING</t>
  </si>
  <si>
    <t>ELECTRICITY</t>
  </si>
  <si>
    <t>Natural Gas</t>
  </si>
  <si>
    <t>Forecasted</t>
  </si>
  <si>
    <t>NH House</t>
  </si>
  <si>
    <t>Glendale House</t>
  </si>
  <si>
    <t>**Based on NH usage, we use 8000 kwh a year (incl cooking).  NY house is about 1/2 smaller than NH.  So, estimate 4000 kwh a year in NYC, about $2000.</t>
  </si>
  <si>
    <t>Have to find way to cut down electricity usage in Glendale!  Rate is 2 to 2.5 times of NH!</t>
  </si>
  <si>
    <t>24 mos</t>
  </si>
  <si>
    <t>Kitchen appliances: gas range, microwave hood, dishwasher, refrigerator</t>
  </si>
  <si>
    <t xml:space="preserve">4/24  Backyard gutters </t>
  </si>
  <si>
    <t>NH house toilet seats (no slammed), shower heads</t>
  </si>
  <si>
    <t>payment</t>
  </si>
  <si>
    <t>(1) CK began to live in Glendale, NY since 4/3/15</t>
  </si>
  <si>
    <t>(2) FC stayed in NH 4/12/15-5/8/15 for cleaning house for sale.</t>
  </si>
  <si>
    <t>(3) Family dined out lots for the house situation in NH &amp; NY.</t>
  </si>
  <si>
    <t>BOA/TDBank</t>
  </si>
  <si>
    <t>Ectrical box changed by Nook Electical</t>
  </si>
  <si>
    <t xml:space="preserve">Johnny did electrical wiring for kitchen and basement in Jan and Feb 2015. </t>
  </si>
  <si>
    <t>M/C</t>
  </si>
  <si>
    <t>International Students, Inc.</t>
  </si>
  <si>
    <t>Eric &amp; Isabel Hodges (#5346) for NYU international students ministry</t>
  </si>
  <si>
    <t>Dryer cleaning rod, sunray reflectors for cars</t>
  </si>
  <si>
    <t>Cost of Fixing up Glendale house:</t>
  </si>
  <si>
    <t>NY vs. NH</t>
  </si>
  <si>
    <t>Codes</t>
  </si>
  <si>
    <t>FY</t>
  </si>
  <si>
    <t>Waste</t>
  </si>
  <si>
    <t>Combined</t>
  </si>
  <si>
    <t>Water Rate Per 100 Cubic Feet (FY: Prior Year July 1st to Current Year June 30)</t>
  </si>
  <si>
    <t>Eric Hodges</t>
  </si>
  <si>
    <t>Eric &amp; Isabel Hodges (#5346) for NYU international students ministry, support begins June 2015</t>
  </si>
  <si>
    <t>Gas heating</t>
  </si>
  <si>
    <t>Gas cooking</t>
  </si>
  <si>
    <t>5/18/15-7/3/15</t>
  </si>
  <si>
    <t>6/22/15-8/7/15</t>
  </si>
  <si>
    <t>3/23-4/17 Paid by project.  Total $18,000</t>
  </si>
  <si>
    <t>6/22-6/26   Kitchen installation: wall and base cabinets &amp; pantry cabinet, LED under cabinet light, microwave hood exhaust, gas stove hookup</t>
  </si>
  <si>
    <t>6/22 - 6/26 Reimburse Johnny &amp; Justin for materials they bought for kitchen installation project</t>
  </si>
  <si>
    <t>Kraus Kitchen Sink</t>
  </si>
  <si>
    <t>Kraus Kitchen Faucet</t>
  </si>
  <si>
    <t>V</t>
  </si>
  <si>
    <t>V - visitors stay for 2 weeks and more; M- visitors stay for weekends or less than 2 weeks</t>
  </si>
  <si>
    <t>Retreat</t>
  </si>
  <si>
    <t>Meter Read</t>
  </si>
  <si>
    <t>Aug. 2015</t>
  </si>
  <si>
    <t>Momo &amp; Yachin Lin family visited 6/28-7/10 (2 weeks)</t>
  </si>
  <si>
    <t>Kitchen Appliances: microwave hood, oven, dish washer, counter-depth french door refrigerator</t>
  </si>
  <si>
    <t>Kitchen sink &amp; faucet (Kraus)</t>
  </si>
  <si>
    <t>Kitchen projects:</t>
  </si>
  <si>
    <t>Back splash (glass tiles)</t>
  </si>
  <si>
    <t>Actualized 2015</t>
  </si>
  <si>
    <t>Dec-Feb $200/mo, Nov, March, April $150/mos, the rest $30/mos.</t>
  </si>
  <si>
    <t>* Not using CFL light bulbs in 2014.  The previous owner used the non-energy saving light bulbs.  CFL/LED light bulbs used in April, 2015.  Moved in April 2015.</t>
  </si>
  <si>
    <t>Whirlpool laundry center (Baker apartment F504)</t>
  </si>
  <si>
    <t>Quart countertop (White Zesus)</t>
  </si>
  <si>
    <t>Backsplash - Out to Sea</t>
  </si>
  <si>
    <t>7/25  Johnny &amp; Justin came to install the filler panel next to the right side of oven and built a shelf near window</t>
  </si>
  <si>
    <t>Help stranger</t>
  </si>
  <si>
    <t>(1) Back to NH  7/31-8/1</t>
  </si>
  <si>
    <t>Water valve for washer will be installed 8/6/15.  Julie will help to sell the old laundry unit.</t>
  </si>
  <si>
    <t>Kitchen Cabinets &amp;countertop  total $10,920.26</t>
  </si>
  <si>
    <t>^ gas leakage for half day (4/6-4/7/15), 4/7 morning called gas company for repair.  Tighten the bolt on meter and gas pipe connection.</t>
  </si>
  <si>
    <t>Wear jackets in cool days indoor</t>
  </si>
  <si>
    <t>***** Cheaper to take two more showers a day in summer than turn the A/C on.  Electricity is more costly than water in NYC.</t>
  </si>
  <si>
    <t>Water Protection</t>
  </si>
  <si>
    <t>Sewer Protection</t>
  </si>
  <si>
    <t>Days</t>
  </si>
  <si>
    <t>(2) Back to NH again Kids and I 8/27-8/29</t>
  </si>
  <si>
    <t>(3) Orally accepted an offer for our NH house 8/27 @432,000</t>
  </si>
  <si>
    <t>(4) AiG plans to wire $462,200 our purchase cost for NH house to our account in early October.</t>
  </si>
  <si>
    <t>PRAISE THE LORD!!!!!</t>
  </si>
  <si>
    <t>additional countertop ordered (white Zesus)</t>
  </si>
  <si>
    <t xml:space="preserve">NY electricity is 2.5X NH.  NH electricity includes cooking.  Delivery charge/kwh in NY is 2X of NH + NY Sale Tax for Util 4.5% (11.67 cent vs. 6.62 cent).  Basic charge is more than 1.25X expensive than NH. </t>
  </si>
  <si>
    <t xml:space="preserve"> Supply charge is almost the same, expensive by 0.1+ cent.</t>
  </si>
  <si>
    <t>Rate per Cubit Feet</t>
  </si>
  <si>
    <t>Rate/cubit ft</t>
  </si>
  <si>
    <t>** Based on NH usage, our family uses about 5200 -7,000 cubit feet of water for cooking, shower, washing etc indoor.  About $240 a year.</t>
  </si>
  <si>
    <t>Based on NH usage, our family uses 2000 cubit feet of water per every three months.</t>
  </si>
  <si>
    <t xml:space="preserve">NY water is at least 6x expensiver than NH water ($) and it includes waste/sewer charge &amp; insurance.  In NH, we need to have our septic tank pumped every 2 years $271.   </t>
  </si>
  <si>
    <t>10/10 Justin came with his friend (Johnny unavailible) for plumbing hookup of sink, dishwasher, drain pipe, water supply</t>
  </si>
  <si>
    <t>Set. 2015</t>
  </si>
  <si>
    <t>Oct. 2015</t>
  </si>
  <si>
    <t>10/13/15 Balance</t>
  </si>
  <si>
    <t>10/26/15 Balance</t>
  </si>
  <si>
    <t>Thanksgiving offering</t>
  </si>
  <si>
    <t>(Interest for one year)</t>
  </si>
  <si>
    <t>Lend to Glendale Remodeling Project in 2015 (5)</t>
  </si>
  <si>
    <t>(5) Starting Jan. 215 borrowed to finish Glendale remodeling, total $15,700</t>
  </si>
  <si>
    <t>(2) 10/26/15 paid off loan borrowed from Dad Chou for Baker's &amp; Glendale's purchase $72,800</t>
  </si>
  <si>
    <t>(3) The remaining fund $36746.5 in Kuo's Pool Fund (future emergency fund)</t>
  </si>
  <si>
    <t>10/20/15 Net proceed of sale of Wasserman Hts house, NH $432502.12</t>
  </si>
  <si>
    <t xml:space="preserve">**(2) Borrowed from Dad Chou 2/4/2013 for Adams Street down payment $62,000   7/4/14 Borrowed from Dad Chou for 6913 67th Place, Glendale, NY </t>
  </si>
  <si>
    <t>(Pay off 10/26/15)</t>
  </si>
  <si>
    <t>$15,700, @3% APR, 18 months</t>
  </si>
  <si>
    <t>8/24/15-10/16/15, Mon-Fri nights</t>
  </si>
  <si>
    <t>10/12 &amp; 10/17 Justin with his friend - backsplash, led light for upper cabinets</t>
  </si>
  <si>
    <t>(1) 10/26/15 wired $322,955.62 to pay off Glendale house interest calculated by 10/28/15</t>
  </si>
  <si>
    <t>YEAR 2015</t>
  </si>
  <si>
    <t>God has blessed us so abundantly in 2013.  The year 2014 challenge to us is to give more and live even simplier life.</t>
  </si>
  <si>
    <t>1. Baker's condo rental income of $2500 in August, 2015 after vacant for one month.  (Purchased 3/15/13 for $316,000. 25% down, mortgage $237,000.  Market price around $400k in 2015)</t>
  </si>
  <si>
    <t>----&gt; If putting monthly extra principal $5000</t>
  </si>
  <si>
    <t>3. 10/26/15 Using $ from sale of NH house to pay off the loan borrowed from Dad Chou for Glendale house purchase and remodeling.</t>
  </si>
  <si>
    <t>2. 10/26/15 Using $ from sale of NH house to pay off Glendale mortgage. ( Purchased Glendale, NY house 9/5/14 for $418,000.  20% down, mortgage $334,400 @3.65% 7/1ARM)</t>
  </si>
  <si>
    <t>NH Property tax</t>
  </si>
  <si>
    <t>Principal</t>
  </si>
  <si>
    <t>2/4/13</t>
  </si>
  <si>
    <t>7/5/14</t>
  </si>
  <si>
    <t xml:space="preserve"> ACTUAL PAID interest</t>
  </si>
  <si>
    <t>PAID OFF DATE</t>
  </si>
  <si>
    <t>PROPERTY TAX (GLENDALE, NY 11385)</t>
  </si>
  <si>
    <t>AiG (American International Group)</t>
  </si>
  <si>
    <t>YEAR 2016 GOAL:</t>
  </si>
  <si>
    <t>(1) Continue to pay off credit card debt for Glendale's remodeling material purchase in 2 years (interest deferred benefit).</t>
  </si>
  <si>
    <t>(1) 10 Wasserman Hts, Merrimack, NH 03054</t>
  </si>
  <si>
    <t>Purchased</t>
  </si>
  <si>
    <t>Closing cost</t>
  </si>
  <si>
    <t>Sold</t>
  </si>
  <si>
    <t>(2) 1241 Adams Street, #F504, Dorchester, MA 02124</t>
  </si>
  <si>
    <t>Closing Cost</t>
  </si>
  <si>
    <t>(3) 69-13 67th Place, Glendale, NY 11385</t>
  </si>
  <si>
    <t>(Moving expense, realtor etc benefit will be added to CK's 2015 income for federal tax)</t>
  </si>
  <si>
    <t>Cartus compensate Loss</t>
  </si>
  <si>
    <t>(Property Tax $9190 in Year 2015)</t>
  </si>
  <si>
    <t>Fixing up / Remodeling about</t>
  </si>
  <si>
    <t>Net of Year 2013-2015 (negative, no profit yet)</t>
  </si>
  <si>
    <t>Total Cost -YTD</t>
  </si>
  <si>
    <t>Total mortgage interest paid</t>
  </si>
  <si>
    <t xml:space="preserve">10/28/15 paid off </t>
  </si>
  <si>
    <t>(mortgaged $334,000@3.625%)</t>
  </si>
  <si>
    <t>(mortgaged $237,000 @3%)</t>
  </si>
  <si>
    <t>(deficit.  Incl all rental income &amp; exp &amp; tax &amp;mgt fee etc)</t>
  </si>
  <si>
    <t>(incl. mortgage tax to state &amp; city)</t>
  </si>
  <si>
    <t>Remodeled it and rented it out for investment.  Plan to pay off mortgage in 2018.</t>
  </si>
  <si>
    <t>R/E Tax</t>
  </si>
  <si>
    <t>M</t>
  </si>
  <si>
    <t>F</t>
  </si>
  <si>
    <t>YEAR 2016 INCOME (ESTIMATED)</t>
  </si>
  <si>
    <t>Helen &amp; Elisa Teo</t>
  </si>
  <si>
    <t>Eric &amp; Isabel Hodges</t>
  </si>
  <si>
    <t>$100/qtr first, then in 2010 $200/qtr, $100/month in 2016</t>
  </si>
  <si>
    <t>$100/qtr first, then $100/month in 2016</t>
  </si>
  <si>
    <t>Nov.2015</t>
  </si>
  <si>
    <t>Dec.2015</t>
  </si>
  <si>
    <t>Kitchen project parts &amp; materials, lighting &amp; led light bulbs, dimmer &amp; dimmerable led light bulbs for dining room</t>
  </si>
  <si>
    <t xml:space="preserve">ok </t>
  </si>
  <si>
    <t>OK 12/1/15</t>
  </si>
  <si>
    <t>12/1/15</t>
  </si>
  <si>
    <t>12/26/15</t>
  </si>
  <si>
    <t>Property Tax (Glendale)</t>
  </si>
  <si>
    <t xml:space="preserve">Wireless Internet Connection (Verizon Fios) </t>
  </si>
  <si>
    <t>ConEdison</t>
  </si>
  <si>
    <t>DEP Water</t>
  </si>
  <si>
    <t>Home insurance</t>
  </si>
  <si>
    <t xml:space="preserve">Utilities: </t>
  </si>
  <si>
    <t>YEAR 2015  Moving to and living in NYC to serve Chinese immigrants and neighbors</t>
  </si>
  <si>
    <t>(2) Increase giving to church and missionaries to $18,000 in 2016 from $17,648 in 2015.</t>
  </si>
  <si>
    <t>Wasserman House sold @432K  10/20/15.  Baker's mgt fee $8171.04</t>
  </si>
  <si>
    <t>Remodeling cost $16300.76 from Oct to Dec.  Work expected to be done in March 2015.  Budget $50,000</t>
  </si>
  <si>
    <t>Cooking/Hot water</t>
  </si>
  <si>
    <t>NYC car insurance costs at least twice more than NH.</t>
  </si>
  <si>
    <t>2/9~2/14  Windows replacement, compound, trims, baseboard, Compound 1st&amp;2nd flr, Painting (but they spent whole week only replaced windows)</t>
  </si>
  <si>
    <t>Total Glendale Interior Remodeling Expense</t>
  </si>
  <si>
    <t>Year 2014 Remodeling Expense</t>
  </si>
  <si>
    <t>Year 2015 Remodeling Expense</t>
  </si>
  <si>
    <t>Liberty Mutual ($960 in 2015)</t>
  </si>
  <si>
    <t xml:space="preserve">Gasoline (Sienna) </t>
  </si>
  <si>
    <t xml:space="preserve">Gasoline (Camry) </t>
  </si>
  <si>
    <t>out of state traveling</t>
  </si>
  <si>
    <t>NYC local use</t>
  </si>
  <si>
    <t>Subway, bus, train, toll fee, parking</t>
  </si>
  <si>
    <t>EZ Pass Toll Fee</t>
  </si>
  <si>
    <t>Gasoline</t>
  </si>
  <si>
    <t>Public Transportation</t>
  </si>
  <si>
    <t>GLENDALE, NY 11385</t>
  </si>
  <si>
    <t xml:space="preserve">Indoor Applicance maintenance/repair (generator, A/C, water heater, furnance) </t>
  </si>
  <si>
    <t>Lego FLL</t>
  </si>
  <si>
    <t xml:space="preserve">Family Dine out </t>
  </si>
  <si>
    <t>Entertainment/Leisure</t>
  </si>
  <si>
    <t>Dine out with friends</t>
  </si>
  <si>
    <t>USPS, phonecard, fee, fine</t>
  </si>
  <si>
    <t>Glendale interior total renovation $117,872.52; ^ excluded Glendale mrtgage &amp; paidoff $347682.72</t>
  </si>
  <si>
    <t>Southern NH Rescue Mission</t>
  </si>
  <si>
    <t xml:space="preserve">Wireless Internet Connection (Time Warner's) </t>
  </si>
  <si>
    <t>N&amp;E's clothes</t>
  </si>
  <si>
    <t>clothes to TW family, lego keychains for neices &amp; nephews</t>
  </si>
  <si>
    <t>1/31/16 FLL tournament Queens area</t>
  </si>
  <si>
    <t>cancel the airflights for kids and FC, rescheduled for FLL tournament</t>
  </si>
  <si>
    <t>NYU international students, mostly Chinese students</t>
  </si>
  <si>
    <t>Christmas offering</t>
  </si>
  <si>
    <t>Nathan's BBC (Tae Kwon Do)</t>
  </si>
  <si>
    <t>Management Fee ($610 in 2016 from $564, 8.16% increse)</t>
  </si>
  <si>
    <t>penalty for canceling airfares+rebook flight tickets to TW</t>
  </si>
  <si>
    <t>Property Tax - Glendale, NY</t>
  </si>
  <si>
    <t>flat tire (left front))</t>
  </si>
  <si>
    <t>TW</t>
  </si>
  <si>
    <t>TW-visit Taiwan for more than 2 weeks</t>
  </si>
  <si>
    <t>Utility Expenses @ Glendale House</t>
  </si>
  <si>
    <t>11/2015 booked EVA $2114.79 (809.43+652.68+652.68)</t>
  </si>
  <si>
    <t>1/16/2016 booked Cathay Pacific $2119.99 (823.33+648.33+648.33)</t>
  </si>
  <si>
    <t>postage for mailing out CK's parents' green card applications</t>
  </si>
  <si>
    <t>1/31/16 am Chris leaves for Taiwan</t>
  </si>
  <si>
    <t>2/1/16 FC and kids to Taiwan</t>
  </si>
  <si>
    <t>Taiwan trip (CNY celebration) 2/1-2/23/16, Chris comes home on 2/13/16</t>
  </si>
  <si>
    <t>(water leakage - toilet, 2/5-2/12/15, repaired, basement wall cement)</t>
  </si>
  <si>
    <t>^ water leak or construction work</t>
  </si>
  <si>
    <t>Nathan's programming lessons - annuak fee</t>
  </si>
  <si>
    <t>Duty Free Shop (TW Travel)</t>
  </si>
  <si>
    <t>Chinese New Year Red Envelops &amp; misc. expenses in Taiwan (Exchaged to TWD and deposited the remaint to TW bank account of FC)</t>
  </si>
  <si>
    <t>2016 CNY Red envelop</t>
  </si>
  <si>
    <t>TWD $36000 for 2016 CNY</t>
  </si>
  <si>
    <t>Year 2016 Tithe</t>
  </si>
  <si>
    <t>Year 2016</t>
  </si>
  <si>
    <t xml:space="preserve">Date </t>
  </si>
  <si>
    <t>10/19/15 - 12/11/15, Mon - Fri nights</t>
  </si>
  <si>
    <t>1/11/16-3/4/16, Mon-Fri nights</t>
  </si>
  <si>
    <t>15th Anniversary celebration w/ kids and Pastor &amp; Mrs. Su</t>
  </si>
  <si>
    <t>cough drops</t>
  </si>
  <si>
    <t>contact lense solution</t>
  </si>
  <si>
    <t>Note/Non-Heating:</t>
  </si>
  <si>
    <t>* Not moving in yet.  HW only in 4/15-6/15.  7/15 began using gas for cooking.  Furniture in 9/14/15.  The kitchen and sink totally done in mid 10/2015.</t>
  </si>
  <si>
    <t>Winter months (Dec to April) cook stews, soups and bake more.  Also winter/cold months use more hot water for showers.</t>
  </si>
  <si>
    <t xml:space="preserve">$30/mo, yearly = </t>
  </si>
  <si>
    <t>AIG (Began 4/6/15 $175K, same in 2016.  Federal 30%, NYS&amp;NYC 15%)</t>
  </si>
  <si>
    <t>Bonus - AiG $45,000 in 2015 &amp; 2016. (paying off Baker's and saving for kids college fund, emergency fund and investment)</t>
  </si>
  <si>
    <t>WSJ subscription</t>
  </si>
  <si>
    <t>Tae Kwon Do (Nathan to Blue 1 &amp; Purple, Eileen to orange and green)</t>
  </si>
  <si>
    <t>curtain and rods for living/dining area to let the sunlight in</t>
  </si>
  <si>
    <t>(Bonus $14775.24)</t>
  </si>
  <si>
    <t>(1) Teaching Sunday School 5th &amp; 6th graders</t>
  </si>
  <si>
    <t>CK's watch</t>
  </si>
  <si>
    <t>facial cream &amp; treatment products</t>
  </si>
  <si>
    <t>Acct: 1000605361001</t>
  </si>
  <si>
    <t>http://www.nyc.gov/html/dep/html/home/home.shtml</t>
  </si>
  <si>
    <t>Liberty Mutual ($1577, effected 4/5/16)</t>
  </si>
  <si>
    <t>Liberty Mutual (NYS 2 cars comprehension $1577)</t>
  </si>
  <si>
    <t>Liberty Mutual ($1577 NYS, 2 cars)</t>
  </si>
  <si>
    <t xml:space="preserve">power steering fluid leak, flat tire </t>
  </si>
  <si>
    <t>N&amp;E's desks for school in their own rooms</t>
  </si>
  <si>
    <t>NYS driver license &amp; car registration (CK&amp;FC)</t>
  </si>
  <si>
    <t>Refund of NH car insurance 4/27/16</t>
  </si>
  <si>
    <t>NH car insurance</t>
  </si>
  <si>
    <t>Cycle Challenge Cancer</t>
  </si>
  <si>
    <t xml:space="preserve">To support Lenette Peterson to cycle for children's brain cancer healing </t>
  </si>
  <si>
    <t>Cash 1/29/16</t>
  </si>
  <si>
    <t>First winter living in Glendale (2015/2016), house temp set normally 65F (68F~63F).  While traveling, set as 55F.  Careful for frozen pipes in the winter February while we're away traveling.</t>
  </si>
  <si>
    <t>Turn off heat in Jun to Oct.</t>
  </si>
  <si>
    <t>2014 income after tax is</t>
  </si>
  <si>
    <t>2015 Income after tax is</t>
  </si>
  <si>
    <t>This Year Income After Tax is</t>
  </si>
  <si>
    <t>God clearly burdened us for Chinese immigrants ministry after 5/24-5/27/14 retreat w/Newtown Church.  Purchased Glendale, NY house 9/5/14 @$418K, not our plan but w/thankfulness for God provided this house in a quiet neighborhood.</t>
  </si>
  <si>
    <t>10/20/15 sale of 10 Wasserman Hts, Merrimack, NH 02054 for $432,000.  10/26/16 paid off Glendale house.</t>
  </si>
  <si>
    <t>Moving in to Glendale house in April for CK's new job begin and 9/13/15 all furniture moved in.  House remodeling most finished in April; kitchen remodeling done by Oct.</t>
  </si>
  <si>
    <t>parking violation</t>
  </si>
  <si>
    <t>Eileen's twin mattress</t>
  </si>
  <si>
    <t>1/29/16 cash out</t>
  </si>
  <si>
    <t>Cycle Challenge</t>
  </si>
  <si>
    <t>soccer training cones</t>
  </si>
  <si>
    <t>Marty &amp; Judy gavr birth to Tyn.  Cee &amp; Ahnn stayed with us 4/22-5/19.</t>
  </si>
  <si>
    <t>Reconciliation</t>
  </si>
  <si>
    <t>lunch @HK airport</t>
  </si>
  <si>
    <t>Memorial Day Weekends (Newtown Retreat)</t>
  </si>
  <si>
    <t>TKD promotional test (N-Purple II, E-Blue)</t>
  </si>
  <si>
    <t xml:space="preserve">Kids moved to their rooms for school.  </t>
  </si>
  <si>
    <t>Glendale house is normally at 65F in winter, but NH house costed more to keep 65F all the time.</t>
  </si>
  <si>
    <t>sewage pump up in NH is @271 every two years.</t>
  </si>
  <si>
    <t>$40 gift to Tyn Chan (Marty &amp; Judy's son birth), received $200 gift card &amp; $100 gift card from Judy &amp; Marty</t>
  </si>
  <si>
    <t>(cash paid by S&amp;S gift card)</t>
  </si>
  <si>
    <t>battery for N's watch</t>
  </si>
  <si>
    <t xml:space="preserve">Walmart gift card </t>
  </si>
  <si>
    <t>ink</t>
  </si>
  <si>
    <t>state inspection (2 cars)</t>
  </si>
  <si>
    <t>Swanson's order</t>
  </si>
  <si>
    <t>21.61 N&amp;E's blue recorders (Walmart gift card)</t>
  </si>
  <si>
    <t>water &amp; ice filter for refrig, oral-B powered toothbrushes (Walmart gift card)</t>
  </si>
  <si>
    <t>Federal $13657, NYS $4012.45</t>
  </si>
  <si>
    <t>S&amp;S gift card paid</t>
  </si>
  <si>
    <t xml:space="preserve">(1) Nathan's TKD expenses: </t>
  </si>
  <si>
    <t>(2) Eileen's TKD expense:</t>
  </si>
  <si>
    <t>Rawee &amp; Nui  Bankok</t>
  </si>
  <si>
    <t>Bathtub faucet/ hot water catridge replacement</t>
  </si>
  <si>
    <t>Property Paid in 2016</t>
  </si>
  <si>
    <t xml:space="preserve">Glendale, NY </t>
  </si>
  <si>
    <t>paid in full 7/1/16</t>
  </si>
  <si>
    <t>Zum Stammtisch, w/ Morgan Chen family</t>
  </si>
  <si>
    <t>(special gift for Celinda's cancer treatment)</t>
  </si>
  <si>
    <t>cash gift to Pastor &amp; Mrs. Su for airfare to Taiwan</t>
  </si>
  <si>
    <t>Baker's Extra Mrgt</t>
  </si>
  <si>
    <t>DVD Grade 7 &amp; CAT test ordered</t>
  </si>
  <si>
    <t>in-laws</t>
  </si>
  <si>
    <t>6/4 Young professionals fellwoship 17 people @Kuo's</t>
  </si>
  <si>
    <t>In-laws' metro cards</t>
  </si>
  <si>
    <t>N's Queen size bed frame &amp; shoe cabinet</t>
  </si>
  <si>
    <t>Tour group &amp; pocket $ (sent In-law to Washinton DC)</t>
  </si>
  <si>
    <t>Amazon orders</t>
  </si>
  <si>
    <t>#2089 piano lessons, $100 cash Eileen's art paid in the end of June for July lessons.</t>
  </si>
  <si>
    <t>John R. Ghublikian Jr. moved out, the last month rent was received in Aug 2015 as deposit.</t>
  </si>
  <si>
    <t>New tenants Jeff Silva &amp; Kate 9/1/16-8/31/17</t>
  </si>
  <si>
    <t>In-law gave</t>
  </si>
  <si>
    <t>Tour group etc</t>
  </si>
  <si>
    <t>Restaurnat cost</t>
  </si>
  <si>
    <t>Rawee &amp; Nui Bunupuradah</t>
  </si>
  <si>
    <t>Bangkok, Thailand, starting support in July 2016</t>
  </si>
  <si>
    <t>United World Mission</t>
  </si>
  <si>
    <t>$6000 to Baker's principal.</t>
  </si>
  <si>
    <t>Bonus of $14775.24. $13,000 to Baker's principal.</t>
  </si>
  <si>
    <t>$10,000 to Baker's Principal.  $10,000 cash gift to Lehner for Celinda's cancer treatment in USA.</t>
  </si>
  <si>
    <t xml:space="preserve"> Found new tenants Jeffrey Silva for 9/1/16-8/31017, $2500 deposit received 7/13/16.</t>
  </si>
  <si>
    <t>Jeffrey Silva's deposit received 7/13/16</t>
  </si>
  <si>
    <t>parents in law gave to us. (I used them to pay the restaurant cos and other t they were here with us)</t>
  </si>
  <si>
    <t>via credit card &amp; cash restaurant payments</t>
  </si>
  <si>
    <t>Out of our pocket, we paid</t>
  </si>
  <si>
    <t>Parking &amp; Metro Card</t>
  </si>
  <si>
    <t>Eileen's art class supplies purchase, N&amp;E piano lessons $152 cash 1/29/16</t>
  </si>
  <si>
    <t>N&amp;E's April piano lessons (cash $150 1/29/16)+Eileen's art lessons</t>
  </si>
  <si>
    <t>5/25/16 $220, $100 cash 6/15/16</t>
  </si>
  <si>
    <t>(3) In-laws visited 6/14-7/13</t>
  </si>
  <si>
    <t>In-law visited us 6/14-7/13 (one month)</t>
  </si>
  <si>
    <t>USB, HDMI cables</t>
  </si>
  <si>
    <t>In-laws 6/14-7/13</t>
  </si>
  <si>
    <t>A/C on 6/4/16 young professional fellowship; 17 people came.</t>
  </si>
  <si>
    <t>plastic wrap for mattress spring box</t>
  </si>
  <si>
    <t>HW is the biggest non-heating gas consuming appliance in house.  Set lowest in summer: July/August.  Then, @120F .</t>
  </si>
  <si>
    <t>Summer months do more loads of laundry, one per every other day.</t>
  </si>
  <si>
    <t>In-laws visited 6/14-7/13.</t>
  </si>
  <si>
    <t>CK's elementary friend Jeff &amp; his family visited 7/21</t>
  </si>
  <si>
    <t>Mason &amp; Charity Parker visited 7/24</t>
  </si>
  <si>
    <t>AiG</t>
  </si>
  <si>
    <t>+</t>
  </si>
  <si>
    <t>=</t>
  </si>
  <si>
    <t>-</t>
  </si>
  <si>
    <t>BMM</t>
  </si>
  <si>
    <t>ConEd</t>
  </si>
  <si>
    <t>Barkan Mgt</t>
  </si>
  <si>
    <t>Liberty Mutual (home insurance)</t>
  </si>
  <si>
    <t>HD Credit Svcs</t>
  </si>
  <si>
    <t>Bank of Canton</t>
  </si>
  <si>
    <t>DEP water</t>
  </si>
  <si>
    <t>Piano</t>
  </si>
  <si>
    <t>Art</t>
  </si>
  <si>
    <t>Nat'l Grid</t>
  </si>
  <si>
    <t>EMU Int'l</t>
  </si>
  <si>
    <t>SV ACCT</t>
  </si>
  <si>
    <t>Saving</t>
  </si>
  <si>
    <t>Monthly Fixed Expenses:</t>
  </si>
  <si>
    <t>Untility (Last Month)</t>
  </si>
  <si>
    <t>Baker's (R/E)</t>
  </si>
  <si>
    <t>Debt (HD credit card)</t>
  </si>
  <si>
    <t>Children's</t>
  </si>
  <si>
    <t>Monthly Credit Card (estimated)</t>
  </si>
  <si>
    <t xml:space="preserve"> (grocery, gasoline)</t>
  </si>
  <si>
    <t>(paid off in March 2017, then save this $2000)</t>
  </si>
  <si>
    <t>(can we spen less than $1200 a month?)</t>
  </si>
  <si>
    <t>Ink catriges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</si>
</sst>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6" formatCode="&quot;$&quot;#,##0_);[Red]\(&quot;$&quot;#,##0\)"/>
    <numFmt numFmtId="8" formatCode="&quot;$&quot;#,##0.00_);[Red]\(&quot;$&quot;#,##0.00\)"/>
    <numFmt numFmtId="164" formatCode="&quot; $&quot;#,##0.00\ ;&quot; $(&quot;#,##0.00\);&quot; $-&quot;#\ ;@\ "/>
    <numFmt numFmtId="165" formatCode="#,##0.00\ ;&quot; (&quot;#,##0.00\);&quot; -&quot;#\ ;@\ "/>
    <numFmt numFmtId="166" formatCode="[$$-409]#,##0.00;[Red]\-[$$-409]#,##0.00"/>
    <numFmt numFmtId="167" formatCode="#,##0.0"/>
    <numFmt numFmtId="168" formatCode="0.000%"/>
    <numFmt numFmtId="169" formatCode="\$#,##0\ ;[Red]&quot;($&quot;#,##0\)"/>
    <numFmt numFmtId="170" formatCode="\$#,##0.00\ ;[Red]&quot;($&quot;#,##0.00\)"/>
    <numFmt numFmtId="171" formatCode="mm/dd/yy"/>
    <numFmt numFmtId="172" formatCode="[$$-409]#,##0.00_ ;[Red]\-[$$-409]#,##0.00\ "/>
    <numFmt numFmtId="173" formatCode="_(* #,##0.00_);_(* \(#,##0.00\);_(* \-??_);_(@_)"/>
    <numFmt numFmtId="174" formatCode="_-[$$-409]* #,##0.00_ ;_-[$$-409]* \-#,##0.00\ ;_-[$$-409]* \-??_ ;_-@_ "/>
    <numFmt numFmtId="175" formatCode="[$$-409]#,##0.00;[Red][$$-409]#,##0.00"/>
    <numFmt numFmtId="176" formatCode="_-[$$-409]* #,##0.00_ ;_-[$$-409]* \-#,##0.00\ ;_-[$$-409]* &quot;-&quot;??_ ;_-@_ "/>
    <numFmt numFmtId="177" formatCode="&quot; $&quot;#,##0.0000\ ;&quot; $(&quot;#,##0.0000\);&quot; $-&quot;#.00\ ;@\ "/>
    <numFmt numFmtId="178" formatCode="&quot; $&quot;#,##0.00000\ ;&quot; $(&quot;#,##0.00000\);&quot; $-&quot;#.000\ ;@\ "/>
    <numFmt numFmtId="179" formatCode="[$$-409]#,##0.0000;[Red][$$-409]#,##0.0000"/>
  </numFmts>
  <fonts count="45"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Century Schoolbook L"/>
      <family val="1"/>
    </font>
    <font>
      <b/>
      <i/>
      <sz val="12"/>
      <color indexed="53"/>
      <name val="Century Schoolbook L"/>
      <family val="1"/>
    </font>
    <font>
      <b/>
      <i/>
      <sz val="10"/>
      <color indexed="53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Bitstream Charter"/>
      <family val="1"/>
    </font>
    <font>
      <b/>
      <sz val="12"/>
      <name val="Bitstream Charter"/>
      <family val="1"/>
    </font>
    <font>
      <sz val="10"/>
      <name val="Arial"/>
      <family val="2"/>
    </font>
    <font>
      <sz val="10.5"/>
      <name val="Century"/>
      <family val="1"/>
    </font>
    <font>
      <sz val="10.5"/>
      <color rgb="FFFF0000"/>
      <name val="Century"/>
      <family val="1"/>
    </font>
    <font>
      <b/>
      <sz val="10.5"/>
      <color indexed="10"/>
      <name val="Century"/>
      <family val="1"/>
    </font>
    <font>
      <b/>
      <sz val="10.5"/>
      <name val="Century"/>
      <family val="1"/>
    </font>
    <font>
      <sz val="10.5"/>
      <color indexed="10"/>
      <name val="Century"/>
      <family val="1"/>
    </font>
    <font>
      <sz val="10"/>
      <name val="Century"/>
      <family val="1"/>
    </font>
    <font>
      <b/>
      <sz val="12"/>
      <name val="Century"/>
      <family val="1"/>
    </font>
    <font>
      <b/>
      <sz val="10"/>
      <name val="Century"/>
      <family val="1"/>
    </font>
    <font>
      <sz val="12"/>
      <name val="Century"/>
      <family val="1"/>
    </font>
    <font>
      <b/>
      <sz val="10.5"/>
      <color rgb="FFFF0000"/>
      <name val="Century"/>
      <family val="1"/>
    </font>
    <font>
      <sz val="12"/>
      <name val="Bitstream Charter"/>
      <family val="1"/>
    </font>
    <font>
      <sz val="12"/>
      <color indexed="8"/>
      <name val="Bitstream Charter"/>
      <family val="1"/>
    </font>
    <font>
      <u/>
      <sz val="12"/>
      <name val="Bitstream Charter"/>
      <family val="1"/>
    </font>
    <font>
      <b/>
      <i/>
      <sz val="12"/>
      <color rgb="FF000000"/>
      <name val="Arial"/>
      <family val="2"/>
    </font>
    <font>
      <b/>
      <i/>
      <sz val="12"/>
      <name val="Bitstream Charter"/>
    </font>
    <font>
      <b/>
      <sz val="12"/>
      <name val="Bitstream Charter"/>
    </font>
    <font>
      <sz val="11"/>
      <name val="Century"/>
      <family val="1"/>
    </font>
    <font>
      <sz val="11"/>
      <color indexed="10"/>
      <name val="Century"/>
      <family val="1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Bitstream Charter"/>
      <family val="1"/>
    </font>
    <font>
      <b/>
      <sz val="10"/>
      <color rgb="FFFF0000"/>
      <name val="Bitstream Charter"/>
    </font>
    <font>
      <b/>
      <i/>
      <sz val="12"/>
      <color rgb="FFFF0000"/>
      <name val="Bitstream Charter"/>
    </font>
    <font>
      <sz val="10"/>
      <color rgb="FFFF0000"/>
      <name val="Arial"/>
      <family val="2"/>
    </font>
    <font>
      <b/>
      <sz val="12"/>
      <color rgb="FFFF0000"/>
      <name val="Bitstream Charter"/>
    </font>
    <font>
      <b/>
      <sz val="10"/>
      <name val="Bitstream Charter"/>
    </font>
    <font>
      <sz val="11"/>
      <name val="Arial"/>
      <family val="2"/>
    </font>
    <font>
      <b/>
      <sz val="11"/>
      <name val="Arial"/>
      <family val="2"/>
    </font>
    <font>
      <u/>
      <sz val="10"/>
      <color theme="10"/>
      <name val="Arial"/>
      <family val="2"/>
    </font>
    <font>
      <sz val="11"/>
      <color rgb="FFFF0000"/>
      <name val="Arial"/>
      <family val="2"/>
    </font>
    <font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73" fontId="12" fillId="0" borderId="0" applyFill="0" applyBorder="0" applyAlignment="0" applyProtection="0"/>
    <xf numFmtId="164" fontId="12" fillId="0" borderId="0"/>
    <xf numFmtId="165" fontId="12" fillId="0" borderId="0"/>
    <xf numFmtId="9" fontId="12" fillId="0" borderId="0"/>
    <xf numFmtId="0" fontId="42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Font="1"/>
    <xf numFmtId="164" fontId="0" fillId="0" borderId="0" xfId="0" applyNumberFormat="1" applyFont="1"/>
    <xf numFmtId="164" fontId="1" fillId="0" borderId="1" xfId="0" applyNumberFormat="1" applyFont="1" applyBorder="1"/>
    <xf numFmtId="9" fontId="1" fillId="0" borderId="0" xfId="4" applyFont="1" applyBorder="1" applyAlignment="1" applyProtection="1"/>
    <xf numFmtId="165" fontId="0" fillId="0" borderId="0" xfId="3" applyFont="1" applyBorder="1" applyAlignment="1" applyProtection="1"/>
    <xf numFmtId="9" fontId="0" fillId="0" borderId="0" xfId="4" applyFont="1" applyBorder="1" applyAlignment="1" applyProtection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2" applyFont="1" applyBorder="1" applyAlignment="1" applyProtection="1"/>
    <xf numFmtId="164" fontId="0" fillId="0" borderId="0" xfId="0" applyNumberFormat="1"/>
    <xf numFmtId="10" fontId="12" fillId="0" borderId="0" xfId="4" applyNumberFormat="1"/>
    <xf numFmtId="167" fontId="0" fillId="0" borderId="0" xfId="0" applyNumberFormat="1"/>
    <xf numFmtId="168" fontId="0" fillId="0" borderId="0" xfId="4" applyNumberFormat="1" applyFont="1" applyBorder="1" applyAlignment="1" applyProtection="1"/>
    <xf numFmtId="0" fontId="7" fillId="0" borderId="0" xfId="0" applyFont="1"/>
    <xf numFmtId="0" fontId="7" fillId="0" borderId="0" xfId="0" applyFont="1" applyAlignment="1">
      <alignment horizontal="center"/>
    </xf>
    <xf numFmtId="14" fontId="0" fillId="0" borderId="0" xfId="0" applyNumberFormat="1" applyFont="1"/>
    <xf numFmtId="169" fontId="0" fillId="0" borderId="2" xfId="0" applyNumberFormat="1" applyBorder="1"/>
    <xf numFmtId="169" fontId="0" fillId="0" borderId="0" xfId="0" applyNumberFormat="1"/>
    <xf numFmtId="170" fontId="0" fillId="0" borderId="0" xfId="0" applyNumberFormat="1"/>
    <xf numFmtId="0" fontId="8" fillId="0" borderId="0" xfId="0" applyFont="1"/>
    <xf numFmtId="0" fontId="1" fillId="0" borderId="0" xfId="0" applyFont="1" applyBorder="1"/>
    <xf numFmtId="0" fontId="0" fillId="0" borderId="1" xfId="0" applyBorder="1"/>
    <xf numFmtId="0" fontId="10" fillId="0" borderId="0" xfId="0" applyFont="1"/>
    <xf numFmtId="0" fontId="11" fillId="0" borderId="0" xfId="0" applyFont="1"/>
    <xf numFmtId="166" fontId="10" fillId="0" borderId="0" xfId="0" applyNumberFormat="1" applyFont="1"/>
    <xf numFmtId="0" fontId="10" fillId="0" borderId="3" xfId="0" applyFont="1" applyBorder="1"/>
    <xf numFmtId="166" fontId="10" fillId="0" borderId="3" xfId="0" applyNumberFormat="1" applyFont="1" applyBorder="1"/>
    <xf numFmtId="0" fontId="10" fillId="0" borderId="0" xfId="0" applyFont="1" applyBorder="1"/>
    <xf numFmtId="0" fontId="10" fillId="0" borderId="0" xfId="0" applyFont="1" applyFill="1"/>
    <xf numFmtId="166" fontId="10" fillId="0" borderId="0" xfId="0" applyNumberFormat="1" applyFont="1" applyBorder="1"/>
    <xf numFmtId="0" fontId="10" fillId="0" borderId="0" xfId="0" applyFont="1" applyFill="1" applyBorder="1"/>
    <xf numFmtId="174" fontId="10" fillId="0" borderId="0" xfId="0" applyNumberFormat="1" applyFont="1"/>
    <xf numFmtId="0" fontId="0" fillId="0" borderId="7" xfId="0" applyBorder="1"/>
    <xf numFmtId="173" fontId="0" fillId="0" borderId="0" xfId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5" fillId="0" borderId="0" xfId="0" applyFont="1"/>
    <xf numFmtId="0" fontId="16" fillId="0" borderId="0" xfId="0" applyFont="1"/>
    <xf numFmtId="165" fontId="13" fillId="0" borderId="0" xfId="0" applyNumberFormat="1" applyFont="1"/>
    <xf numFmtId="166" fontId="17" fillId="0" borderId="0" xfId="0" applyNumberFormat="1" applyFont="1"/>
    <xf numFmtId="0" fontId="13" fillId="2" borderId="0" xfId="0" applyFont="1" applyFill="1"/>
    <xf numFmtId="164" fontId="16" fillId="0" borderId="0" xfId="2" applyFont="1" applyBorder="1" applyAlignment="1" applyProtection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8" fillId="0" borderId="0" xfId="0" applyFont="1"/>
    <xf numFmtId="0" fontId="13" fillId="0" borderId="10" xfId="0" applyFont="1" applyBorder="1"/>
    <xf numFmtId="0" fontId="13" fillId="0" borderId="11" xfId="0" applyFont="1" applyBorder="1"/>
    <xf numFmtId="0" fontId="13" fillId="4" borderId="10" xfId="0" applyFont="1" applyFill="1" applyBorder="1"/>
    <xf numFmtId="166" fontId="13" fillId="0" borderId="0" xfId="0" applyNumberFormat="1" applyFont="1" applyAlignment="1">
      <alignment horizontal="center" vertical="center"/>
    </xf>
    <xf numFmtId="0" fontId="13" fillId="0" borderId="7" xfId="0" applyFont="1" applyBorder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165" fontId="18" fillId="0" borderId="0" xfId="3" applyFont="1" applyBorder="1" applyAlignment="1" applyProtection="1"/>
    <xf numFmtId="164" fontId="20" fillId="0" borderId="0" xfId="2" applyFont="1" applyBorder="1" applyAlignment="1" applyProtection="1"/>
    <xf numFmtId="165" fontId="18" fillId="0" borderId="0" xfId="0" applyNumberFormat="1" applyFont="1"/>
    <xf numFmtId="4" fontId="16" fillId="0" borderId="0" xfId="0" applyNumberFormat="1" applyFont="1" applyBorder="1"/>
    <xf numFmtId="0" fontId="13" fillId="4" borderId="0" xfId="0" applyFont="1" applyFill="1" applyBorder="1"/>
    <xf numFmtId="0" fontId="18" fillId="5" borderId="0" xfId="0" applyFont="1" applyFill="1"/>
    <xf numFmtId="165" fontId="18" fillId="5" borderId="0" xfId="0" applyNumberFormat="1" applyFont="1" applyFill="1"/>
    <xf numFmtId="0" fontId="13" fillId="4" borderId="0" xfId="0" applyFont="1" applyFill="1"/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right"/>
    </xf>
    <xf numFmtId="0" fontId="13" fillId="5" borderId="0" xfId="0" applyFont="1" applyFill="1" applyBorder="1"/>
    <xf numFmtId="166" fontId="17" fillId="5" borderId="0" xfId="0" applyNumberFormat="1" applyFont="1" applyFill="1"/>
    <xf numFmtId="0" fontId="13" fillId="5" borderId="0" xfId="0" applyFont="1" applyFill="1"/>
    <xf numFmtId="0" fontId="13" fillId="0" borderId="8" xfId="0" applyFont="1" applyBorder="1"/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right"/>
    </xf>
    <xf numFmtId="0" fontId="18" fillId="0" borderId="0" xfId="0" applyFont="1" applyFill="1"/>
    <xf numFmtId="166" fontId="17" fillId="0" borderId="16" xfId="0" applyNumberFormat="1" applyFont="1" applyBorder="1"/>
    <xf numFmtId="0" fontId="13" fillId="6" borderId="15" xfId="0" applyFont="1" applyFill="1" applyBorder="1" applyAlignment="1">
      <alignment horizontal="right"/>
    </xf>
    <xf numFmtId="8" fontId="10" fillId="0" borderId="0" xfId="0" applyNumberFormat="1" applyFont="1" applyBorder="1"/>
    <xf numFmtId="174" fontId="10" fillId="0" borderId="9" xfId="0" applyNumberFormat="1" applyFont="1" applyBorder="1"/>
    <xf numFmtId="175" fontId="13" fillId="0" borderId="0" xfId="0" applyNumberFormat="1" applyFont="1" applyBorder="1"/>
    <xf numFmtId="0" fontId="22" fillId="0" borderId="0" xfId="0" applyFont="1"/>
    <xf numFmtId="0" fontId="10" fillId="8" borderId="0" xfId="0" applyFont="1" applyFill="1" applyBorder="1"/>
    <xf numFmtId="166" fontId="10" fillId="8" borderId="0" xfId="0" applyNumberFormat="1" applyFont="1" applyFill="1" applyBorder="1"/>
    <xf numFmtId="0" fontId="23" fillId="0" borderId="0" xfId="0" applyFont="1"/>
    <xf numFmtId="0" fontId="24" fillId="3" borderId="0" xfId="0" applyFont="1" applyFill="1" applyAlignment="1">
      <alignment horizontal="center"/>
    </xf>
    <xf numFmtId="0" fontId="23" fillId="0" borderId="0" xfId="0" applyFont="1" applyAlignment="1">
      <alignment horizontal="right"/>
    </xf>
    <xf numFmtId="0" fontId="23" fillId="3" borderId="0" xfId="0" applyFont="1" applyFill="1" applyAlignment="1">
      <alignment horizontal="center"/>
    </xf>
    <xf numFmtId="0" fontId="23" fillId="0" borderId="0" xfId="0" applyFont="1" applyFill="1"/>
    <xf numFmtId="0" fontId="23" fillId="8" borderId="0" xfId="0" applyFont="1" applyFill="1"/>
    <xf numFmtId="0" fontId="23" fillId="7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Border="1"/>
    <xf numFmtId="0" fontId="25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171" fontId="23" fillId="0" borderId="0" xfId="0" applyNumberFormat="1" applyFont="1"/>
    <xf numFmtId="0" fontId="27" fillId="0" borderId="0" xfId="0" applyFont="1" applyAlignment="1">
      <alignment horizontal="center"/>
    </xf>
    <xf numFmtId="14" fontId="13" fillId="0" borderId="0" xfId="0" applyNumberFormat="1" applyFont="1"/>
    <xf numFmtId="173" fontId="12" fillId="0" borderId="0" xfId="1"/>
    <xf numFmtId="173" fontId="12" fillId="0" borderId="0" xfId="1" applyBorder="1" applyAlignment="1" applyProtection="1"/>
    <xf numFmtId="0" fontId="10" fillId="9" borderId="3" xfId="0" applyFont="1" applyFill="1" applyBorder="1"/>
    <xf numFmtId="174" fontId="10" fillId="9" borderId="3" xfId="0" applyNumberFormat="1" applyFont="1" applyFill="1" applyBorder="1"/>
    <xf numFmtId="164" fontId="12" fillId="9" borderId="9" xfId="2" applyFill="1" applyBorder="1"/>
    <xf numFmtId="0" fontId="27" fillId="0" borderId="0" xfId="0" applyFont="1"/>
    <xf numFmtId="0" fontId="0" fillId="0" borderId="0" xfId="0" applyAlignment="1">
      <alignment horizontal="right"/>
    </xf>
    <xf numFmtId="164" fontId="1" fillId="0" borderId="0" xfId="2" applyFont="1"/>
    <xf numFmtId="173" fontId="12" fillId="9" borderId="9" xfId="1" applyFill="1" applyBorder="1"/>
    <xf numFmtId="0" fontId="0" fillId="0" borderId="0" xfId="0" applyAlignment="1">
      <alignment horizontal="center"/>
    </xf>
    <xf numFmtId="4" fontId="0" fillId="0" borderId="0" xfId="0" applyNumberFormat="1" applyFont="1"/>
    <xf numFmtId="164" fontId="0" fillId="0" borderId="17" xfId="0" applyNumberFormat="1" applyFont="1" applyBorder="1"/>
    <xf numFmtId="0" fontId="0" fillId="0" borderId="15" xfId="0" applyBorder="1"/>
    <xf numFmtId="14" fontId="0" fillId="0" borderId="0" xfId="0" applyNumberFormat="1"/>
    <xf numFmtId="0" fontId="26" fillId="0" borderId="9" xfId="0" applyFont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0" fontId="7" fillId="0" borderId="0" xfId="0" applyFont="1" applyBorder="1"/>
    <xf numFmtId="164" fontId="12" fillId="0" borderId="0" xfId="2"/>
    <xf numFmtId="0" fontId="16" fillId="0" borderId="8" xfId="0" applyFont="1" applyBorder="1"/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9" fillId="0" borderId="0" xfId="0" applyFont="1"/>
    <xf numFmtId="0" fontId="29" fillId="5" borderId="0" xfId="0" applyFont="1" applyFill="1"/>
    <xf numFmtId="165" fontId="29" fillId="0" borderId="0" xfId="3" applyFont="1" applyBorder="1" applyAlignment="1" applyProtection="1"/>
    <xf numFmtId="165" fontId="29" fillId="0" borderId="0" xfId="0" applyNumberFormat="1" applyFont="1"/>
    <xf numFmtId="165" fontId="29" fillId="5" borderId="0" xfId="0" applyNumberFormat="1" applyFont="1" applyFill="1"/>
    <xf numFmtId="0" fontId="29" fillId="6" borderId="0" xfId="0" applyFont="1" applyFill="1"/>
    <xf numFmtId="0" fontId="29" fillId="4" borderId="0" xfId="0" applyFont="1" applyFill="1"/>
    <xf numFmtId="0" fontId="29" fillId="6" borderId="0" xfId="0" applyFont="1" applyFill="1" applyAlignment="1">
      <alignment horizontal="center"/>
    </xf>
    <xf numFmtId="0" fontId="29" fillId="4" borderId="0" xfId="0" applyFont="1" applyFill="1" applyAlignment="1">
      <alignment horizontal="center"/>
    </xf>
    <xf numFmtId="0" fontId="29" fillId="6" borderId="0" xfId="0" applyFont="1" applyFill="1" applyAlignment="1">
      <alignment horizontal="right"/>
    </xf>
    <xf numFmtId="0" fontId="29" fillId="4" borderId="0" xfId="0" applyFont="1" applyFill="1" applyAlignment="1">
      <alignment horizontal="right"/>
    </xf>
    <xf numFmtId="0" fontId="29" fillId="6" borderId="15" xfId="0" applyFont="1" applyFill="1" applyBorder="1" applyAlignment="1">
      <alignment horizontal="right"/>
    </xf>
    <xf numFmtId="0" fontId="29" fillId="4" borderId="0" xfId="0" applyFont="1" applyFill="1" applyBorder="1"/>
    <xf numFmtId="0" fontId="29" fillId="0" borderId="11" xfId="0" applyFont="1" applyBorder="1"/>
    <xf numFmtId="0" fontId="29" fillId="5" borderId="0" xfId="0" applyFont="1" applyFill="1" applyBorder="1"/>
    <xf numFmtId="0" fontId="29" fillId="0" borderId="0" xfId="0" applyFont="1" applyBorder="1"/>
    <xf numFmtId="166" fontId="30" fillId="0" borderId="16" xfId="0" applyNumberFormat="1" applyFont="1" applyBorder="1"/>
    <xf numFmtId="166" fontId="30" fillId="5" borderId="0" xfId="0" applyNumberFormat="1" applyFont="1" applyFill="1"/>
    <xf numFmtId="165" fontId="0" fillId="0" borderId="11" xfId="3" applyFont="1" applyBorder="1" applyAlignment="1" applyProtection="1"/>
    <xf numFmtId="0" fontId="0" fillId="0" borderId="0" xfId="0" applyFont="1" applyBorder="1"/>
    <xf numFmtId="165" fontId="0" fillId="0" borderId="18" xfId="3" applyFont="1" applyBorder="1" applyAlignment="1" applyProtection="1"/>
    <xf numFmtId="17" fontId="0" fillId="0" borderId="0" xfId="0" applyNumberFormat="1"/>
    <xf numFmtId="0" fontId="31" fillId="0" borderId="0" xfId="0" applyFont="1"/>
    <xf numFmtId="0" fontId="32" fillId="0" borderId="0" xfId="0" applyFont="1"/>
    <xf numFmtId="0" fontId="33" fillId="0" borderId="0" xfId="0" applyFont="1"/>
    <xf numFmtId="173" fontId="33" fillId="0" borderId="0" xfId="1" applyFont="1"/>
    <xf numFmtId="10" fontId="33" fillId="0" borderId="0" xfId="4" applyNumberFormat="1" applyFont="1"/>
    <xf numFmtId="0" fontId="34" fillId="0" borderId="0" xfId="0" applyFont="1"/>
    <xf numFmtId="0" fontId="13" fillId="0" borderId="19" xfId="0" applyFont="1" applyBorder="1"/>
    <xf numFmtId="0" fontId="13" fillId="0" borderId="20" xfId="0" applyFont="1" applyBorder="1"/>
    <xf numFmtId="0" fontId="13" fillId="0" borderId="0" xfId="0" applyFont="1" applyFill="1"/>
    <xf numFmtId="164" fontId="16" fillId="0" borderId="0" xfId="2" applyFont="1" applyBorder="1" applyAlignment="1" applyProtection="1"/>
    <xf numFmtId="176" fontId="16" fillId="0" borderId="0" xfId="0" applyNumberFormat="1" applyFont="1" applyAlignment="1"/>
    <xf numFmtId="173" fontId="12" fillId="0" borderId="0" xfId="1" applyBorder="1"/>
    <xf numFmtId="0" fontId="14" fillId="0" borderId="0" xfId="0" applyFont="1" applyFill="1"/>
    <xf numFmtId="164" fontId="31" fillId="0" borderId="0" xfId="2" applyFont="1"/>
    <xf numFmtId="166" fontId="13" fillId="0" borderId="0" xfId="0" applyNumberFormat="1" applyFont="1"/>
    <xf numFmtId="172" fontId="16" fillId="0" borderId="0" xfId="0" applyNumberFormat="1" applyFont="1"/>
    <xf numFmtId="165" fontId="20" fillId="0" borderId="0" xfId="0" applyNumberFormat="1" applyFont="1"/>
    <xf numFmtId="0" fontId="35" fillId="0" borderId="0" xfId="0" applyFont="1"/>
    <xf numFmtId="0" fontId="28" fillId="0" borderId="0" xfId="0" applyFont="1"/>
    <xf numFmtId="174" fontId="10" fillId="0" borderId="0" xfId="0" applyNumberFormat="1" applyFont="1" applyFill="1" applyBorder="1"/>
    <xf numFmtId="0" fontId="27" fillId="0" borderId="0" xfId="0" applyFont="1" applyAlignment="1">
      <alignment horizontal="right"/>
    </xf>
    <xf numFmtId="0" fontId="36" fillId="0" borderId="0" xfId="0" applyFont="1"/>
    <xf numFmtId="164" fontId="12" fillId="0" borderId="0" xfId="2" applyFill="1" applyBorder="1"/>
    <xf numFmtId="166" fontId="10" fillId="0" borderId="0" xfId="0" applyNumberFormat="1" applyFont="1" applyFill="1" applyBorder="1"/>
    <xf numFmtId="0" fontId="38" fillId="0" borderId="0" xfId="0" applyFont="1"/>
    <xf numFmtId="174" fontId="38" fillId="0" borderId="0" xfId="0" applyNumberFormat="1" applyFont="1" applyFill="1" applyBorder="1"/>
    <xf numFmtId="0" fontId="39" fillId="0" borderId="0" xfId="0" applyFont="1"/>
    <xf numFmtId="17" fontId="13" fillId="0" borderId="0" xfId="0" applyNumberFormat="1" applyFont="1"/>
    <xf numFmtId="14" fontId="10" fillId="0" borderId="0" xfId="0" applyNumberFormat="1" applyFont="1"/>
    <xf numFmtId="0" fontId="0" fillId="0" borderId="0" xfId="0" applyAlignment="1">
      <alignment horizontal="left" vertical="center"/>
    </xf>
    <xf numFmtId="176" fontId="1" fillId="0" borderId="0" xfId="1" applyNumberFormat="1" applyFont="1"/>
    <xf numFmtId="0" fontId="32" fillId="0" borderId="0" xfId="0" applyFont="1" applyAlignment="1">
      <alignment wrapText="1"/>
    </xf>
    <xf numFmtId="176" fontId="1" fillId="0" borderId="7" xfId="0" applyNumberFormat="1" applyFont="1" applyBorder="1"/>
    <xf numFmtId="176" fontId="1" fillId="0" borderId="0" xfId="0" applyNumberFormat="1" applyFont="1"/>
    <xf numFmtId="0" fontId="13" fillId="0" borderId="0" xfId="0" quotePrefix="1" applyFont="1"/>
    <xf numFmtId="16" fontId="0" fillId="0" borderId="0" xfId="0" applyNumberFormat="1"/>
    <xf numFmtId="0" fontId="22" fillId="0" borderId="8" xfId="0" applyFont="1" applyBorder="1"/>
    <xf numFmtId="0" fontId="22" fillId="0" borderId="19" xfId="0" applyFont="1" applyBorder="1"/>
    <xf numFmtId="16" fontId="0" fillId="0" borderId="0" xfId="0" applyNumberFormat="1" applyFont="1" applyAlignment="1">
      <alignment horizontal="right"/>
    </xf>
    <xf numFmtId="4" fontId="1" fillId="0" borderId="7" xfId="0" applyNumberFormat="1" applyFont="1" applyBorder="1"/>
    <xf numFmtId="166" fontId="10" fillId="0" borderId="8" xfId="0" applyNumberFormat="1" applyFont="1" applyBorder="1"/>
    <xf numFmtId="0" fontId="40" fillId="0" borderId="0" xfId="0" applyFont="1"/>
    <xf numFmtId="0" fontId="40" fillId="0" borderId="0" xfId="0" applyFont="1" applyAlignment="1">
      <alignment wrapText="1"/>
    </xf>
    <xf numFmtId="14" fontId="40" fillId="0" borderId="0" xfId="0" applyNumberFormat="1" applyFont="1"/>
    <xf numFmtId="0" fontId="22" fillId="0" borderId="0" xfId="0" applyFont="1" applyBorder="1"/>
    <xf numFmtId="0" fontId="1" fillId="0" borderId="0" xfId="0" quotePrefix="1" applyFont="1"/>
    <xf numFmtId="174" fontId="38" fillId="0" borderId="0" xfId="0" applyNumberFormat="1" applyFont="1"/>
    <xf numFmtId="174" fontId="28" fillId="0" borderId="0" xfId="0" applyNumberFormat="1" applyFont="1" applyFill="1" applyBorder="1"/>
    <xf numFmtId="0" fontId="41" fillId="0" borderId="7" xfId="0" applyFont="1" applyBorder="1"/>
    <xf numFmtId="0" fontId="41" fillId="0" borderId="0" xfId="0" applyFont="1"/>
    <xf numFmtId="0" fontId="41" fillId="0" borderId="0" xfId="0" applyFont="1" applyBorder="1"/>
    <xf numFmtId="16" fontId="40" fillId="0" borderId="0" xfId="0" applyNumberFormat="1" applyFont="1"/>
    <xf numFmtId="9" fontId="12" fillId="0" borderId="0" xfId="4"/>
    <xf numFmtId="4" fontId="1" fillId="0" borderId="0" xfId="0" applyNumberFormat="1" applyFont="1" applyBorder="1"/>
    <xf numFmtId="0" fontId="10" fillId="10" borderId="5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/>
    </xf>
    <xf numFmtId="0" fontId="10" fillId="10" borderId="12" xfId="0" applyFont="1" applyFill="1" applyBorder="1"/>
    <xf numFmtId="0" fontId="10" fillId="10" borderId="13" xfId="0" applyFont="1" applyFill="1" applyBorder="1"/>
    <xf numFmtId="0" fontId="10" fillId="10" borderId="14" xfId="0" applyFont="1" applyFill="1" applyBorder="1"/>
    <xf numFmtId="0" fontId="10" fillId="10" borderId="4" xfId="0" applyFont="1" applyFill="1" applyBorder="1"/>
    <xf numFmtId="0" fontId="10" fillId="10" borderId="6" xfId="0" applyFont="1" applyFill="1" applyBorder="1"/>
    <xf numFmtId="0" fontId="0" fillId="11" borderId="0" xfId="0" applyFill="1"/>
    <xf numFmtId="0" fontId="37" fillId="0" borderId="0" xfId="0" applyFont="1"/>
    <xf numFmtId="0" fontId="42" fillId="0" borderId="0" xfId="5"/>
    <xf numFmtId="0" fontId="0" fillId="0" borderId="7" xfId="0" applyBorder="1" applyAlignment="1">
      <alignment horizontal="center"/>
    </xf>
    <xf numFmtId="2" fontId="0" fillId="0" borderId="0" xfId="0" applyNumberFormat="1"/>
    <xf numFmtId="0" fontId="40" fillId="7" borderId="8" xfId="0" applyFont="1" applyFill="1" applyBorder="1"/>
    <xf numFmtId="173" fontId="1" fillId="7" borderId="9" xfId="1" applyFont="1" applyFill="1" applyBorder="1"/>
    <xf numFmtId="0" fontId="39" fillId="7" borderId="3" xfId="0" applyFont="1" applyFill="1" applyBorder="1"/>
    <xf numFmtId="0" fontId="26" fillId="0" borderId="0" xfId="0" applyFont="1" applyBorder="1" applyAlignment="1">
      <alignment horizontal="center"/>
    </xf>
    <xf numFmtId="173" fontId="12" fillId="9" borderId="0" xfId="1" applyFill="1" applyBorder="1"/>
    <xf numFmtId="0" fontId="26" fillId="0" borderId="11" xfId="0" applyFont="1" applyBorder="1" applyAlignment="1">
      <alignment horizontal="center"/>
    </xf>
    <xf numFmtId="173" fontId="1" fillId="7" borderId="11" xfId="1" applyFont="1" applyFill="1" applyBorder="1"/>
    <xf numFmtId="17" fontId="40" fillId="0" borderId="0" xfId="0" applyNumberFormat="1" applyFont="1"/>
    <xf numFmtId="0" fontId="40" fillId="7" borderId="0" xfId="0" applyFont="1" applyFill="1"/>
    <xf numFmtId="164" fontId="1" fillId="7" borderId="8" xfId="2" applyFont="1" applyFill="1" applyBorder="1"/>
    <xf numFmtId="16" fontId="13" fillId="0" borderId="0" xfId="0" applyNumberFormat="1" applyFont="1"/>
    <xf numFmtId="0" fontId="0" fillId="0" borderId="25" xfId="0" applyBorder="1"/>
    <xf numFmtId="0" fontId="27" fillId="0" borderId="0" xfId="0" applyFont="1" applyFill="1"/>
    <xf numFmtId="174" fontId="10" fillId="0" borderId="0" xfId="0" applyNumberFormat="1" applyFont="1" applyFill="1"/>
    <xf numFmtId="174" fontId="10" fillId="0" borderId="0" xfId="0" quotePrefix="1" applyNumberFormat="1" applyFont="1" applyFill="1" applyBorder="1"/>
    <xf numFmtId="2" fontId="13" fillId="0" borderId="0" xfId="0" applyNumberFormat="1" applyFont="1"/>
    <xf numFmtId="173" fontId="12" fillId="0" borderId="7" xfId="1" applyBorder="1"/>
    <xf numFmtId="0" fontId="40" fillId="0" borderId="0" xfId="0" applyFont="1" applyFill="1"/>
    <xf numFmtId="0" fontId="0" fillId="0" borderId="0" xfId="0" applyFont="1" applyAlignment="1">
      <alignment horizontal="right"/>
    </xf>
    <xf numFmtId="0" fontId="43" fillId="0" borderId="0" xfId="0" applyFont="1"/>
    <xf numFmtId="8" fontId="40" fillId="0" borderId="0" xfId="0" applyNumberFormat="1" applyFont="1"/>
    <xf numFmtId="0" fontId="13" fillId="11" borderId="0" xfId="0" applyFont="1" applyFill="1"/>
    <xf numFmtId="8" fontId="40" fillId="0" borderId="15" xfId="0" applyNumberFormat="1" applyFont="1" applyBorder="1"/>
    <xf numFmtId="14" fontId="40" fillId="0" borderId="15" xfId="0" applyNumberFormat="1" applyFont="1" applyBorder="1"/>
    <xf numFmtId="0" fontId="40" fillId="0" borderId="15" xfId="0" applyFont="1" applyBorder="1"/>
    <xf numFmtId="0" fontId="37" fillId="0" borderId="0" xfId="0" applyFont="1" applyFill="1" applyBorder="1" applyAlignment="1">
      <alignment horizontal="center"/>
    </xf>
    <xf numFmtId="177" fontId="12" fillId="0" borderId="0" xfId="2" applyNumberFormat="1"/>
    <xf numFmtId="178" fontId="12" fillId="0" borderId="0" xfId="2" applyNumberFormat="1"/>
    <xf numFmtId="164" fontId="12" fillId="0" borderId="7" xfId="2" applyBorder="1"/>
    <xf numFmtId="6" fontId="0" fillId="0" borderId="0" xfId="0" applyNumberFormat="1" applyFont="1"/>
    <xf numFmtId="6" fontId="0" fillId="0" borderId="7" xfId="0" applyNumberFormat="1" applyFont="1" applyBorder="1"/>
    <xf numFmtId="0" fontId="0" fillId="0" borderId="22" xfId="0" applyBorder="1"/>
    <xf numFmtId="0" fontId="0" fillId="0" borderId="23" xfId="0" applyBorder="1"/>
    <xf numFmtId="0" fontId="0" fillId="0" borderId="26" xfId="0" applyBorder="1"/>
    <xf numFmtId="0" fontId="37" fillId="0" borderId="21" xfId="0" applyFont="1" applyBorder="1"/>
    <xf numFmtId="0" fontId="37" fillId="0" borderId="24" xfId="0" applyFont="1" applyBorder="1"/>
    <xf numFmtId="164" fontId="37" fillId="0" borderId="25" xfId="2" applyFont="1" applyBorder="1"/>
    <xf numFmtId="0" fontId="37" fillId="0" borderId="19" xfId="0" applyFont="1" applyBorder="1"/>
    <xf numFmtId="6" fontId="0" fillId="7" borderId="0" xfId="0" applyNumberFormat="1" applyFont="1" applyFill="1"/>
    <xf numFmtId="0" fontId="37" fillId="0" borderId="0" xfId="0" applyFont="1" applyBorder="1"/>
    <xf numFmtId="0" fontId="40" fillId="0" borderId="7" xfId="0" applyFont="1" applyBorder="1"/>
    <xf numFmtId="0" fontId="7" fillId="0" borderId="0" xfId="0" applyFont="1" applyAlignment="1">
      <alignment horizontal="center" vertical="center"/>
    </xf>
    <xf numFmtId="164" fontId="37" fillId="0" borderId="20" xfId="2" applyFont="1" applyBorder="1"/>
    <xf numFmtId="14" fontId="38" fillId="0" borderId="0" xfId="0" applyNumberFormat="1" applyFont="1"/>
    <xf numFmtId="8" fontId="38" fillId="0" borderId="0" xfId="0" applyNumberFormat="1" applyFont="1"/>
    <xf numFmtId="174" fontId="28" fillId="0" borderId="0" xfId="0" quotePrefix="1" applyNumberFormat="1" applyFont="1" applyFill="1" applyBorder="1"/>
    <xf numFmtId="6" fontId="0" fillId="0" borderId="0" xfId="0" applyNumberFormat="1"/>
    <xf numFmtId="164" fontId="0" fillId="0" borderId="7" xfId="0" applyNumberFormat="1" applyBorder="1"/>
    <xf numFmtId="4" fontId="0" fillId="0" borderId="0" xfId="0" applyNumberFormat="1"/>
    <xf numFmtId="3" fontId="0" fillId="0" borderId="0" xfId="0" applyNumberFormat="1"/>
    <xf numFmtId="4" fontId="0" fillId="0" borderId="18" xfId="0" applyNumberFormat="1" applyBorder="1"/>
    <xf numFmtId="168" fontId="12" fillId="0" borderId="0" xfId="4" applyNumberFormat="1"/>
    <xf numFmtId="164" fontId="0" fillId="0" borderId="8" xfId="2" applyFont="1" applyBorder="1" applyAlignment="1" applyProtection="1"/>
    <xf numFmtId="0" fontId="40" fillId="0" borderId="0" xfId="0" quotePrefix="1" applyFont="1"/>
    <xf numFmtId="0" fontId="33" fillId="7" borderId="0" xfId="0" applyFont="1" applyFill="1"/>
    <xf numFmtId="4" fontId="41" fillId="0" borderId="0" xfId="0" applyNumberFormat="1" applyFont="1" applyBorder="1"/>
    <xf numFmtId="4" fontId="41" fillId="0" borderId="0" xfId="0" applyNumberFormat="1" applyFont="1"/>
    <xf numFmtId="164" fontId="41" fillId="0" borderId="0" xfId="2" applyFont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44" fillId="0" borderId="0" xfId="5" applyFont="1"/>
    <xf numFmtId="175" fontId="13" fillId="0" borderId="0" xfId="0" applyNumberFormat="1" applyFont="1"/>
    <xf numFmtId="173" fontId="0" fillId="0" borderId="0" xfId="1" applyFont="1" applyBorder="1" applyAlignment="1" applyProtection="1"/>
    <xf numFmtId="179" fontId="13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Border="1"/>
    <xf numFmtId="0" fontId="13" fillId="0" borderId="18" xfId="0" applyFont="1" applyBorder="1"/>
    <xf numFmtId="0" fontId="0" fillId="0" borderId="0" xfId="0" quotePrefix="1"/>
    <xf numFmtId="0" fontId="0" fillId="0" borderId="8" xfId="0" applyBorder="1"/>
  </cellXfs>
  <cellStyles count="6">
    <cellStyle name="Comma" xfId="1" builtinId="3"/>
    <cellStyle name="Currency" xfId="2" builtinId="4"/>
    <cellStyle name="Excel Built-in Result2" xfId="3"/>
    <cellStyle name="Hyperlink" xfId="5" builtinId="8"/>
    <cellStyle name="Normal" xfId="0" builtinId="0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9001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B613D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tionalgridus.com/" TargetMode="External"/><Relationship Id="rId2" Type="http://schemas.openxmlformats.org/officeDocument/2006/relationships/hyperlink" Target="http://www.nationalgridus.com/" TargetMode="External"/><Relationship Id="rId1" Type="http://schemas.openxmlformats.org/officeDocument/2006/relationships/hyperlink" Target="http://www.coned.com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nyc.gov/html/dep/html/home/home.s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P16" sqref="P16"/>
    </sheetView>
  </sheetViews>
  <sheetFormatPr defaultRowHeight="15"/>
  <cols>
    <col min="1" max="1" width="10.28515625" style="153" customWidth="1"/>
    <col min="2" max="2" width="3" style="153" customWidth="1"/>
    <col min="3" max="3" width="16.28515625" style="153" customWidth="1"/>
    <col min="4" max="4" width="3" style="153" customWidth="1"/>
    <col min="5" max="5" width="14.28515625" style="153" customWidth="1"/>
    <col min="6" max="6" width="11" style="153" customWidth="1"/>
    <col min="7" max="7" width="3" style="153" customWidth="1"/>
    <col min="8" max="8" width="16.5703125" style="153" customWidth="1"/>
    <col min="9" max="9" width="11.42578125" style="153" customWidth="1"/>
    <col min="10" max="10" width="3" style="153" customWidth="1"/>
    <col min="11" max="11" width="15.5703125" style="153" customWidth="1"/>
    <col min="12" max="12" width="10.5703125" style="153" customWidth="1"/>
    <col min="13" max="13" width="3" style="153" customWidth="1"/>
    <col min="14" max="14" width="17.42578125" style="153" customWidth="1"/>
    <col min="15" max="15" width="3" style="153" customWidth="1"/>
    <col min="16" max="16384" width="9.140625" style="153"/>
  </cols>
  <sheetData>
    <row r="1" spans="1:16" ht="15.75">
      <c r="A1" s="152" t="s">
        <v>271</v>
      </c>
    </row>
    <row r="3" spans="1:16" s="152" customFormat="1" ht="94.5">
      <c r="A3" s="152" t="s">
        <v>102</v>
      </c>
      <c r="C3" s="152" t="s">
        <v>272</v>
      </c>
      <c r="E3" s="152" t="s">
        <v>273</v>
      </c>
      <c r="F3" s="152" t="s">
        <v>274</v>
      </c>
      <c r="H3" s="152" t="s">
        <v>655</v>
      </c>
      <c r="K3" s="182" t="s">
        <v>658</v>
      </c>
      <c r="L3" s="152" t="s">
        <v>274</v>
      </c>
      <c r="N3" s="182" t="s">
        <v>656</v>
      </c>
    </row>
    <row r="5" spans="1:16">
      <c r="A5" s="153">
        <v>2010</v>
      </c>
      <c r="C5" s="154">
        <v>112656.36</v>
      </c>
      <c r="E5" s="154">
        <v>12914.2</v>
      </c>
      <c r="F5" s="155">
        <f>E5/C5</f>
        <v>0.11463356352007113</v>
      </c>
      <c r="H5" s="154">
        <v>67565.06</v>
      </c>
      <c r="I5" s="155">
        <f>H5/C5</f>
        <v>0.59974474588030358</v>
      </c>
      <c r="K5" s="154">
        <v>43565.06</v>
      </c>
      <c r="L5" s="155">
        <f>K5/C5</f>
        <v>0.38670750590556979</v>
      </c>
      <c r="N5" s="154">
        <f>K5/12</f>
        <v>3630.4216666666666</v>
      </c>
    </row>
    <row r="6" spans="1:16">
      <c r="C6" s="154"/>
      <c r="E6" s="154"/>
      <c r="F6" s="155"/>
      <c r="I6" s="155"/>
      <c r="K6" s="154"/>
      <c r="L6" s="155"/>
      <c r="N6" s="154"/>
    </row>
    <row r="7" spans="1:16">
      <c r="A7" s="153">
        <v>2011</v>
      </c>
      <c r="C7" s="154">
        <v>92549.43</v>
      </c>
      <c r="E7" s="154">
        <v>11624</v>
      </c>
      <c r="F7" s="155">
        <f>E7/C7</f>
        <v>0.12559774814388378</v>
      </c>
      <c r="H7" s="154">
        <v>55617.75</v>
      </c>
      <c r="I7" s="155">
        <f>H7/C7</f>
        <v>0.60095183730467061</v>
      </c>
      <c r="K7" s="154">
        <v>37617.75</v>
      </c>
      <c r="L7" s="155">
        <f>K7/C7</f>
        <v>0.40646117431517409</v>
      </c>
      <c r="N7" s="154">
        <f>K7/12</f>
        <v>3134.8125</v>
      </c>
      <c r="P7" s="153" t="s">
        <v>657</v>
      </c>
    </row>
    <row r="8" spans="1:16">
      <c r="C8" s="154"/>
      <c r="E8" s="154"/>
      <c r="F8" s="155"/>
      <c r="H8" s="154"/>
      <c r="I8" s="155"/>
      <c r="K8" s="154"/>
      <c r="L8" s="155"/>
      <c r="N8" s="154"/>
    </row>
    <row r="9" spans="1:16">
      <c r="A9" s="153">
        <v>2012</v>
      </c>
      <c r="C9" s="154">
        <v>109844.7</v>
      </c>
      <c r="E9" s="154">
        <v>12166</v>
      </c>
      <c r="F9" s="155">
        <f>E9/C9</f>
        <v>0.11075636785388826</v>
      </c>
      <c r="H9" s="154">
        <v>51501.120000000003</v>
      </c>
      <c r="I9" s="155">
        <f>H9/C9</f>
        <v>0.46885393651218499</v>
      </c>
      <c r="K9" s="154">
        <v>42001.120000000003</v>
      </c>
      <c r="L9" s="155">
        <f>K9/C9</f>
        <v>0.3823681980104639</v>
      </c>
      <c r="N9" s="154">
        <f>K9/12</f>
        <v>3500.0933333333337</v>
      </c>
    </row>
    <row r="10" spans="1:16">
      <c r="C10" s="154"/>
      <c r="E10" s="154"/>
      <c r="F10" s="155"/>
      <c r="H10" s="154"/>
      <c r="I10" s="155"/>
      <c r="K10" s="154"/>
      <c r="L10" s="155"/>
      <c r="N10" s="154"/>
    </row>
    <row r="11" spans="1:16">
      <c r="A11" s="153">
        <v>2013</v>
      </c>
      <c r="C11" s="154">
        <v>133324.93</v>
      </c>
      <c r="E11" s="154">
        <v>13528.4</v>
      </c>
      <c r="F11" s="155">
        <f>E11/C11</f>
        <v>0.10146939510862672</v>
      </c>
      <c r="H11" s="154">
        <v>67956.37</v>
      </c>
      <c r="I11" s="155">
        <f>H11/C11</f>
        <v>0.50970489915126904</v>
      </c>
      <c r="K11" s="154">
        <v>40660.01</v>
      </c>
      <c r="L11" s="155">
        <f>K11/C11</f>
        <v>0.30496929568986086</v>
      </c>
      <c r="N11" s="154">
        <f>K11/12</f>
        <v>3388.334166666667</v>
      </c>
      <c r="P11" s="153" t="s">
        <v>277</v>
      </c>
    </row>
    <row r="12" spans="1:16">
      <c r="F12" s="155"/>
      <c r="I12" s="155"/>
      <c r="L12" s="155"/>
      <c r="N12" s="154"/>
    </row>
    <row r="13" spans="1:16">
      <c r="A13" s="153">
        <v>2014</v>
      </c>
      <c r="C13" s="154">
        <v>144311.16</v>
      </c>
      <c r="E13" s="154">
        <v>15370</v>
      </c>
      <c r="F13" s="155">
        <f>E13/C13</f>
        <v>0.10650596946209842</v>
      </c>
      <c r="H13" s="154">
        <v>75258.97</v>
      </c>
      <c r="I13" s="155">
        <f>H13/C13</f>
        <v>0.52150485104547706</v>
      </c>
      <c r="K13" s="154">
        <v>44271.76</v>
      </c>
      <c r="L13" s="155">
        <f>K13/C13</f>
        <v>0.30677987759228048</v>
      </c>
      <c r="N13" s="154">
        <f>K13/12</f>
        <v>3689.3133333333335</v>
      </c>
      <c r="P13" s="153" t="s">
        <v>654</v>
      </c>
    </row>
    <row r="14" spans="1:16">
      <c r="F14" s="155"/>
      <c r="I14" s="155"/>
      <c r="L14" s="155"/>
      <c r="N14" s="154"/>
      <c r="P14" s="153" t="s">
        <v>889</v>
      </c>
    </row>
    <row r="15" spans="1:16">
      <c r="F15" s="155"/>
      <c r="I15" s="155"/>
      <c r="L15" s="155"/>
      <c r="N15" s="154"/>
    </row>
    <row r="16" spans="1:16">
      <c r="A16" s="271">
        <v>2015</v>
      </c>
      <c r="C16" s="154">
        <v>146739.12</v>
      </c>
      <c r="E16" s="154">
        <v>17648</v>
      </c>
      <c r="F16" s="155">
        <v>0.12026786040423304</v>
      </c>
      <c r="H16" s="154">
        <v>178049.13</v>
      </c>
      <c r="I16" s="155">
        <v>1.2133719351731154</v>
      </c>
      <c r="J16" s="153" t="s">
        <v>101</v>
      </c>
      <c r="K16" s="154">
        <v>52005.57</v>
      </c>
      <c r="L16" s="155">
        <v>0.35440835409126076</v>
      </c>
      <c r="N16" s="154">
        <v>4333.7974999999997</v>
      </c>
      <c r="P16" s="153" t="s">
        <v>912</v>
      </c>
    </row>
    <row r="17" spans="1:16">
      <c r="P17" s="153" t="s">
        <v>888</v>
      </c>
    </row>
    <row r="18" spans="1:16">
      <c r="A18" s="153">
        <v>2016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A38" zoomScale="90" zoomScaleNormal="90" workbookViewId="0">
      <selection activeCell="L119" sqref="L119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7">
      <c r="A1" s="62" t="s">
        <v>102</v>
      </c>
      <c r="B1" s="63">
        <v>2016</v>
      </c>
      <c r="C1" s="63"/>
      <c r="L1" s="64" t="s">
        <v>327</v>
      </c>
    </row>
    <row r="2" spans="1:17">
      <c r="A2" s="62" t="s">
        <v>100</v>
      </c>
      <c r="B2" s="64" t="s">
        <v>9</v>
      </c>
      <c r="C2" s="64"/>
      <c r="M2" s="64" t="s">
        <v>744</v>
      </c>
      <c r="Q2"/>
    </row>
    <row r="3" spans="1:17">
      <c r="B3" s="56" t="s">
        <v>77</v>
      </c>
      <c r="M3" s="64" t="s">
        <v>745</v>
      </c>
      <c r="O3" s="66"/>
      <c r="Q3"/>
    </row>
    <row r="4" spans="1:17">
      <c r="A4" s="62" t="s">
        <v>4</v>
      </c>
      <c r="B4" s="67">
        <f>SUM(G5:G8)</f>
        <v>12743.170000000002</v>
      </c>
      <c r="C4" s="67"/>
      <c r="G4" s="56" t="s">
        <v>28</v>
      </c>
      <c r="L4" s="68"/>
      <c r="M4" s="64" t="s">
        <v>746</v>
      </c>
      <c r="O4" s="66"/>
      <c r="Q4"/>
    </row>
    <row r="5" spans="1:17" ht="12.75">
      <c r="A5" s="56" t="s">
        <v>842</v>
      </c>
      <c r="B5" s="106">
        <v>4605.47</v>
      </c>
      <c r="C5" s="107">
        <v>4600</v>
      </c>
      <c r="G5" s="106">
        <f>SUM(B5:E5)</f>
        <v>9205.4700000000012</v>
      </c>
      <c r="H5" s="68"/>
      <c r="I5" s="68"/>
      <c r="J5" s="68"/>
      <c r="K5" s="72"/>
      <c r="L5" s="68"/>
      <c r="O5" s="66"/>
      <c r="Q5"/>
    </row>
    <row r="6" spans="1:17" ht="12.75">
      <c r="A6" s="56" t="s">
        <v>103</v>
      </c>
      <c r="B6" s="56">
        <v>1732.85</v>
      </c>
      <c r="C6" s="66">
        <v>1804.85</v>
      </c>
      <c r="G6" s="106">
        <f>SUM(B6:E6)</f>
        <v>3537.7</v>
      </c>
      <c r="H6" s="68"/>
      <c r="I6" s="68"/>
      <c r="J6" s="68"/>
      <c r="K6" s="72"/>
      <c r="L6" s="68"/>
      <c r="O6" s="66"/>
    </row>
    <row r="7" spans="1:17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7">
      <c r="G8" s="106"/>
      <c r="H8" s="68"/>
      <c r="I8" s="68"/>
      <c r="J8" s="68"/>
      <c r="K8" s="72"/>
      <c r="P8" s="66"/>
    </row>
    <row r="9" spans="1:17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7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7" s="43" customFormat="1" ht="13.5">
      <c r="A11" s="49" t="s">
        <v>141</v>
      </c>
      <c r="B11" s="160">
        <f>G11</f>
        <v>1250</v>
      </c>
      <c r="D11" s="43" t="s">
        <v>143</v>
      </c>
      <c r="E11" s="43">
        <f>G11/B4</f>
        <v>9.8091762096872273E-2</v>
      </c>
      <c r="F11" s="159"/>
      <c r="G11" s="44">
        <f>Tithe!D9</f>
        <v>1250</v>
      </c>
      <c r="H11" s="43">
        <v>1500</v>
      </c>
      <c r="I11" s="55">
        <f>H11-G11</f>
        <v>250</v>
      </c>
      <c r="J11" s="82">
        <f>Jan!I11+Feb!I11+Mar!I11+Apr!I11</f>
        <v>600</v>
      </c>
      <c r="K11" s="74"/>
    </row>
    <row r="12" spans="1:17" s="43" customFormat="1" ht="13.5">
      <c r="I12" s="55"/>
      <c r="J12" s="82"/>
      <c r="K12" s="75"/>
      <c r="L12" s="167" t="s">
        <v>328</v>
      </c>
    </row>
    <row r="13" spans="1:17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7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</f>
        <v>1600</v>
      </c>
      <c r="K14" s="75"/>
    </row>
    <row r="15" spans="1:17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</f>
        <v>800</v>
      </c>
      <c r="K15" s="75"/>
    </row>
    <row r="16" spans="1:17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</f>
        <v>1200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</f>
        <v>800</v>
      </c>
      <c r="K17" s="75"/>
    </row>
    <row r="18" spans="1:12" s="43" customFormat="1" ht="15.95" customHeigh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</f>
        <v>200</v>
      </c>
      <c r="K18" s="75"/>
    </row>
    <row r="19" spans="1:12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</f>
        <v>800</v>
      </c>
      <c r="K19" s="75"/>
    </row>
    <row r="20" spans="1:12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</f>
        <v>1200</v>
      </c>
      <c r="K20" s="75"/>
    </row>
    <row r="21" spans="1:12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</f>
        <v>0</v>
      </c>
      <c r="K22" s="75"/>
    </row>
    <row r="23" spans="1:12" s="43" customFormat="1" ht="15.95" customHeight="1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</f>
        <v>2000</v>
      </c>
      <c r="K25" s="75"/>
    </row>
    <row r="26" spans="1:12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</f>
        <v>1200</v>
      </c>
      <c r="K26" s="75"/>
    </row>
    <row r="27" spans="1:12" s="43" customFormat="1" ht="12.75" customHeight="1">
      <c r="A27" s="49"/>
      <c r="F27" s="159"/>
      <c r="G27" s="57"/>
      <c r="H27" s="57"/>
      <c r="I27" s="59"/>
      <c r="J27" s="70"/>
      <c r="K27" s="70"/>
    </row>
    <row r="28" spans="1:12" s="43" customFormat="1" ht="12.75" customHeight="1" thickBot="1">
      <c r="A28" s="49"/>
      <c r="B28" s="49"/>
      <c r="F28" s="159"/>
      <c r="G28" s="58">
        <f>SUM(G14:G26)</f>
        <v>0</v>
      </c>
      <c r="H28" s="58"/>
      <c r="I28" s="58">
        <f>SUM(I11:I26)</f>
        <v>2700</v>
      </c>
      <c r="J28" s="58">
        <f>SUM(J12:J26)</f>
        <v>9800</v>
      </c>
      <c r="K28" s="76"/>
    </row>
    <row r="29" spans="1:12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2" s="43" customFormat="1" ht="12.75" customHeight="1" thickBot="1">
      <c r="A30" s="49" t="s">
        <v>149</v>
      </c>
      <c r="B30" s="49"/>
      <c r="F30" s="159"/>
      <c r="G30" s="79"/>
      <c r="H30" s="47"/>
      <c r="I30" s="47"/>
      <c r="J30" s="47"/>
      <c r="K30" s="76"/>
      <c r="L30" s="43" t="s">
        <v>704</v>
      </c>
    </row>
    <row r="31" spans="1:12" s="43" customFormat="1" ht="12.75" customHeight="1">
      <c r="A31" s="89" t="s">
        <v>142</v>
      </c>
      <c r="B31" s="49"/>
      <c r="F31" s="159"/>
      <c r="G31" s="164">
        <f>B4-G11-G28+G30</f>
        <v>11493.170000000002</v>
      </c>
      <c r="H31" s="47"/>
      <c r="I31" s="47"/>
      <c r="J31" s="47"/>
      <c r="K31" s="76"/>
      <c r="L31" s="47" t="s">
        <v>705</v>
      </c>
    </row>
    <row r="32" spans="1:12" s="43" customFormat="1" ht="12.75" customHeight="1">
      <c r="A32" s="43" t="s">
        <v>318</v>
      </c>
      <c r="B32" s="89"/>
      <c r="C32" s="45"/>
      <c r="D32" s="45"/>
      <c r="E32" s="45"/>
      <c r="F32" s="163"/>
      <c r="G32" s="165">
        <f>G46</f>
        <v>3088.5200000000004</v>
      </c>
      <c r="H32" s="47"/>
      <c r="I32" s="47"/>
      <c r="J32" s="47"/>
      <c r="K32" s="76"/>
      <c r="L32" s="47" t="s">
        <v>710</v>
      </c>
    </row>
    <row r="33" spans="1:17" s="43" customFormat="1" ht="12.75" customHeight="1">
      <c r="A33" s="49" t="s">
        <v>359</v>
      </c>
      <c r="B33" s="49"/>
      <c r="F33" s="159"/>
      <c r="G33" s="69">
        <f>G31-G32-M42-N42</f>
        <v>8404.6500000000015</v>
      </c>
      <c r="H33" s="47"/>
      <c r="I33" s="47"/>
      <c r="J33" s="47"/>
      <c r="K33" s="76"/>
      <c r="L33" s="47"/>
    </row>
    <row r="34" spans="1:17" s="43" customFormat="1" ht="12.75" customHeight="1">
      <c r="H34" s="47"/>
      <c r="I34" s="47"/>
      <c r="J34" s="47"/>
      <c r="K34" s="76"/>
      <c r="L34" s="47"/>
    </row>
    <row r="35" spans="1:17" s="43" customFormat="1" ht="12.7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17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17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7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7" s="43" customFormat="1" ht="13.5">
      <c r="A39" s="49"/>
      <c r="B39" s="49"/>
      <c r="F39" s="159"/>
      <c r="G39" s="88"/>
      <c r="H39" s="47"/>
      <c r="I39" s="47"/>
      <c r="J39" s="47"/>
      <c r="K39" s="76"/>
      <c r="L39" s="47">
        <f>SUM(L46:O46)</f>
        <v>3088.52</v>
      </c>
    </row>
    <row r="40" spans="1:17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7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1830.74</v>
      </c>
      <c r="N41" s="43">
        <f>N46+N44+N43+N42</f>
        <v>512.83000000000004</v>
      </c>
      <c r="O41" s="43">
        <f>O46+O44+O43+O42</f>
        <v>66.83</v>
      </c>
      <c r="Q41" s="43">
        <f>1830.74-M41</f>
        <v>0</v>
      </c>
    </row>
    <row r="42" spans="1:17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7" s="43" customFormat="1" ht="13.5">
      <c r="B43" s="49"/>
      <c r="F43" s="159"/>
      <c r="I43" s="52"/>
      <c r="J43" s="80" t="s">
        <v>146</v>
      </c>
      <c r="K43" s="73"/>
    </row>
    <row r="44" spans="1:17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7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708</v>
      </c>
      <c r="O45" s="206" t="s">
        <v>216</v>
      </c>
    </row>
    <row r="46" spans="1:17" s="43" customFormat="1" ht="14.25" thickBot="1">
      <c r="D46"/>
      <c r="E46" s="162"/>
      <c r="F46" s="159"/>
      <c r="G46" s="84">
        <f>SUM(G48:G163)</f>
        <v>3088.5200000000004</v>
      </c>
      <c r="H46" s="84">
        <f>SUM(H48:H163)</f>
        <v>4626.9500000000007</v>
      </c>
      <c r="I46" s="84">
        <f>H46-G46</f>
        <v>1538.4300000000003</v>
      </c>
      <c r="J46" s="84">
        <f>SUM(J48:J163)</f>
        <v>-14619.159999999994</v>
      </c>
      <c r="K46" s="77"/>
      <c r="L46" s="207">
        <f>SUM(L49:L163)</f>
        <v>778.12000000000012</v>
      </c>
      <c r="M46" s="208">
        <f>SUM(M49:M163)</f>
        <v>1730.74</v>
      </c>
      <c r="N46" s="209">
        <f>SUM(N49:N163)</f>
        <v>512.83000000000004</v>
      </c>
      <c r="O46" s="209">
        <f>SUM(O49:O163)</f>
        <v>66.83</v>
      </c>
    </row>
    <row r="47" spans="1:17" s="43" customFormat="1" ht="14.25" thickBot="1">
      <c r="A47" s="89" t="s">
        <v>292</v>
      </c>
      <c r="B47" s="157">
        <f>B48+B61+B65</f>
        <v>285.89000000000021</v>
      </c>
      <c r="C47" s="157">
        <f>C48+C61+C65</f>
        <v>797.95000000000027</v>
      </c>
      <c r="D47" s="79">
        <f>D48+D61+D65</f>
        <v>512.05999999999995</v>
      </c>
      <c r="I47" s="52"/>
      <c r="J47" s="80"/>
      <c r="K47" s="73"/>
      <c r="L47" s="210"/>
      <c r="M47" s="211"/>
      <c r="N47" s="211"/>
      <c r="O47" s="212"/>
    </row>
    <row r="48" spans="1:17" s="43" customFormat="1" ht="13.5">
      <c r="A48" s="49" t="s">
        <v>278</v>
      </c>
      <c r="B48" s="49">
        <f>SUM(G49:G57)</f>
        <v>38.7800000000002</v>
      </c>
      <c r="C48" s="49">
        <f>SUM(H49:H57)</f>
        <v>457.95000000000027</v>
      </c>
      <c r="D48" s="49">
        <f>SUM(I49:I57)</f>
        <v>419.16999999999996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</f>
        <v>400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</f>
        <v>400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</f>
        <v>-281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</f>
        <v>-17363.32</v>
      </c>
      <c r="K55" s="73"/>
      <c r="L55" s="212">
        <f>1636.68</f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292.10000000000002</v>
      </c>
      <c r="H56" s="43">
        <v>431.27</v>
      </c>
      <c r="I56" s="52">
        <f t="shared" si="1"/>
        <v>139.16999999999996</v>
      </c>
      <c r="J56" s="80">
        <f>Jan!I56+Feb!I56+Mar!I56+Apr!I56</f>
        <v>570.43999999999994</v>
      </c>
      <c r="K56" s="73"/>
      <c r="L56" s="212">
        <f>431.27-139.17</f>
        <v>292.10000000000002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245.11</v>
      </c>
      <c r="C61" s="49">
        <f>SUM(H62:H63)</f>
        <v>260</v>
      </c>
      <c r="D61" s="49">
        <f>C61-B61</f>
        <v>14.889999999999986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138.38</v>
      </c>
      <c r="H62" s="43">
        <v>150</v>
      </c>
      <c r="I62" s="52">
        <f t="shared" ref="I62:I131" si="3">H62-G62</f>
        <v>11.620000000000005</v>
      </c>
      <c r="J62" s="80">
        <f>Jan!I62+Feb!I62+Mar!I62+Apr!I62</f>
        <v>80.990000000000009</v>
      </c>
      <c r="K62" s="73"/>
      <c r="L62" s="212">
        <v>-67.62</v>
      </c>
      <c r="M62" s="211">
        <f>95.43+110.57</f>
        <v>206</v>
      </c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106.73</v>
      </c>
      <c r="H63" s="43">
        <v>110</v>
      </c>
      <c r="I63" s="52">
        <f t="shared" si="3"/>
        <v>3.269999999999996</v>
      </c>
      <c r="J63" s="80">
        <f>Jan!I63+Feb!I63+Mar!I63+Apr!I63</f>
        <v>120.19</v>
      </c>
      <c r="K63" s="73"/>
      <c r="L63" s="212"/>
      <c r="M63" s="211">
        <v>106.73</v>
      </c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2</v>
      </c>
      <c r="C65" s="49">
        <f>SUM(H66:H68)</f>
        <v>80</v>
      </c>
      <c r="D65" s="49">
        <f>C65-B65</f>
        <v>78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</f>
        <v>95</v>
      </c>
      <c r="K66" s="73"/>
      <c r="L66" s="212"/>
      <c r="M66" s="211"/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</f>
        <v>60.989999999999995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2</v>
      </c>
      <c r="H68" s="43">
        <v>30</v>
      </c>
      <c r="I68" s="52">
        <f t="shared" si="3"/>
        <v>28</v>
      </c>
      <c r="J68" s="80">
        <f>Jan!I68+Feb!I68+Mar!I68+Apr!I68</f>
        <v>107</v>
      </c>
      <c r="K68" s="73"/>
      <c r="L68" s="212"/>
      <c r="M68" s="211">
        <f>1+1</f>
        <v>2</v>
      </c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12.03</v>
      </c>
      <c r="C70" s="49">
        <f>SUM(H71:H73)</f>
        <v>70</v>
      </c>
      <c r="D70" s="49">
        <f>C70-B70</f>
        <v>57.97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 t="shared" si="2"/>
        <v>5.43</v>
      </c>
      <c r="H71" s="43">
        <v>25</v>
      </c>
      <c r="I71" s="52">
        <f t="shared" si="3"/>
        <v>19.57</v>
      </c>
      <c r="J71" s="80">
        <f>Jan!I71+Feb!I71+Mar!I71+Apr!I71</f>
        <v>-98.300000000000011</v>
      </c>
      <c r="K71" s="73"/>
      <c r="L71" s="212"/>
      <c r="M71" s="211">
        <f>5.43</f>
        <v>5.43</v>
      </c>
      <c r="N71" s="211"/>
      <c r="O71" s="212"/>
    </row>
    <row r="72" spans="1:15" s="43" customFormat="1" ht="13.5">
      <c r="A72" s="49"/>
      <c r="B72" s="43" t="s">
        <v>284</v>
      </c>
      <c r="G72" s="43">
        <f t="shared" si="2"/>
        <v>0</v>
      </c>
      <c r="H72" s="43">
        <v>25</v>
      </c>
      <c r="I72" s="52">
        <f t="shared" si="3"/>
        <v>25</v>
      </c>
      <c r="J72" s="80">
        <f>Jan!I72+Feb!I72+Mar!I72+Apr!I72</f>
        <v>100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2"/>
        <v>12.03</v>
      </c>
      <c r="H73" s="43">
        <v>20</v>
      </c>
      <c r="I73" s="52">
        <f t="shared" si="3"/>
        <v>7.9700000000000006</v>
      </c>
      <c r="J73" s="80">
        <f>Jan!I73+Feb!I73+Mar!I73+Apr!I73</f>
        <v>67.97</v>
      </c>
      <c r="K73" s="73"/>
      <c r="L73" s="212"/>
      <c r="M73" s="211">
        <f>2.61+4.34+5.08</f>
        <v>12.03</v>
      </c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2"/>
        <v>39.54</v>
      </c>
      <c r="H75" s="43">
        <v>75</v>
      </c>
      <c r="I75" s="52">
        <f t="shared" si="3"/>
        <v>35.46</v>
      </c>
      <c r="J75" s="80">
        <f>Jan!I75+Feb!I75+Mar!I75+Apr!I75</f>
        <v>27.090000000000003</v>
      </c>
      <c r="K75" s="73"/>
      <c r="L75" s="212"/>
      <c r="M75" s="211">
        <f>2.4+6.05+6.79+5.96+1.58+3.76+2.4+4.92+5.68</f>
        <v>39.54</v>
      </c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2559.67</v>
      </c>
      <c r="C77" s="187">
        <f>C80+C86+C91+C100+C105+C111+C117+C130+C133+C138+C141</f>
        <v>2849</v>
      </c>
      <c r="D77" s="187">
        <f>D80+D86+D91+D100+D105+D111+D117+D130+D133+D138+D141</f>
        <v>239.32999999999987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207.20999999999998</v>
      </c>
      <c r="C80" s="49">
        <f>SUM(H81:H84)</f>
        <v>290</v>
      </c>
      <c r="D80" s="49">
        <f>C80-B80</f>
        <v>82.79000000000002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66.66</v>
      </c>
      <c r="H81" s="43">
        <v>100</v>
      </c>
      <c r="I81" s="52">
        <f t="shared" si="3"/>
        <v>33.340000000000003</v>
      </c>
      <c r="J81" s="80">
        <f>Jan!I81+Feb!I81+Mar!I81+Apr!I81</f>
        <v>75.05</v>
      </c>
      <c r="K81" s="73"/>
      <c r="L81" s="212">
        <v>66.66</v>
      </c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54.63</v>
      </c>
      <c r="H82" s="43">
        <v>60</v>
      </c>
      <c r="I82" s="52">
        <f t="shared" si="3"/>
        <v>5.3699999999999974</v>
      </c>
      <c r="J82" s="80">
        <f>Jan!I82+Feb!I82+Mar!I82+Apr!I82</f>
        <v>12.490000000000002</v>
      </c>
      <c r="K82" s="73"/>
      <c r="L82" s="212">
        <v>54.63</v>
      </c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50.79</v>
      </c>
      <c r="H83" s="43">
        <v>100</v>
      </c>
      <c r="I83" s="52">
        <f t="shared" si="3"/>
        <v>49.21</v>
      </c>
      <c r="J83" s="80">
        <f>Jan!I83+Feb!I83+Mar!I83+Apr!I83</f>
        <v>78.12</v>
      </c>
      <c r="K83" s="73"/>
      <c r="L83" s="212">
        <v>50.79</v>
      </c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35.130000000000003</v>
      </c>
      <c r="H84" s="43">
        <v>30</v>
      </c>
      <c r="I84" s="52">
        <f t="shared" si="3"/>
        <v>-5.1300000000000026</v>
      </c>
      <c r="J84" s="80">
        <f>Jan!I84+Feb!I84+Mar!I84+Apr!I84</f>
        <v>-18.299999999999997</v>
      </c>
      <c r="K84" s="73"/>
      <c r="L84" s="212">
        <v>35.130000000000003</v>
      </c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149.75</v>
      </c>
      <c r="C86" s="49">
        <f>SUM(H87:H89)</f>
        <v>336</v>
      </c>
      <c r="D86" s="49">
        <f>C86-B86</f>
        <v>186.25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</f>
        <v>400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965</v>
      </c>
      <c r="G88" s="43">
        <f t="shared" si="2"/>
        <v>149.75</v>
      </c>
      <c r="H88" s="43">
        <v>200</v>
      </c>
      <c r="I88" s="52">
        <f t="shared" si="3"/>
        <v>50.25</v>
      </c>
      <c r="J88" s="80">
        <f>Jan!I88+Feb!I88+Mar!I88+Apr!I88</f>
        <v>-274.75</v>
      </c>
      <c r="K88" s="73"/>
      <c r="L88" s="212">
        <v>149.75</v>
      </c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</f>
        <v>144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Jan!I92+Feb!I92+Mar!I92+Apr!I92</f>
        <v>80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</f>
        <v>20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</f>
        <v>260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</f>
        <v>60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</f>
        <v>140</v>
      </c>
      <c r="K96" s="73"/>
      <c r="L96" s="212"/>
      <c r="M96" s="211"/>
      <c r="N96" s="211"/>
      <c r="O96" s="212"/>
    </row>
    <row r="97" spans="1:17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</f>
        <v>104</v>
      </c>
      <c r="K97" s="73"/>
      <c r="L97" s="212"/>
      <c r="M97" s="211"/>
      <c r="N97" s="211"/>
      <c r="O97" s="212"/>
    </row>
    <row r="98" spans="1:17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</f>
        <v>48</v>
      </c>
      <c r="K98" s="73"/>
      <c r="L98" s="212"/>
      <c r="M98" s="211"/>
      <c r="N98" s="211"/>
      <c r="O98" s="212"/>
    </row>
    <row r="99" spans="1:17" s="43" customFormat="1" ht="13.5">
      <c r="I99" s="52"/>
      <c r="J99" s="80"/>
      <c r="K99" s="73"/>
      <c r="L99" s="212"/>
      <c r="M99" s="211"/>
      <c r="N99" s="211"/>
      <c r="O99" s="212"/>
    </row>
    <row r="100" spans="1:17" s="43" customFormat="1" ht="13.5">
      <c r="A100" s="49" t="s">
        <v>108</v>
      </c>
      <c r="B100" s="49">
        <f>SUM(G102:G104)</f>
        <v>390.98</v>
      </c>
      <c r="C100" s="49">
        <f>SUM(H101:H103)</f>
        <v>170</v>
      </c>
      <c r="D100" s="49">
        <f>C100-B100</f>
        <v>-220.98000000000002</v>
      </c>
      <c r="I100" s="52"/>
      <c r="J100" s="80"/>
      <c r="K100" s="73"/>
      <c r="L100" s="212"/>
      <c r="M100" s="211"/>
      <c r="N100" s="211"/>
      <c r="O100" s="212"/>
    </row>
    <row r="101" spans="1:17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</f>
        <v>240</v>
      </c>
      <c r="K101" s="73"/>
      <c r="L101" s="212"/>
      <c r="M101" s="211"/>
      <c r="N101" s="211"/>
      <c r="O101" s="212"/>
    </row>
    <row r="102" spans="1:17" s="43" customFormat="1" ht="13.5">
      <c r="B102" s="89" t="s">
        <v>645</v>
      </c>
      <c r="G102" s="43">
        <f t="shared" si="2"/>
        <v>390.98</v>
      </c>
      <c r="H102" s="43">
        <v>100</v>
      </c>
      <c r="I102" s="52">
        <f t="shared" si="3"/>
        <v>-290.98</v>
      </c>
      <c r="J102" s="80">
        <f>Jan!I102+Feb!I102+Mar!I102+Apr!I102</f>
        <v>-50.890000000000015</v>
      </c>
      <c r="K102" s="73"/>
      <c r="L102" s="212"/>
      <c r="M102" s="211">
        <v>390.98</v>
      </c>
      <c r="N102" s="211"/>
      <c r="O102" s="212"/>
      <c r="Q102" s="43" t="s">
        <v>969</v>
      </c>
    </row>
    <row r="103" spans="1:17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</f>
        <v>40</v>
      </c>
      <c r="K103" s="73"/>
      <c r="L103" s="212"/>
      <c r="M103" s="211"/>
      <c r="N103" s="211"/>
      <c r="O103" s="212"/>
    </row>
    <row r="104" spans="1:17" s="43" customFormat="1" ht="13.5">
      <c r="I104" s="52"/>
      <c r="J104" s="80"/>
      <c r="K104" s="73"/>
      <c r="L104" s="212"/>
      <c r="M104" s="211"/>
      <c r="N104" s="211"/>
      <c r="O104" s="212"/>
    </row>
    <row r="105" spans="1:17" s="43" customFormat="1" ht="13.5">
      <c r="A105" s="49" t="s">
        <v>44</v>
      </c>
      <c r="B105" s="49">
        <f>SUM(G107:G109)</f>
        <v>607.61</v>
      </c>
      <c r="C105" s="49">
        <f>SUM(H106:H108)</f>
        <v>200</v>
      </c>
      <c r="D105" s="49">
        <f>C105-B105</f>
        <v>-407.61</v>
      </c>
      <c r="I105" s="52"/>
      <c r="J105" s="80"/>
      <c r="K105" s="73"/>
      <c r="L105" s="212"/>
      <c r="M105" s="211"/>
      <c r="N105" s="211"/>
      <c r="O105" s="212"/>
    </row>
    <row r="106" spans="1:17" s="43" customFormat="1" ht="13.5">
      <c r="B106" s="43" t="s">
        <v>297</v>
      </c>
      <c r="G106" s="43">
        <f t="shared" ref="G106:G160" si="4">SUM(L106:O106)</f>
        <v>85.96</v>
      </c>
      <c r="H106" s="43">
        <v>100</v>
      </c>
      <c r="I106" s="52">
        <f t="shared" si="3"/>
        <v>14.040000000000006</v>
      </c>
      <c r="J106" s="80">
        <f>Jan!I106+Feb!I106+Mar!I106+Apr!I106</f>
        <v>284.04000000000002</v>
      </c>
      <c r="K106" s="73"/>
      <c r="L106" s="212"/>
      <c r="M106" s="211">
        <v>85.96</v>
      </c>
      <c r="N106" s="211"/>
      <c r="O106" s="212"/>
      <c r="Q106" s="43" t="s">
        <v>968</v>
      </c>
    </row>
    <row r="107" spans="1:17" s="43" customFormat="1" ht="13.5">
      <c r="B107" s="43" t="s">
        <v>644</v>
      </c>
      <c r="G107" s="43">
        <f t="shared" si="4"/>
        <v>551.5</v>
      </c>
      <c r="H107" s="43">
        <v>25</v>
      </c>
      <c r="I107" s="52">
        <f t="shared" si="3"/>
        <v>-526.5</v>
      </c>
      <c r="J107" s="80">
        <f>Jan!I107+Feb!I107+Mar!I107+Apr!I107</f>
        <v>-451.5</v>
      </c>
      <c r="K107" s="73"/>
      <c r="L107" s="212"/>
      <c r="M107" s="211">
        <f>65+65+226+195.5</f>
        <v>551.5</v>
      </c>
      <c r="N107" s="211"/>
      <c r="O107" s="212"/>
      <c r="Q107" s="43" t="s">
        <v>970</v>
      </c>
    </row>
    <row r="108" spans="1:17" s="43" customFormat="1" ht="13.5">
      <c r="B108" s="43" t="s">
        <v>897</v>
      </c>
      <c r="D108" s="43" t="s">
        <v>899</v>
      </c>
      <c r="G108" s="43">
        <f t="shared" si="4"/>
        <v>39.11</v>
      </c>
      <c r="H108" s="43">
        <v>75</v>
      </c>
      <c r="I108" s="52">
        <f t="shared" si="3"/>
        <v>35.89</v>
      </c>
      <c r="J108" s="80">
        <f>Jan!I108+Feb!I108+Mar!I108+Apr!I108</f>
        <v>260.89</v>
      </c>
      <c r="K108" s="73"/>
      <c r="L108" s="212"/>
      <c r="M108" s="211"/>
      <c r="N108" s="211">
        <f>39.11</f>
        <v>39.11</v>
      </c>
      <c r="O108" s="212"/>
    </row>
    <row r="109" spans="1:17" s="43" customFormat="1" ht="13.5">
      <c r="B109" s="43" t="s">
        <v>898</v>
      </c>
      <c r="D109" s="43" t="s">
        <v>900</v>
      </c>
      <c r="G109" s="43">
        <f t="shared" si="4"/>
        <v>17</v>
      </c>
      <c r="H109" s="43">
        <v>25</v>
      </c>
      <c r="I109" s="52">
        <f t="shared" si="3"/>
        <v>8</v>
      </c>
      <c r="J109" s="80">
        <f>Jan!I109+Feb!I109+Mar!I109+Apr!I109</f>
        <v>41.480000000000004</v>
      </c>
      <c r="K109" s="73"/>
      <c r="L109" s="212"/>
      <c r="M109" s="211"/>
      <c r="N109" s="211">
        <f>17</f>
        <v>17</v>
      </c>
      <c r="O109" s="212"/>
    </row>
    <row r="110" spans="1:17" s="43" customFormat="1" ht="13.5">
      <c r="I110" s="52"/>
      <c r="J110" s="80"/>
      <c r="K110" s="73"/>
      <c r="L110" s="212"/>
      <c r="M110" s="211"/>
      <c r="N110" s="211"/>
      <c r="O110" s="212"/>
    </row>
    <row r="111" spans="1:17" s="43" customFormat="1" ht="13.5">
      <c r="A111" s="49" t="s">
        <v>46</v>
      </c>
      <c r="B111" s="49">
        <f>SUM(G113:G116)</f>
        <v>250</v>
      </c>
      <c r="C111" s="49">
        <f>SUM(H112:H114)</f>
        <v>415</v>
      </c>
      <c r="D111" s="49">
        <f>C111-B111</f>
        <v>165</v>
      </c>
      <c r="I111" s="52"/>
      <c r="J111" s="80"/>
      <c r="K111" s="73"/>
      <c r="L111" s="212"/>
      <c r="M111" s="211"/>
      <c r="N111" s="211"/>
      <c r="O111" s="212"/>
    </row>
    <row r="112" spans="1:17" s="43" customFormat="1" ht="13.5">
      <c r="B112" s="43" t="s">
        <v>324</v>
      </c>
      <c r="D112" s="43" t="s">
        <v>47</v>
      </c>
      <c r="G112" s="43">
        <f t="shared" si="4"/>
        <v>0</v>
      </c>
      <c r="H112" s="43">
        <v>150</v>
      </c>
      <c r="I112" s="52">
        <f t="shared" si="3"/>
        <v>150</v>
      </c>
      <c r="J112" s="80">
        <f>Jan!I112+Feb!I112+Mar!I112+Apr!I112</f>
        <v>371</v>
      </c>
      <c r="K112" s="73"/>
      <c r="L112" s="212"/>
      <c r="M112" s="211"/>
      <c r="N112" s="211"/>
      <c r="O112" s="212"/>
    </row>
    <row r="113" spans="1:17" s="43" customFormat="1" ht="13.5">
      <c r="A113" s="49"/>
      <c r="B113" s="43" t="s">
        <v>323</v>
      </c>
      <c r="G113" s="43">
        <f t="shared" si="4"/>
        <v>250</v>
      </c>
      <c r="H113" s="43">
        <v>215</v>
      </c>
      <c r="I113" s="52">
        <f t="shared" si="3"/>
        <v>-35</v>
      </c>
      <c r="J113" s="80">
        <f>Jan!I113+Feb!I113+Mar!I113+Apr!I113</f>
        <v>415.9</v>
      </c>
      <c r="K113" s="73"/>
      <c r="L113" s="212">
        <f>25*3*2+100</f>
        <v>250</v>
      </c>
      <c r="M113" s="211"/>
      <c r="N113" s="211"/>
      <c r="O113" s="212"/>
      <c r="Q113" s="43" t="s">
        <v>1045</v>
      </c>
    </row>
    <row r="114" spans="1:17" s="43" customFormat="1" ht="13.5">
      <c r="A114" s="49"/>
      <c r="B114" s="43" t="s">
        <v>317</v>
      </c>
      <c r="G114" s="43">
        <f t="shared" si="4"/>
        <v>0</v>
      </c>
      <c r="H114" s="43">
        <v>50</v>
      </c>
      <c r="I114" s="52">
        <f t="shared" si="3"/>
        <v>50</v>
      </c>
      <c r="J114" s="80">
        <f>Jan!I114+Feb!I114+Mar!I114+Apr!I114</f>
        <v>-3400</v>
      </c>
      <c r="K114" s="73"/>
      <c r="L114" s="212"/>
      <c r="M114" s="211"/>
      <c r="N114" s="211"/>
      <c r="O114" s="212"/>
    </row>
    <row r="115" spans="1:17" s="43" customFormat="1" ht="13.5">
      <c r="A115" s="49"/>
      <c r="B115" s="43" t="s">
        <v>907</v>
      </c>
      <c r="G115" s="43">
        <f t="shared" si="4"/>
        <v>0</v>
      </c>
      <c r="H115" s="43">
        <v>100</v>
      </c>
      <c r="I115" s="52">
        <f t="shared" si="3"/>
        <v>100</v>
      </c>
      <c r="J115" s="80">
        <f>Jan!I115+Feb!I115+Mar!I115+Apr!I115</f>
        <v>400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954.12000000000012</v>
      </c>
      <c r="C117" s="49">
        <f>SUM(H118:H128)</f>
        <v>820</v>
      </c>
      <c r="D117" s="49">
        <f>C117-B117</f>
        <v>-134.12000000000012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4"/>
        <v>100</v>
      </c>
      <c r="H118" s="43">
        <v>100</v>
      </c>
      <c r="I118" s="52">
        <f t="shared" si="3"/>
        <v>0</v>
      </c>
      <c r="J118" s="80">
        <f>Jan!I118+Feb!I118+Mar!I118+Apr!I118</f>
        <v>-433</v>
      </c>
      <c r="K118" s="73"/>
      <c r="L118" s="212">
        <v>100</v>
      </c>
      <c r="M118" s="211"/>
      <c r="N118" s="211"/>
      <c r="O118" s="212"/>
      <c r="Q118" s="105">
        <v>42398</v>
      </c>
    </row>
    <row r="119" spans="1:17" s="43" customFormat="1" ht="13.5">
      <c r="B119" s="43" t="s">
        <v>908</v>
      </c>
      <c r="G119" s="43">
        <f t="shared" si="4"/>
        <v>124.05</v>
      </c>
      <c r="H119" s="43">
        <v>100</v>
      </c>
      <c r="I119" s="52">
        <f t="shared" si="3"/>
        <v>-24.049999999999997</v>
      </c>
      <c r="J119" s="80">
        <f>Jan!I119+Feb!I119+Mar!I119+Apr!I119</f>
        <v>73.429999999999993</v>
      </c>
      <c r="K119" s="73"/>
      <c r="L119" s="212">
        <v>100</v>
      </c>
      <c r="M119" s="211">
        <f>14.25+9.8</f>
        <v>24.05</v>
      </c>
      <c r="N119" s="211"/>
      <c r="O119" s="212"/>
      <c r="Q119" s="43" t="s">
        <v>986</v>
      </c>
    </row>
    <row r="120" spans="1:17" s="43" customFormat="1" ht="14.25" thickBot="1">
      <c r="B120" s="43" t="s">
        <v>304</v>
      </c>
      <c r="G120" s="43">
        <f t="shared" si="4"/>
        <v>654.71</v>
      </c>
      <c r="H120" s="43">
        <v>500</v>
      </c>
      <c r="I120" s="52">
        <f t="shared" si="3"/>
        <v>-154.71000000000004</v>
      </c>
      <c r="J120" s="80">
        <f>Jan!I120+Feb!I120+Mar!I120+Apr!I120</f>
        <v>230.03999999999996</v>
      </c>
      <c r="K120" s="73"/>
      <c r="L120" s="212"/>
      <c r="M120" s="211">
        <f>(61.56-22.92)+55.86+36.66</f>
        <v>131.16</v>
      </c>
      <c r="N120" s="211">
        <f>87.79+46.78+27.23+45.78+57+44.82+39.92+61.05+46.35</f>
        <v>456.72</v>
      </c>
      <c r="O120" s="212">
        <v>66.83</v>
      </c>
    </row>
    <row r="121" spans="1:17" s="43" customFormat="1" ht="14.25" thickBot="1">
      <c r="C121" s="43" t="s">
        <v>298</v>
      </c>
      <c r="E121" s="79">
        <v>36.659999999999997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4"/>
        <v>11.44</v>
      </c>
      <c r="H122" s="43">
        <v>50</v>
      </c>
      <c r="I122" s="52">
        <f t="shared" si="3"/>
        <v>38.56</v>
      </c>
      <c r="J122" s="80">
        <f>Jan!I122+Feb!I122+Mar!I122+Apr!I122</f>
        <v>150.52000000000001</v>
      </c>
      <c r="K122" s="73"/>
      <c r="L122" s="212"/>
      <c r="M122" s="211">
        <f>11.44</f>
        <v>11.44</v>
      </c>
      <c r="N122" s="211"/>
      <c r="O122" s="212"/>
    </row>
    <row r="123" spans="1:17" s="43" customFormat="1" ht="14.25" thickBot="1">
      <c r="B123" s="43" t="s">
        <v>43</v>
      </c>
      <c r="G123" s="43">
        <f t="shared" si="4"/>
        <v>90.850000000000009</v>
      </c>
      <c r="H123" s="43">
        <v>50</v>
      </c>
      <c r="I123" s="52">
        <f t="shared" si="3"/>
        <v>-40.850000000000009</v>
      </c>
      <c r="J123" s="80">
        <f>Jan!I123+Feb!I123+Mar!I123+Apr!I123</f>
        <v>41.19</v>
      </c>
      <c r="K123" s="73"/>
      <c r="L123" s="212"/>
      <c r="M123" s="211">
        <f>67.93+22.92</f>
        <v>90.850000000000009</v>
      </c>
      <c r="N123" s="211"/>
      <c r="O123" s="212"/>
      <c r="Q123" s="43" t="s">
        <v>961</v>
      </c>
    </row>
    <row r="124" spans="1:17" s="43" customFormat="1" ht="14.25" thickBot="1">
      <c r="C124" s="157" t="s">
        <v>299</v>
      </c>
      <c r="D124" s="158"/>
      <c r="E124" s="79">
        <v>67.930000000000007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4"/>
        <v>73.069999999999993</v>
      </c>
      <c r="H128" s="43">
        <v>20</v>
      </c>
      <c r="I128" s="52">
        <f t="shared" si="3"/>
        <v>-53.069999999999993</v>
      </c>
      <c r="J128" s="80">
        <f>Jan!I128+Feb!I128+Mar!I128+Apr!I128</f>
        <v>6.9300000000000068</v>
      </c>
      <c r="K128" s="73"/>
      <c r="L128" s="212"/>
      <c r="M128" s="211">
        <f>73.07</f>
        <v>73.069999999999993</v>
      </c>
      <c r="N128" s="211"/>
      <c r="O128" s="212"/>
      <c r="Q128" s="43" t="s">
        <v>962</v>
      </c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4"/>
        <v>0</v>
      </c>
      <c r="H131" s="43">
        <v>50</v>
      </c>
      <c r="I131" s="52">
        <f t="shared" si="3"/>
        <v>50</v>
      </c>
      <c r="J131" s="80">
        <f>Jan!I131+Feb!I131+Mar!I131+Apr!I131</f>
        <v>179.04999999999998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4"/>
        <v>0</v>
      </c>
      <c r="H134" s="43">
        <v>100</v>
      </c>
      <c r="I134" s="52">
        <f t="shared" ref="I134:I163" si="5">H134-G134</f>
        <v>100</v>
      </c>
      <c r="J134" s="80">
        <f>Jan!I134+Feb!I134+Mar!I134+Apr!I134</f>
        <v>372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4"/>
        <v>0</v>
      </c>
      <c r="H135" s="43">
        <v>100</v>
      </c>
      <c r="I135" s="52">
        <f t="shared" si="5"/>
        <v>100</v>
      </c>
      <c r="J135" s="80">
        <f>Jan!I135+Feb!I135+Mar!I135+Apr!I135</f>
        <v>375.21000000000004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4"/>
        <v>0</v>
      </c>
      <c r="H136" s="43">
        <v>30</v>
      </c>
      <c r="I136" s="52">
        <f t="shared" si="5"/>
        <v>30</v>
      </c>
      <c r="J136" s="80">
        <f>Jan!I136+Feb!I136+Mar!I136+Apr!I136</f>
        <v>118.37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4"/>
        <v>0</v>
      </c>
      <c r="H139" s="43">
        <v>10</v>
      </c>
      <c r="I139" s="52">
        <f t="shared" si="5"/>
        <v>10</v>
      </c>
      <c r="J139" s="80">
        <f>Jan!I139+Feb!I139+Mar!I139+Apr!I139</f>
        <v>14.5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4"/>
        <v>0</v>
      </c>
      <c r="H142" s="43">
        <v>150</v>
      </c>
      <c r="I142" s="52">
        <f t="shared" si="5"/>
        <v>150</v>
      </c>
      <c r="J142" s="80">
        <f>Jan!I142+Feb!I142+Mar!I142+Apr!I142</f>
        <v>90.260000000000019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4"/>
        <v>0</v>
      </c>
      <c r="H143" s="43">
        <v>100</v>
      </c>
      <c r="I143" s="52">
        <f t="shared" si="5"/>
        <v>100</v>
      </c>
      <c r="J143" s="80">
        <f>Jan!I143+Feb!I143+Mar!I143+Apr!I143</f>
        <v>374.76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4"/>
        <v>0</v>
      </c>
      <c r="H149" s="43">
        <v>100</v>
      </c>
      <c r="I149" s="52">
        <f t="shared" si="5"/>
        <v>100</v>
      </c>
      <c r="J149" s="80">
        <f>Jan!I149+Feb!I149+Mar!I149+Apr!I149</f>
        <v>400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4"/>
        <v>0</v>
      </c>
      <c r="H150" s="43">
        <v>100</v>
      </c>
      <c r="I150" s="52">
        <f t="shared" si="5"/>
        <v>100</v>
      </c>
      <c r="J150" s="80">
        <f>Jan!I150+Feb!I150+Mar!I150+Apr!I150</f>
        <v>400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4"/>
        <v>0</v>
      </c>
      <c r="H151" s="43">
        <v>30</v>
      </c>
      <c r="I151" s="52">
        <f t="shared" si="5"/>
        <v>30</v>
      </c>
      <c r="J151" s="80">
        <f>Jan!I151+Feb!I151+Mar!I151+Apr!I151</f>
        <v>120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4"/>
        <v>0</v>
      </c>
      <c r="H152" s="43">
        <v>50</v>
      </c>
      <c r="I152" s="52">
        <f t="shared" si="5"/>
        <v>50</v>
      </c>
      <c r="J152" s="80">
        <f>Jan!I152+Feb!I152+Mar!I152+Apr!I152</f>
        <v>200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80">
        <f>Jan!I153+Feb!I153+Mar!I153+Apr!I153</f>
        <v>40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0</v>
      </c>
      <c r="H156" s="43">
        <v>30</v>
      </c>
      <c r="I156" s="52">
        <f t="shared" si="5"/>
        <v>30</v>
      </c>
      <c r="J156" s="80">
        <f>Jan!I156+Feb!I156+Mar!I156+Apr!I156</f>
        <v>65.55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4"/>
        <v>0</v>
      </c>
      <c r="H157" s="43">
        <v>30</v>
      </c>
      <c r="I157" s="52">
        <f t="shared" si="5"/>
        <v>30</v>
      </c>
      <c r="J157" s="80">
        <f>Jan!I157+Feb!I157+Mar!I157+Apr!I157</f>
        <v>-544.54999999999973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80">
        <f>Jan!I158+Feb!I158+Mar!I158+Apr!I158</f>
        <v>120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80">
        <f>Jan!I159+Feb!I159+Mar!I159+Apr!I159</f>
        <v>120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4"/>
        <v>0</v>
      </c>
      <c r="H160" s="43">
        <v>100</v>
      </c>
      <c r="I160" s="52">
        <f t="shared" si="5"/>
        <v>100</v>
      </c>
      <c r="J160" s="80">
        <f>Jan!I160+Feb!I160+Mar!I160+Apr!I160</f>
        <v>-1100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5"/>
        <v>100</v>
      </c>
      <c r="J163" s="80">
        <f>Jan!I163+Feb!I163+Mar!I163+Apr!I163</f>
        <v>400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topLeftCell="A39" zoomScale="86" zoomScaleNormal="86" workbookViewId="0">
      <selection activeCell="L118" sqref="L118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129" customWidth="1"/>
    <col min="11" max="11" width="2.28515625" style="130" customWidth="1"/>
    <col min="12" max="12" width="11.5703125" style="129" customWidth="1"/>
    <col min="13" max="13" width="11.85546875" style="129" customWidth="1"/>
    <col min="14" max="15" width="11.5703125" style="129" customWidth="1"/>
    <col min="16" max="16" width="1.7109375" style="129" customWidth="1"/>
    <col min="17" max="17" width="11.7109375" style="129" customWidth="1"/>
    <col min="18" max="18" width="11.5703125" style="129" customWidth="1"/>
    <col min="19" max="16384" width="9" style="129"/>
  </cols>
  <sheetData>
    <row r="1" spans="1:16">
      <c r="A1" s="62" t="s">
        <v>102</v>
      </c>
      <c r="B1" s="63">
        <v>2016</v>
      </c>
      <c r="C1" s="63"/>
      <c r="L1" s="64" t="s">
        <v>327</v>
      </c>
      <c r="M1" s="56"/>
    </row>
    <row r="2" spans="1:16">
      <c r="A2" s="62" t="s">
        <v>100</v>
      </c>
      <c r="B2" s="64" t="s">
        <v>10</v>
      </c>
      <c r="C2" s="64"/>
      <c r="L2" s="56" t="s">
        <v>989</v>
      </c>
      <c r="M2" s="64"/>
    </row>
    <row r="3" spans="1:16">
      <c r="B3" s="56" t="s">
        <v>77</v>
      </c>
      <c r="L3" s="56"/>
      <c r="M3" s="64"/>
      <c r="O3" s="131"/>
    </row>
    <row r="4" spans="1:16">
      <c r="A4" s="62" t="s">
        <v>4</v>
      </c>
      <c r="B4" s="67">
        <f>SUM(G5:G8)</f>
        <v>9283.5600000000013</v>
      </c>
      <c r="C4" s="67"/>
      <c r="G4" s="56" t="s">
        <v>28</v>
      </c>
      <c r="I4" s="56"/>
      <c r="L4" s="68"/>
      <c r="M4" s="56"/>
      <c r="O4" s="131"/>
    </row>
    <row r="5" spans="1:16" ht="14.25">
      <c r="A5" s="56" t="s">
        <v>842</v>
      </c>
      <c r="B5" s="106">
        <v>4605.47</v>
      </c>
      <c r="C5" s="107">
        <v>4678.09</v>
      </c>
      <c r="G5" s="106">
        <f>SUM(B5:E5)</f>
        <v>9283.5600000000013</v>
      </c>
      <c r="H5" s="68"/>
      <c r="I5" s="68"/>
      <c r="J5" s="132"/>
      <c r="K5" s="133"/>
      <c r="L5" s="68"/>
      <c r="M5" s="56"/>
      <c r="O5" s="131"/>
    </row>
    <row r="6" spans="1:16" ht="14.25">
      <c r="A6" s="56" t="s">
        <v>103</v>
      </c>
      <c r="C6" s="66"/>
      <c r="G6" s="106">
        <f>SUM(B6:E6)</f>
        <v>0</v>
      </c>
      <c r="H6" s="68"/>
      <c r="I6" s="68"/>
      <c r="J6" s="132"/>
      <c r="K6" s="133"/>
      <c r="L6" s="68"/>
      <c r="M6" s="56"/>
      <c r="O6" s="131"/>
    </row>
    <row r="7" spans="1:16" ht="14.25">
      <c r="A7" s="56"/>
      <c r="G7" s="106">
        <f>SUM(B7:E7)</f>
        <v>0</v>
      </c>
      <c r="H7" s="68"/>
      <c r="I7" s="68">
        <v>6679.56</v>
      </c>
      <c r="J7" s="132">
        <f>G7-I7</f>
        <v>-6679.56</v>
      </c>
      <c r="K7" s="133"/>
      <c r="L7" s="68"/>
      <c r="M7" s="56"/>
      <c r="O7" s="131"/>
    </row>
    <row r="8" spans="1:16">
      <c r="G8" s="106"/>
      <c r="H8" s="68"/>
      <c r="I8" s="68"/>
      <c r="J8" s="132"/>
      <c r="K8" s="133"/>
      <c r="L8" s="56"/>
      <c r="P8" s="131"/>
    </row>
    <row r="9" spans="1:16" ht="14.2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134" t="s">
        <v>146</v>
      </c>
      <c r="L9" s="56"/>
      <c r="M9" s="43"/>
    </row>
    <row r="10" spans="1:16" ht="14.25">
      <c r="A10" s="49"/>
      <c r="B10" s="53"/>
      <c r="C10" s="43"/>
      <c r="D10" s="43"/>
      <c r="E10" s="43"/>
      <c r="F10" s="159"/>
      <c r="G10" s="46" t="s">
        <v>106</v>
      </c>
      <c r="H10" s="43" t="s">
        <v>35</v>
      </c>
      <c r="I10" s="54" t="s">
        <v>34</v>
      </c>
      <c r="J10" s="136" t="s">
        <v>34</v>
      </c>
      <c r="K10" s="135"/>
      <c r="L10" s="43"/>
      <c r="M10" s="43"/>
    </row>
    <row r="11" spans="1:16" ht="14.25">
      <c r="A11" s="49" t="s">
        <v>141</v>
      </c>
      <c r="B11" s="160">
        <f>G11</f>
        <v>2450</v>
      </c>
      <c r="C11" s="43"/>
      <c r="D11" s="43" t="s">
        <v>143</v>
      </c>
      <c r="E11" s="43">
        <f>G11/B4</f>
        <v>0.26390738035839695</v>
      </c>
      <c r="F11" s="159"/>
      <c r="G11" s="44">
        <f>Tithe!D10</f>
        <v>2450</v>
      </c>
      <c r="H11" s="43">
        <v>1500</v>
      </c>
      <c r="I11" s="55">
        <f>H11-G11</f>
        <v>-950</v>
      </c>
      <c r="J11" s="138">
        <f>Jan!I11+Feb!I11+Mar!I11+Apr!I11+May!I11</f>
        <v>-350</v>
      </c>
      <c r="K11" s="137"/>
      <c r="L11" s="43"/>
      <c r="M11" s="43"/>
    </row>
    <row r="12" spans="1:16" ht="14.25">
      <c r="A12" s="43"/>
      <c r="B12" s="43"/>
      <c r="C12" s="43"/>
      <c r="D12" s="43"/>
      <c r="E12" s="43"/>
      <c r="F12" s="43"/>
      <c r="G12" s="43"/>
      <c r="H12" s="43"/>
      <c r="I12" s="55"/>
      <c r="J12" s="138"/>
      <c r="K12" s="139"/>
      <c r="L12" s="167" t="s">
        <v>328</v>
      </c>
      <c r="M12" s="43"/>
    </row>
    <row r="13" spans="1:16" ht="14.25">
      <c r="A13" s="49" t="s">
        <v>314</v>
      </c>
      <c r="B13" s="160">
        <f>SUM(G14:G20)</f>
        <v>0</v>
      </c>
      <c r="C13" s="43"/>
      <c r="D13" s="43"/>
      <c r="E13" s="43"/>
      <c r="F13" s="159"/>
      <c r="G13" s="46"/>
      <c r="H13" s="43"/>
      <c r="I13" s="55"/>
      <c r="J13" s="138"/>
      <c r="K13" s="139"/>
      <c r="L13" s="43"/>
      <c r="M13" s="43"/>
    </row>
    <row r="14" spans="1:16" ht="14.25">
      <c r="A14" s="43"/>
      <c r="B14" s="49" t="s">
        <v>924</v>
      </c>
      <c r="C14" s="43"/>
      <c r="D14" s="43"/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138">
        <f>Jan!I14+Feb!I14+Mar!I14+Apr!I14+May!I14</f>
        <v>2000</v>
      </c>
      <c r="K14" s="139"/>
      <c r="L14" s="43"/>
      <c r="M14" s="43"/>
    </row>
    <row r="15" spans="1:16" ht="14.25">
      <c r="A15" s="43"/>
      <c r="B15" s="49" t="s">
        <v>129</v>
      </c>
      <c r="C15" s="43"/>
      <c r="D15" s="43"/>
      <c r="E15" s="43" t="s">
        <v>315</v>
      </c>
      <c r="F15" s="159"/>
      <c r="G15" s="44"/>
      <c r="H15" s="43">
        <v>200</v>
      </c>
      <c r="I15" s="55">
        <f t="shared" si="0"/>
        <v>200</v>
      </c>
      <c r="J15" s="138">
        <f>Jan!I15+Feb!I15+Mar!I15+Apr!I15+May!I15</f>
        <v>1000</v>
      </c>
      <c r="K15" s="139"/>
      <c r="L15" s="43"/>
      <c r="M15" s="43"/>
    </row>
    <row r="16" spans="1:16" ht="14.25">
      <c r="A16" s="43"/>
      <c r="B16" s="49" t="s">
        <v>157</v>
      </c>
      <c r="C16" s="43"/>
      <c r="D16" s="43"/>
      <c r="E16" s="43" t="s">
        <v>315</v>
      </c>
      <c r="F16" s="159"/>
      <c r="G16" s="44"/>
      <c r="H16" s="43">
        <v>300</v>
      </c>
      <c r="I16" s="55">
        <f t="shared" si="0"/>
        <v>300</v>
      </c>
      <c r="J16" s="138">
        <f>Jan!I16+Feb!I16+Mar!I16+Apr!I16+May!I16</f>
        <v>1500</v>
      </c>
      <c r="K16" s="139"/>
      <c r="L16" s="43"/>
      <c r="M16" s="43"/>
    </row>
    <row r="17" spans="1:13" ht="14.25">
      <c r="A17" s="43"/>
      <c r="B17" s="49" t="s">
        <v>313</v>
      </c>
      <c r="C17" s="43"/>
      <c r="D17" s="43"/>
      <c r="E17" s="43" t="s">
        <v>315</v>
      </c>
      <c r="F17" s="159"/>
      <c r="G17" s="44"/>
      <c r="H17" s="43">
        <v>200</v>
      </c>
      <c r="I17" s="55">
        <f t="shared" si="0"/>
        <v>200</v>
      </c>
      <c r="J17" s="138">
        <f>Jan!I17+Feb!I17+Mar!I17+Apr!I17+May!I17</f>
        <v>1000</v>
      </c>
      <c r="K17" s="139"/>
      <c r="L17" s="43"/>
      <c r="M17" s="43"/>
    </row>
    <row r="18" spans="1:13" ht="15.95" customHeight="1">
      <c r="A18" s="43"/>
      <c r="B18" s="49" t="s">
        <v>131</v>
      </c>
      <c r="C18" s="43"/>
      <c r="D18" s="43"/>
      <c r="E18" s="43" t="s">
        <v>315</v>
      </c>
      <c r="F18" s="159"/>
      <c r="G18" s="44"/>
      <c r="H18" s="43">
        <v>50</v>
      </c>
      <c r="I18" s="55">
        <f t="shared" si="0"/>
        <v>50</v>
      </c>
      <c r="J18" s="138">
        <f>Jan!I18+Feb!I18+Mar!I18+Apr!I18+May!I18</f>
        <v>250</v>
      </c>
      <c r="K18" s="139"/>
      <c r="L18" s="43"/>
      <c r="M18" s="43"/>
    </row>
    <row r="19" spans="1:13" ht="15.95" customHeight="1">
      <c r="A19" s="43"/>
      <c r="B19" s="49" t="s">
        <v>130</v>
      </c>
      <c r="C19" s="43"/>
      <c r="D19" s="43"/>
      <c r="E19" s="43" t="s">
        <v>316</v>
      </c>
      <c r="F19" s="159"/>
      <c r="G19" s="44"/>
      <c r="H19" s="43">
        <v>200</v>
      </c>
      <c r="I19" s="55">
        <f t="shared" si="0"/>
        <v>200</v>
      </c>
      <c r="J19" s="138">
        <f>Jan!I19+Feb!I19+Mar!I19+Apr!I19+May!I19</f>
        <v>1000</v>
      </c>
      <c r="K19" s="139"/>
      <c r="L19" s="43"/>
      <c r="M19" s="43"/>
    </row>
    <row r="20" spans="1:13" ht="15.95" customHeight="1">
      <c r="A20" s="43"/>
      <c r="B20" s="49" t="s">
        <v>158</v>
      </c>
      <c r="C20" s="43"/>
      <c r="D20" s="43"/>
      <c r="E20" s="43" t="s">
        <v>316</v>
      </c>
      <c r="F20" s="43"/>
      <c r="G20" s="44"/>
      <c r="H20" s="43">
        <v>300</v>
      </c>
      <c r="I20" s="55">
        <f t="shared" si="0"/>
        <v>300</v>
      </c>
      <c r="J20" s="138">
        <f>Jan!I20+Feb!I20+Mar!I20+Apr!I20+May!I20</f>
        <v>1500</v>
      </c>
      <c r="K20" s="139"/>
      <c r="L20" s="43"/>
      <c r="M20" s="43"/>
    </row>
    <row r="21" spans="1:13" ht="15.95" customHeight="1">
      <c r="A21" s="49"/>
      <c r="B21" s="43"/>
      <c r="C21" s="43"/>
      <c r="D21" s="43"/>
      <c r="E21" s="43"/>
      <c r="F21" s="159"/>
      <c r="G21" s="44"/>
      <c r="H21" s="43"/>
      <c r="I21" s="55"/>
      <c r="J21" s="138"/>
      <c r="K21" s="139"/>
      <c r="L21" s="49" t="s">
        <v>329</v>
      </c>
      <c r="M21" s="43"/>
    </row>
    <row r="22" spans="1:13" ht="15.95" customHeight="1">
      <c r="A22" s="49" t="s">
        <v>144</v>
      </c>
      <c r="B22" s="161">
        <f>G22</f>
        <v>0</v>
      </c>
      <c r="C22" s="43"/>
      <c r="D22" s="43"/>
      <c r="E22" s="43"/>
      <c r="F22" s="159"/>
      <c r="G22" s="44"/>
      <c r="H22" s="43">
        <v>0</v>
      </c>
      <c r="I22" s="55">
        <f>H22-G22</f>
        <v>0</v>
      </c>
      <c r="J22" s="138">
        <f>Jan!I22+Feb!I22+Mar!I22+Apr!I22+May!I22</f>
        <v>0</v>
      </c>
      <c r="K22" s="139"/>
      <c r="L22" s="43"/>
      <c r="M22" s="43"/>
    </row>
    <row r="23" spans="1:13" ht="15.95" customHeight="1">
      <c r="A23" s="49" t="s">
        <v>276</v>
      </c>
      <c r="B23" s="53" t="s">
        <v>275</v>
      </c>
      <c r="C23" s="43"/>
      <c r="D23" s="43"/>
      <c r="E23" s="43" t="s">
        <v>316</v>
      </c>
      <c r="F23" s="159"/>
      <c r="G23" s="44"/>
      <c r="H23" s="43"/>
      <c r="I23" s="55"/>
      <c r="J23" s="138"/>
      <c r="K23" s="139"/>
      <c r="L23" s="43"/>
      <c r="M23" s="43"/>
    </row>
    <row r="24" spans="1:13" ht="15.95" customHeight="1">
      <c r="A24" s="49" t="s">
        <v>145</v>
      </c>
      <c r="B24" s="160">
        <f>SUM(G25:G26)</f>
        <v>0</v>
      </c>
      <c r="C24" s="43"/>
      <c r="D24" s="43"/>
      <c r="E24" s="43"/>
      <c r="F24" s="159"/>
      <c r="G24" s="44"/>
      <c r="H24" s="43"/>
      <c r="I24" s="55"/>
      <c r="J24" s="138"/>
      <c r="K24" s="139"/>
      <c r="L24" s="43"/>
      <c r="M24" s="43"/>
    </row>
    <row r="25" spans="1:13" ht="15.95" customHeight="1">
      <c r="A25" s="43"/>
      <c r="B25" s="49" t="s">
        <v>123</v>
      </c>
      <c r="C25" s="43"/>
      <c r="D25" s="43"/>
      <c r="E25" s="43" t="s">
        <v>316</v>
      </c>
      <c r="F25" s="159"/>
      <c r="G25" s="44"/>
      <c r="H25" s="43">
        <v>500</v>
      </c>
      <c r="I25" s="55">
        <f>H25-G25</f>
        <v>500</v>
      </c>
      <c r="J25" s="138">
        <f>Jan!I25+Feb!I25+Mar!I25+Apr!I25+May!I25</f>
        <v>2500</v>
      </c>
      <c r="K25" s="139"/>
      <c r="L25" s="43"/>
      <c r="M25" s="43"/>
    </row>
    <row r="26" spans="1:13" ht="12.75" customHeight="1">
      <c r="A26" s="43"/>
      <c r="B26" s="49" t="s">
        <v>133</v>
      </c>
      <c r="C26" s="43"/>
      <c r="D26" s="43"/>
      <c r="E26" s="43" t="s">
        <v>315</v>
      </c>
      <c r="F26" s="159"/>
      <c r="G26" s="44"/>
      <c r="H26" s="43">
        <v>300</v>
      </c>
      <c r="I26" s="55">
        <f>H26-G26</f>
        <v>300</v>
      </c>
      <c r="J26" s="140">
        <f>Jan!I26+Feb!I26+Mar!I26+Apr!I26+May!I26</f>
        <v>1500</v>
      </c>
      <c r="K26" s="139"/>
      <c r="L26" s="43"/>
      <c r="M26" s="43"/>
    </row>
    <row r="27" spans="1:13" ht="12.75" customHeight="1">
      <c r="A27" s="49"/>
      <c r="B27" s="43"/>
      <c r="C27" s="43"/>
      <c r="D27" s="43"/>
      <c r="E27" s="43"/>
      <c r="F27" s="159"/>
      <c r="G27" s="57"/>
      <c r="H27" s="57"/>
      <c r="I27" s="59"/>
      <c r="J27" s="141"/>
      <c r="K27" s="141"/>
      <c r="L27" s="43"/>
      <c r="M27" s="43"/>
    </row>
    <row r="28" spans="1:13" ht="12.75" customHeight="1" thickBot="1">
      <c r="A28" s="49"/>
      <c r="B28" s="49"/>
      <c r="C28" s="43"/>
      <c r="D28" s="43"/>
      <c r="E28" s="43"/>
      <c r="F28" s="159"/>
      <c r="G28" s="58">
        <f>SUM(G14:G26)</f>
        <v>0</v>
      </c>
      <c r="H28" s="58">
        <f>SUM(H11:H26)</f>
        <v>3950</v>
      </c>
      <c r="I28" s="58">
        <f>SUM(I11:I26)</f>
        <v>1500</v>
      </c>
      <c r="J28" s="142">
        <f>SUM(J11:J26)</f>
        <v>11900</v>
      </c>
      <c r="K28" s="143"/>
      <c r="L28" s="43"/>
      <c r="M28" s="43"/>
    </row>
    <row r="29" spans="1:13" ht="12.75" customHeight="1" thickTop="1" thickBot="1">
      <c r="A29" s="43"/>
      <c r="B29" s="43"/>
      <c r="C29" s="43"/>
      <c r="D29" s="43"/>
      <c r="E29" s="43"/>
      <c r="F29" s="43"/>
      <c r="G29" s="43"/>
      <c r="H29" s="47"/>
      <c r="I29" s="47"/>
      <c r="J29" s="144"/>
      <c r="K29" s="143"/>
      <c r="L29" s="49" t="s">
        <v>330</v>
      </c>
      <c r="M29" s="43"/>
    </row>
    <row r="30" spans="1:13" ht="12.75" customHeight="1" thickBot="1">
      <c r="A30" s="49" t="s">
        <v>149</v>
      </c>
      <c r="B30" s="49"/>
      <c r="C30" s="43"/>
      <c r="D30" s="43"/>
      <c r="E30" s="43"/>
      <c r="F30" s="159"/>
      <c r="G30" s="79">
        <f>13657+4012.45</f>
        <v>17669.45</v>
      </c>
      <c r="H30" s="47" t="s">
        <v>1006</v>
      </c>
      <c r="I30" s="47"/>
      <c r="J30" s="144"/>
      <c r="K30" s="143"/>
    </row>
    <row r="31" spans="1:13" ht="12.75" customHeight="1">
      <c r="A31" s="89" t="s">
        <v>142</v>
      </c>
      <c r="B31" s="49"/>
      <c r="C31" s="43"/>
      <c r="D31" s="43"/>
      <c r="E31" s="43"/>
      <c r="F31" s="159"/>
      <c r="G31" s="164">
        <f>B4-G11-G28+G30</f>
        <v>24503.010000000002</v>
      </c>
      <c r="H31" s="47"/>
      <c r="I31" s="47"/>
      <c r="J31" s="144"/>
      <c r="K31" s="143"/>
      <c r="L31" s="144"/>
    </row>
    <row r="32" spans="1:13" ht="12.75" customHeight="1">
      <c r="A32" s="43" t="s">
        <v>318</v>
      </c>
      <c r="B32" s="89"/>
      <c r="C32" s="45"/>
      <c r="D32" s="45"/>
      <c r="E32" s="45"/>
      <c r="F32" s="163"/>
      <c r="G32" s="165">
        <f>G46</f>
        <v>1679.7500000000005</v>
      </c>
      <c r="H32" s="47"/>
      <c r="I32" s="47"/>
      <c r="J32" s="144"/>
      <c r="K32" s="143"/>
      <c r="L32" s="144"/>
    </row>
    <row r="33" spans="1:18" ht="12.75" customHeight="1">
      <c r="A33" s="49" t="s">
        <v>359</v>
      </c>
      <c r="B33" s="49"/>
      <c r="C33" s="43"/>
      <c r="D33" s="43"/>
      <c r="E33" s="43"/>
      <c r="F33" s="159"/>
      <c r="G33" s="69">
        <f>G31-G32-M42-N42</f>
        <v>22823.260000000002</v>
      </c>
      <c r="H33" s="47"/>
      <c r="I33" s="47"/>
      <c r="J33" s="144"/>
      <c r="K33" s="143"/>
      <c r="L33" s="144"/>
    </row>
    <row r="34" spans="1:18" ht="12.75" customHeight="1">
      <c r="A34" s="43"/>
      <c r="B34" s="43"/>
      <c r="C34" s="43"/>
      <c r="D34" s="43"/>
      <c r="E34" s="43"/>
      <c r="F34" s="43"/>
      <c r="G34" s="43"/>
      <c r="H34" s="47"/>
      <c r="I34" s="47"/>
      <c r="J34" s="144"/>
      <c r="K34" s="143"/>
      <c r="L34" s="144"/>
    </row>
    <row r="35" spans="1:18" ht="12.75" customHeight="1">
      <c r="A35" s="49"/>
      <c r="B35" s="49"/>
      <c r="C35" s="43"/>
      <c r="D35" s="43"/>
      <c r="E35" s="43"/>
      <c r="F35" s="159"/>
      <c r="G35" s="113"/>
      <c r="H35" s="47"/>
      <c r="I35" s="47"/>
      <c r="J35" s="144"/>
      <c r="K35" s="143"/>
      <c r="L35" s="144"/>
    </row>
    <row r="36" spans="1:18" ht="12.75" customHeight="1">
      <c r="A36" s="49"/>
      <c r="B36" s="49"/>
      <c r="C36" s="43"/>
      <c r="D36" s="43"/>
      <c r="E36" s="43"/>
      <c r="F36" s="159"/>
      <c r="G36" s="69"/>
      <c r="H36" s="47"/>
      <c r="I36" s="47"/>
      <c r="J36" s="144"/>
      <c r="K36" s="143"/>
      <c r="L36" s="144"/>
    </row>
    <row r="37" spans="1:18" ht="14.25">
      <c r="A37" s="49"/>
      <c r="B37" s="49"/>
      <c r="C37" s="43"/>
      <c r="D37" s="43"/>
      <c r="E37" s="43"/>
      <c r="F37" s="159"/>
      <c r="G37" s="69"/>
      <c r="H37" s="47"/>
      <c r="I37" s="47"/>
      <c r="J37" s="144"/>
      <c r="K37" s="143"/>
      <c r="L37" s="144"/>
    </row>
    <row r="38" spans="1:18" ht="14.25">
      <c r="A38" s="49"/>
      <c r="B38" s="49"/>
      <c r="C38" s="43"/>
      <c r="D38" s="43"/>
      <c r="E38" s="43"/>
      <c r="F38" s="159"/>
      <c r="G38" s="69"/>
      <c r="H38" s="47"/>
      <c r="I38" s="47"/>
      <c r="J38" s="144"/>
      <c r="K38" s="143"/>
      <c r="L38" s="144"/>
    </row>
    <row r="39" spans="1:18" ht="14.25">
      <c r="A39" s="49"/>
      <c r="B39" s="49"/>
      <c r="C39" s="43"/>
      <c r="D39" s="43"/>
      <c r="E39" s="43"/>
      <c r="F39" s="159"/>
      <c r="G39" s="88"/>
      <c r="H39" s="47"/>
      <c r="I39" s="47"/>
      <c r="J39" s="144"/>
      <c r="K39" s="143"/>
      <c r="L39" s="144"/>
    </row>
    <row r="40" spans="1:18" ht="14.25">
      <c r="A40" s="49"/>
      <c r="B40" s="49"/>
      <c r="C40" s="43"/>
      <c r="D40" s="43"/>
      <c r="E40" s="43"/>
      <c r="F40" s="159"/>
      <c r="G40" s="88"/>
      <c r="H40" s="47"/>
      <c r="I40" s="47"/>
      <c r="J40" s="144"/>
      <c r="K40" s="143"/>
      <c r="L40" s="47">
        <f>SUM(L46:O46)</f>
        <v>1679.7500000000002</v>
      </c>
      <c r="M40" s="43"/>
      <c r="N40" s="43"/>
      <c r="O40" s="43"/>
    </row>
    <row r="41" spans="1:18" ht="14.25">
      <c r="A41" s="89"/>
      <c r="B41" s="49"/>
      <c r="C41" s="43"/>
      <c r="D41" s="43"/>
      <c r="E41" s="43"/>
      <c r="F41" s="159"/>
      <c r="G41" s="88"/>
      <c r="H41" s="47"/>
      <c r="I41" s="47"/>
      <c r="J41" s="144"/>
      <c r="K41" s="143"/>
      <c r="L41" s="47"/>
      <c r="M41" s="43">
        <f>M46+M44+M43+M42</f>
        <v>171.28000000000009</v>
      </c>
      <c r="N41" s="43">
        <f>N46+N44+N43+N42</f>
        <v>299.10000000000002</v>
      </c>
      <c r="O41" s="43">
        <f>O46+O44+O43+O42</f>
        <v>232.82000000000002</v>
      </c>
    </row>
    <row r="42" spans="1:18" ht="14.25">
      <c r="A42" s="43"/>
      <c r="B42" s="49"/>
      <c r="C42" s="50"/>
      <c r="D42" s="50"/>
      <c r="E42" s="43"/>
      <c r="F42" s="159"/>
      <c r="G42" s="88"/>
      <c r="H42" s="47"/>
      <c r="I42" s="47"/>
      <c r="J42" s="144"/>
      <c r="K42" s="143"/>
      <c r="L42" s="43" t="s">
        <v>182</v>
      </c>
      <c r="M42" s="43"/>
      <c r="N42" s="43"/>
      <c r="O42" s="43"/>
      <c r="R42" s="129">
        <f>260.57-59.77</f>
        <v>200.79999999999998</v>
      </c>
    </row>
    <row r="43" spans="1:18" ht="14.25">
      <c r="A43" s="43"/>
      <c r="B43" s="49"/>
      <c r="C43" s="43"/>
      <c r="D43" s="43"/>
      <c r="E43" s="43"/>
      <c r="F43" s="159"/>
      <c r="G43" s="43"/>
      <c r="H43" s="43"/>
      <c r="I43" s="52"/>
      <c r="J43" s="134" t="s">
        <v>146</v>
      </c>
      <c r="K43" s="135"/>
      <c r="L43" s="43" t="s">
        <v>987</v>
      </c>
      <c r="M43" s="43">
        <v>100</v>
      </c>
      <c r="N43" s="43"/>
      <c r="O43" s="43"/>
    </row>
    <row r="44" spans="1:18" ht="14.25">
      <c r="A44" s="49"/>
      <c r="B44" s="43"/>
      <c r="C44" s="43"/>
      <c r="D44" s="43"/>
      <c r="E44" s="43"/>
      <c r="F44" s="159"/>
      <c r="G44" s="46"/>
      <c r="H44" s="43"/>
      <c r="I44" s="52" t="s">
        <v>31</v>
      </c>
      <c r="J44" s="134" t="s">
        <v>147</v>
      </c>
      <c r="K44" s="135"/>
      <c r="L44" s="43" t="s">
        <v>761</v>
      </c>
      <c r="M44" s="43">
        <v>100</v>
      </c>
      <c r="N44" s="43"/>
      <c r="O44" s="43"/>
    </row>
    <row r="45" spans="1:18" ht="14.25">
      <c r="A45" s="49"/>
      <c r="B45" s="43"/>
      <c r="C45" s="43"/>
      <c r="D45" s="43"/>
      <c r="E45" s="43"/>
      <c r="F45" s="159"/>
      <c r="G45" s="46" t="s">
        <v>106</v>
      </c>
      <c r="H45" s="43" t="s">
        <v>35</v>
      </c>
      <c r="I45" s="54" t="s">
        <v>34</v>
      </c>
      <c r="J45" s="136" t="s">
        <v>148</v>
      </c>
      <c r="K45" s="137"/>
      <c r="L45" s="205" t="s">
        <v>107</v>
      </c>
      <c r="M45" s="206" t="s">
        <v>332</v>
      </c>
      <c r="N45" s="206" t="s">
        <v>747</v>
      </c>
      <c r="O45" s="206" t="s">
        <v>599</v>
      </c>
    </row>
    <row r="46" spans="1:18" ht="15" thickBot="1">
      <c r="A46" s="43"/>
      <c r="B46" s="43"/>
      <c r="C46" s="43"/>
      <c r="D46"/>
      <c r="E46" s="162"/>
      <c r="F46" s="159"/>
      <c r="G46" s="84">
        <f>SUM(G48:G163)</f>
        <v>1679.7500000000005</v>
      </c>
      <c r="H46" s="84">
        <f>SUM(H48:H163)</f>
        <v>4626.9500000000007</v>
      </c>
      <c r="I46" s="84">
        <f>H46-G46</f>
        <v>2947.2000000000003</v>
      </c>
      <c r="J46" s="145">
        <f>SUM(J48:J163)</f>
        <v>-11671.959999999997</v>
      </c>
      <c r="K46" s="146"/>
      <c r="L46" s="207">
        <f>SUM(L49:L163)</f>
        <v>1176.5500000000004</v>
      </c>
      <c r="M46" s="208">
        <f>SUM(M49:M163)</f>
        <v>-28.719999999999928</v>
      </c>
      <c r="N46" s="209">
        <f>SUM(N49:N163)</f>
        <v>299.10000000000002</v>
      </c>
      <c r="O46" s="209">
        <f>SUM(O49:O163)</f>
        <v>232.82000000000002</v>
      </c>
    </row>
    <row r="47" spans="1:18" ht="15" thickBot="1">
      <c r="A47" s="89" t="s">
        <v>292</v>
      </c>
      <c r="B47" s="157">
        <f>B48+B61+B65</f>
        <v>387.10000000000031</v>
      </c>
      <c r="C47" s="157">
        <f>C48+C61+C65</f>
        <v>797.95000000000027</v>
      </c>
      <c r="D47" s="79">
        <f>D48+D61+D65</f>
        <v>410.84999999999997</v>
      </c>
      <c r="E47" s="43"/>
      <c r="F47" s="43"/>
      <c r="G47" s="43"/>
      <c r="H47" s="43"/>
      <c r="I47" s="52"/>
      <c r="J47" s="134"/>
      <c r="K47" s="135"/>
      <c r="L47" s="210"/>
      <c r="M47" s="211"/>
      <c r="N47" s="211"/>
      <c r="O47" s="212"/>
    </row>
    <row r="48" spans="1:18" ht="14.25">
      <c r="A48" s="49" t="s">
        <v>278</v>
      </c>
      <c r="B48" s="49">
        <f>SUM(G49:G57)</f>
        <v>124.93000000000029</v>
      </c>
      <c r="C48" s="49">
        <f>SUM(H49:H57)</f>
        <v>457.95000000000027</v>
      </c>
      <c r="D48" s="49">
        <f>SUM(I49:I57)</f>
        <v>333.02</v>
      </c>
      <c r="E48" s="43"/>
      <c r="F48" s="43"/>
      <c r="G48" s="43"/>
      <c r="H48" s="43"/>
      <c r="I48" s="52"/>
      <c r="J48" s="134"/>
      <c r="K48" s="135"/>
      <c r="L48" s="210"/>
      <c r="M48" s="211"/>
      <c r="N48" s="211"/>
      <c r="O48" s="212"/>
    </row>
    <row r="49" spans="1:15" ht="14.25">
      <c r="A49" s="43"/>
      <c r="B49" s="43" t="s">
        <v>185</v>
      </c>
      <c r="C49" s="43"/>
      <c r="D49" s="43"/>
      <c r="E49" s="43"/>
      <c r="F49" s="43"/>
      <c r="G49" s="43">
        <f>SUM(L49:O49)</f>
        <v>0</v>
      </c>
      <c r="H49" s="43">
        <v>0</v>
      </c>
      <c r="I49" s="52">
        <f t="shared" ref="I49:I57" si="1">H49-G49</f>
        <v>0</v>
      </c>
      <c r="J49" s="134">
        <f>Jan!I49+Feb!I49+Mar!I49+Apr!I49+May!I49</f>
        <v>0</v>
      </c>
      <c r="K49" s="135"/>
      <c r="L49" s="210"/>
      <c r="M49" s="211"/>
      <c r="N49" s="211"/>
      <c r="O49" s="212"/>
    </row>
    <row r="50" spans="1:15" ht="14.25">
      <c r="A50" s="49"/>
      <c r="B50" s="43" t="s">
        <v>280</v>
      </c>
      <c r="C50" s="43"/>
      <c r="D50" s="43"/>
      <c r="E50" s="43"/>
      <c r="F50" s="43"/>
      <c r="G50" s="43">
        <f t="shared" ref="G50:G103" si="2">SUM(L50:O50)</f>
        <v>0</v>
      </c>
      <c r="H50" s="43">
        <v>0</v>
      </c>
      <c r="I50" s="52">
        <f t="shared" si="1"/>
        <v>0</v>
      </c>
      <c r="J50" s="134">
        <f>Jan!I50+Feb!I50+Mar!I50+Apr!I50+May!I50</f>
        <v>0</v>
      </c>
      <c r="K50" s="135"/>
      <c r="L50" s="210"/>
      <c r="M50" s="211"/>
      <c r="N50" s="211"/>
      <c r="O50" s="212"/>
    </row>
    <row r="51" spans="1:15" ht="14.25">
      <c r="A51" s="49"/>
      <c r="B51" s="43" t="s">
        <v>281</v>
      </c>
      <c r="C51" s="43"/>
      <c r="D51" s="43"/>
      <c r="E51" s="43"/>
      <c r="F51" s="43"/>
      <c r="G51" s="43">
        <f t="shared" si="2"/>
        <v>0</v>
      </c>
      <c r="H51" s="43">
        <v>100</v>
      </c>
      <c r="I51" s="52">
        <f t="shared" si="1"/>
        <v>100</v>
      </c>
      <c r="J51" s="134">
        <f>Jan!I51+Feb!I51+Mar!I51+Apr!I51+May!I51</f>
        <v>500</v>
      </c>
      <c r="K51" s="135"/>
      <c r="L51" s="210"/>
      <c r="M51" s="211"/>
      <c r="N51" s="211"/>
      <c r="O51" s="212"/>
    </row>
    <row r="52" spans="1:15" ht="14.25">
      <c r="A52" s="49"/>
      <c r="B52" s="43" t="s">
        <v>279</v>
      </c>
      <c r="C52" s="43"/>
      <c r="D52" s="43"/>
      <c r="E52" s="43"/>
      <c r="F52" s="43"/>
      <c r="G52" s="43">
        <f t="shared" si="2"/>
        <v>0</v>
      </c>
      <c r="H52" s="43">
        <v>100</v>
      </c>
      <c r="I52" s="52">
        <f t="shared" si="1"/>
        <v>100</v>
      </c>
      <c r="J52" s="134">
        <f>Jan!I52+Feb!I52+Mar!I52+Apr!I52+May!I52</f>
        <v>500</v>
      </c>
      <c r="K52" s="135"/>
      <c r="L52" s="210"/>
      <c r="M52" s="211"/>
      <c r="N52" s="211"/>
      <c r="O52" s="212"/>
    </row>
    <row r="53" spans="1:15" ht="14.25">
      <c r="A53" s="49"/>
      <c r="B53" s="43" t="s">
        <v>597</v>
      </c>
      <c r="C53" s="43"/>
      <c r="D53" s="43"/>
      <c r="E53" s="43"/>
      <c r="F53" s="43"/>
      <c r="G53" s="43">
        <f t="shared" si="2"/>
        <v>610</v>
      </c>
      <c r="H53" s="43">
        <v>610</v>
      </c>
      <c r="I53" s="52">
        <f t="shared" si="1"/>
        <v>0</v>
      </c>
      <c r="J53" s="134">
        <f>Jan!I53+Feb!I53+Mar!I53+Apr!I53+May!I53</f>
        <v>0</v>
      </c>
      <c r="K53" s="135"/>
      <c r="L53" s="210">
        <v>610</v>
      </c>
      <c r="M53" s="211"/>
      <c r="N53" s="211"/>
      <c r="O53" s="212"/>
    </row>
    <row r="54" spans="1:15" ht="14.25">
      <c r="A54" s="49"/>
      <c r="B54" s="43" t="s">
        <v>288</v>
      </c>
      <c r="C54" s="43"/>
      <c r="D54" s="43"/>
      <c r="E54" s="43"/>
      <c r="F54" s="43"/>
      <c r="G54" s="43">
        <f t="shared" si="2"/>
        <v>0</v>
      </c>
      <c r="H54" s="43">
        <v>80</v>
      </c>
      <c r="I54" s="52">
        <f t="shared" si="1"/>
        <v>80</v>
      </c>
      <c r="J54" s="134">
        <f>Jan!I54+Feb!I54+Mar!I54+Apr!I54+May!I54</f>
        <v>-201</v>
      </c>
      <c r="K54" s="135"/>
      <c r="L54" s="210"/>
      <c r="M54" s="211"/>
      <c r="N54" s="211"/>
      <c r="O54" s="212"/>
    </row>
    <row r="55" spans="1:15" ht="14.25">
      <c r="A55" s="49"/>
      <c r="B55" s="43" t="s">
        <v>186</v>
      </c>
      <c r="C55" s="43"/>
      <c r="D55" s="43"/>
      <c r="E55" s="43"/>
      <c r="F55" s="43"/>
      <c r="G55" s="43">
        <f t="shared" si="2"/>
        <v>1636.68</v>
      </c>
      <c r="H55" s="43">
        <v>1636.68</v>
      </c>
      <c r="I55" s="52">
        <f t="shared" si="1"/>
        <v>0</v>
      </c>
      <c r="J55" s="134">
        <f>Jan!I55+Feb!I55+Mar!I55+Apr!I55+May!I55</f>
        <v>-17363.32</v>
      </c>
      <c r="K55" s="135"/>
      <c r="L55" s="212">
        <v>1636.68</v>
      </c>
      <c r="M55" s="211"/>
      <c r="N55" s="211"/>
      <c r="O55" s="212"/>
    </row>
    <row r="56" spans="1:15" ht="14.25">
      <c r="A56" s="49"/>
      <c r="B56" s="43" t="s">
        <v>246</v>
      </c>
      <c r="C56" s="43"/>
      <c r="D56" s="43"/>
      <c r="E56" s="43"/>
      <c r="F56" s="43"/>
      <c r="G56" s="43">
        <f t="shared" si="2"/>
        <v>378.25</v>
      </c>
      <c r="H56" s="43">
        <v>431.27</v>
      </c>
      <c r="I56" s="52">
        <f t="shared" si="1"/>
        <v>53.019999999999982</v>
      </c>
      <c r="J56" s="134">
        <f>Jan!I56+Feb!I56+Mar!I56+Apr!I56+May!I56</f>
        <v>623.45999999999992</v>
      </c>
      <c r="K56" s="135"/>
      <c r="L56" s="212">
        <v>378.25</v>
      </c>
      <c r="M56" s="211"/>
      <c r="N56" s="211"/>
      <c r="O56" s="212"/>
    </row>
    <row r="57" spans="1:15" ht="14.25">
      <c r="A57" s="49"/>
      <c r="B57" s="43" t="s">
        <v>200</v>
      </c>
      <c r="C57" s="43"/>
      <c r="D57" s="43"/>
      <c r="E57" s="43"/>
      <c r="F57" s="43"/>
      <c r="G57" s="43">
        <f t="shared" si="2"/>
        <v>-2500</v>
      </c>
      <c r="H57" s="43">
        <v>-2500</v>
      </c>
      <c r="I57" s="52">
        <f t="shared" si="1"/>
        <v>0</v>
      </c>
      <c r="J57" s="134">
        <f>Jan!I57+Feb!I57+Mar!I57+Apr!I57+May!I57</f>
        <v>0</v>
      </c>
      <c r="K57" s="135"/>
      <c r="L57" s="212">
        <v>-2500</v>
      </c>
      <c r="M57" s="211"/>
      <c r="N57" s="211"/>
      <c r="O57" s="212"/>
    </row>
    <row r="58" spans="1:15" ht="14.25">
      <c r="A58" s="43"/>
      <c r="B58" s="43"/>
      <c r="C58" s="43"/>
      <c r="D58" s="43"/>
      <c r="E58" s="43"/>
      <c r="F58" s="43"/>
      <c r="G58" s="43"/>
      <c r="H58" s="43"/>
      <c r="I58" s="52"/>
      <c r="J58" s="134"/>
      <c r="K58" s="135"/>
      <c r="L58" s="212"/>
      <c r="M58" s="211"/>
      <c r="N58" s="211"/>
      <c r="O58" s="212"/>
    </row>
    <row r="59" spans="1:15" ht="14.25">
      <c r="A59" s="43"/>
      <c r="B59" s="43"/>
      <c r="C59" s="43"/>
      <c r="D59" s="43"/>
      <c r="E59" s="43"/>
      <c r="F59" s="43"/>
      <c r="G59" s="43"/>
      <c r="H59" s="43"/>
      <c r="I59" s="52"/>
      <c r="J59" s="134"/>
      <c r="K59" s="135"/>
      <c r="L59" s="212"/>
      <c r="M59" s="211"/>
      <c r="N59" s="211"/>
      <c r="O59" s="212"/>
    </row>
    <row r="60" spans="1:15" ht="14.25">
      <c r="A60" s="49" t="s">
        <v>286</v>
      </c>
      <c r="B60" s="43"/>
      <c r="C60" s="43"/>
      <c r="D60" s="43"/>
      <c r="E60" s="43"/>
      <c r="F60" s="43"/>
      <c r="G60" s="43"/>
      <c r="H60" s="43"/>
      <c r="I60" s="52"/>
      <c r="J60" s="134"/>
      <c r="K60" s="135"/>
      <c r="L60" s="212"/>
      <c r="M60" s="211"/>
      <c r="N60" s="211"/>
      <c r="O60" s="212"/>
    </row>
    <row r="61" spans="1:15" ht="14.25">
      <c r="A61" s="49"/>
      <c r="B61" s="49">
        <f>SUM(G62:G63)</f>
        <v>217.17000000000002</v>
      </c>
      <c r="C61" s="49">
        <f>SUM(H62:H63)</f>
        <v>260</v>
      </c>
      <c r="D61" s="49">
        <f>C61-B61</f>
        <v>42.829999999999984</v>
      </c>
      <c r="E61" s="43"/>
      <c r="F61" s="43"/>
      <c r="G61" s="43"/>
      <c r="H61" s="43"/>
      <c r="I61" s="52"/>
      <c r="J61" s="134"/>
      <c r="K61" s="135"/>
      <c r="L61" s="212"/>
      <c r="M61" s="211"/>
      <c r="N61" s="211"/>
      <c r="O61" s="212"/>
    </row>
    <row r="62" spans="1:15" ht="14.25">
      <c r="A62" s="49"/>
      <c r="B62" s="43" t="s">
        <v>881</v>
      </c>
      <c r="C62" s="43"/>
      <c r="D62" s="43"/>
      <c r="E62" s="43"/>
      <c r="F62" s="43"/>
      <c r="G62" s="43">
        <f t="shared" si="2"/>
        <v>110.51</v>
      </c>
      <c r="H62" s="43">
        <v>150</v>
      </c>
      <c r="I62" s="52">
        <f t="shared" ref="I62:I131" si="3">H62-G62</f>
        <v>39.489999999999995</v>
      </c>
      <c r="J62" s="134">
        <f>Jan!I62+Feb!I62+Mar!I62+Apr!I62+May!I62</f>
        <v>120.48</v>
      </c>
      <c r="K62" s="135"/>
      <c r="L62" s="212"/>
      <c r="M62" s="211">
        <v>110.51</v>
      </c>
      <c r="N62" s="211"/>
      <c r="O62" s="212"/>
    </row>
    <row r="63" spans="1:15" ht="14.25">
      <c r="A63" s="49"/>
      <c r="B63" s="43" t="s">
        <v>290</v>
      </c>
      <c r="C63" s="43"/>
      <c r="E63" s="43"/>
      <c r="F63" s="43"/>
      <c r="G63" s="43">
        <f t="shared" si="2"/>
        <v>106.66</v>
      </c>
      <c r="H63" s="43">
        <v>110</v>
      </c>
      <c r="I63" s="52">
        <f t="shared" si="3"/>
        <v>3.3400000000000034</v>
      </c>
      <c r="J63" s="134">
        <f>Jan!I63+Feb!I63+Mar!I63+Apr!I63+May!I63</f>
        <v>123.53</v>
      </c>
      <c r="K63" s="135"/>
      <c r="L63" s="212"/>
      <c r="M63" s="211">
        <f>106.66</f>
        <v>106.66</v>
      </c>
      <c r="N63" s="211"/>
      <c r="O63" s="212"/>
    </row>
    <row r="64" spans="1:15" ht="14.25">
      <c r="A64" s="49"/>
      <c r="B64" s="43"/>
      <c r="C64" s="43"/>
      <c r="D64" s="43"/>
      <c r="E64" s="43"/>
      <c r="F64" s="43"/>
      <c r="G64" s="43"/>
      <c r="H64" s="43"/>
      <c r="I64" s="52"/>
      <c r="J64" s="134"/>
      <c r="K64" s="135"/>
      <c r="L64" s="212"/>
      <c r="M64" s="211"/>
      <c r="N64" s="211"/>
      <c r="O64" s="212"/>
    </row>
    <row r="65" spans="1:17" ht="14.25">
      <c r="A65" s="49" t="s">
        <v>287</v>
      </c>
      <c r="B65" s="49">
        <f>SUM(G66:G68)</f>
        <v>45</v>
      </c>
      <c r="C65" s="49">
        <f>SUM(H66:H68)</f>
        <v>80</v>
      </c>
      <c r="D65" s="49">
        <f>C65-B65</f>
        <v>35</v>
      </c>
      <c r="E65" s="43"/>
      <c r="F65" s="43"/>
      <c r="G65" s="43"/>
      <c r="H65" s="43"/>
      <c r="I65" s="52"/>
      <c r="J65" s="134"/>
      <c r="K65" s="135"/>
      <c r="L65" s="212"/>
      <c r="M65" s="211"/>
      <c r="N65" s="211"/>
      <c r="O65" s="212"/>
    </row>
    <row r="66" spans="1:17" ht="14.25">
      <c r="A66" s="43"/>
      <c r="B66" s="43" t="s">
        <v>902</v>
      </c>
      <c r="C66" s="43"/>
      <c r="D66" s="43"/>
      <c r="E66" s="43"/>
      <c r="F66" s="43"/>
      <c r="G66" s="43">
        <f t="shared" si="2"/>
        <v>45</v>
      </c>
      <c r="H66" s="43">
        <v>30</v>
      </c>
      <c r="I66" s="52">
        <f t="shared" si="3"/>
        <v>-15</v>
      </c>
      <c r="J66" s="134">
        <f>Jan!I66+Feb!I66+Mar!I66+Apr!I66+May!I66</f>
        <v>80</v>
      </c>
      <c r="K66" s="135"/>
      <c r="L66" s="212">
        <f>45</f>
        <v>45</v>
      </c>
      <c r="M66" s="211"/>
      <c r="N66" s="211"/>
      <c r="O66" s="212"/>
      <c r="Q66" s="129" t="s">
        <v>984</v>
      </c>
    </row>
    <row r="67" spans="1:17" ht="14.25">
      <c r="A67" s="43"/>
      <c r="B67" s="43" t="s">
        <v>903</v>
      </c>
      <c r="C67" s="43"/>
      <c r="D67" s="43"/>
      <c r="E67" s="43"/>
      <c r="F67" s="43"/>
      <c r="G67" s="43">
        <f t="shared" si="2"/>
        <v>0</v>
      </c>
      <c r="H67" s="43">
        <v>20</v>
      </c>
      <c r="I67" s="52">
        <f t="shared" si="3"/>
        <v>20</v>
      </c>
      <c r="J67" s="134">
        <f>Jan!I67+Feb!I67+Mar!I67+Apr!I67+May!I67</f>
        <v>80.989999999999995</v>
      </c>
      <c r="K67" s="135"/>
      <c r="L67" s="212"/>
      <c r="M67" s="211"/>
      <c r="N67" s="211"/>
      <c r="O67" s="212"/>
    </row>
    <row r="68" spans="1:17" ht="14.25">
      <c r="A68" s="43"/>
      <c r="B68" s="43" t="s">
        <v>904</v>
      </c>
      <c r="C68" s="43"/>
      <c r="D68" s="43" t="s">
        <v>901</v>
      </c>
      <c r="E68" s="43"/>
      <c r="F68" s="43"/>
      <c r="G68" s="43">
        <f t="shared" si="2"/>
        <v>0</v>
      </c>
      <c r="H68" s="43">
        <v>30</v>
      </c>
      <c r="I68" s="52">
        <f t="shared" si="3"/>
        <v>30</v>
      </c>
      <c r="J68" s="134">
        <f>Jan!I68+Feb!I68+Mar!I68+Apr!I68+May!I68</f>
        <v>137</v>
      </c>
      <c r="K68" s="135"/>
      <c r="L68" s="212"/>
      <c r="M68" s="211"/>
      <c r="N68" s="211"/>
      <c r="O68" s="212"/>
    </row>
    <row r="69" spans="1:17" ht="14.25">
      <c r="A69" s="43"/>
      <c r="B69" s="43"/>
      <c r="C69" s="43"/>
      <c r="D69" s="43"/>
      <c r="E69" s="43"/>
      <c r="F69" s="43"/>
      <c r="G69" s="43"/>
      <c r="H69" s="43"/>
      <c r="I69" s="52"/>
      <c r="J69" s="134"/>
      <c r="K69" s="135"/>
      <c r="L69" s="212"/>
      <c r="M69" s="211"/>
      <c r="N69" s="211"/>
      <c r="O69" s="212"/>
    </row>
    <row r="70" spans="1:17" ht="14.25">
      <c r="A70" s="49" t="s">
        <v>282</v>
      </c>
      <c r="B70" s="49">
        <f>SUM(G72:G73)</f>
        <v>14.89</v>
      </c>
      <c r="C70" s="49">
        <f>SUM(H71:H73)</f>
        <v>70</v>
      </c>
      <c r="D70" s="49">
        <f>C70-B70</f>
        <v>55.11</v>
      </c>
      <c r="E70" s="43"/>
      <c r="F70" s="43"/>
      <c r="G70" s="43"/>
      <c r="H70" s="43"/>
      <c r="I70" s="52"/>
      <c r="J70" s="134"/>
      <c r="K70" s="135"/>
      <c r="L70" s="212"/>
      <c r="M70" s="211"/>
      <c r="N70" s="211"/>
      <c r="O70" s="212"/>
    </row>
    <row r="71" spans="1:17" ht="14.25">
      <c r="A71" s="43"/>
      <c r="B71" s="43" t="s">
        <v>283</v>
      </c>
      <c r="C71" s="43"/>
      <c r="D71" s="43"/>
      <c r="E71" s="43"/>
      <c r="F71" s="43"/>
      <c r="G71" s="43">
        <f t="shared" si="2"/>
        <v>205.85000000000002</v>
      </c>
      <c r="H71" s="43">
        <v>25</v>
      </c>
      <c r="I71" s="52">
        <f t="shared" si="3"/>
        <v>-180.85000000000002</v>
      </c>
      <c r="J71" s="134">
        <f>Jan!I71+Feb!I71+Mar!I71+Apr!I71+May!I71</f>
        <v>-279.15000000000003</v>
      </c>
      <c r="K71" s="135"/>
      <c r="L71" s="212"/>
      <c r="M71" s="211">
        <f>32.8</f>
        <v>32.799999999999997</v>
      </c>
      <c r="N71" s="211"/>
      <c r="O71" s="212">
        <f>200.8</f>
        <v>200.8</v>
      </c>
    </row>
    <row r="72" spans="1:17" ht="14.25">
      <c r="A72" s="49"/>
      <c r="B72" s="43" t="s">
        <v>284</v>
      </c>
      <c r="C72" s="43"/>
      <c r="D72" s="43"/>
      <c r="E72" s="43"/>
      <c r="F72" s="43"/>
      <c r="G72" s="43">
        <f t="shared" si="2"/>
        <v>0</v>
      </c>
      <c r="H72" s="43">
        <v>25</v>
      </c>
      <c r="I72" s="52">
        <f t="shared" si="3"/>
        <v>25</v>
      </c>
      <c r="J72" s="134">
        <f>Jan!I72+Feb!I72+Mar!I72+Apr!I72+May!I72</f>
        <v>125</v>
      </c>
      <c r="K72" s="135"/>
      <c r="L72" s="212"/>
      <c r="M72" s="211"/>
      <c r="N72" s="211"/>
      <c r="O72" s="212"/>
    </row>
    <row r="73" spans="1:17" ht="14.25">
      <c r="A73" s="49"/>
      <c r="B73" s="43" t="s">
        <v>289</v>
      </c>
      <c r="C73" s="43"/>
      <c r="D73" s="43"/>
      <c r="E73" s="43"/>
      <c r="F73" s="43"/>
      <c r="G73" s="43">
        <f t="shared" si="2"/>
        <v>14.89</v>
      </c>
      <c r="H73" s="43">
        <v>20</v>
      </c>
      <c r="I73" s="52">
        <f t="shared" si="3"/>
        <v>5.1099999999999994</v>
      </c>
      <c r="J73" s="134">
        <f>Jan!I73+Feb!I73+Mar!I73+Apr!I73+May!I73</f>
        <v>73.08</v>
      </c>
      <c r="K73" s="135"/>
      <c r="L73" s="212"/>
      <c r="M73" s="211">
        <f>14.89</f>
        <v>14.89</v>
      </c>
      <c r="N73" s="211"/>
      <c r="O73" s="212"/>
    </row>
    <row r="74" spans="1:17" ht="14.25">
      <c r="A74" s="49"/>
      <c r="B74" s="43"/>
      <c r="C74" s="43"/>
      <c r="D74" s="43"/>
      <c r="E74" s="43"/>
      <c r="F74" s="43"/>
      <c r="G74" s="43"/>
      <c r="H74" s="43"/>
      <c r="I74" s="52"/>
      <c r="J74" s="134"/>
      <c r="K74" s="135"/>
      <c r="L74" s="212"/>
      <c r="M74" s="211"/>
      <c r="N74" s="211"/>
      <c r="O74" s="212"/>
    </row>
    <row r="75" spans="1:17" ht="14.25">
      <c r="A75" s="49" t="s">
        <v>285</v>
      </c>
      <c r="B75" s="43" t="s">
        <v>45</v>
      </c>
      <c r="C75" s="43"/>
      <c r="D75" s="43"/>
      <c r="E75" s="43"/>
      <c r="F75" s="43"/>
      <c r="G75" s="43">
        <f t="shared" si="2"/>
        <v>24.169999999999998</v>
      </c>
      <c r="H75" s="43">
        <v>75</v>
      </c>
      <c r="I75" s="52">
        <f t="shared" si="3"/>
        <v>50.83</v>
      </c>
      <c r="J75" s="134">
        <f>Jan!I75+Feb!I75+Mar!I75+Apr!I75+May!I75</f>
        <v>77.92</v>
      </c>
      <c r="K75" s="135"/>
      <c r="L75" s="212"/>
      <c r="M75" s="211">
        <f>2.77+4.83+2.97+2.2+9.28+2.12</f>
        <v>24.169999999999998</v>
      </c>
      <c r="N75" s="211"/>
      <c r="O75" s="212"/>
    </row>
    <row r="76" spans="1:17" ht="15" thickBot="1">
      <c r="A76" s="49"/>
      <c r="B76" s="43"/>
      <c r="C76" s="43"/>
      <c r="D76" s="43"/>
      <c r="E76" s="43"/>
      <c r="F76" s="43"/>
      <c r="G76" s="43"/>
      <c r="H76" s="43"/>
      <c r="I76" s="52"/>
      <c r="J76" s="134"/>
      <c r="L76" s="212"/>
      <c r="M76" s="211"/>
      <c r="N76" s="211"/>
      <c r="O76" s="212"/>
    </row>
    <row r="77" spans="1:17" ht="15" thickBot="1">
      <c r="A77" s="89" t="s">
        <v>291</v>
      </c>
      <c r="B77" s="187">
        <f>B80+B86+B91+B100+B105+B111+B117+B130+B133+B138+B141</f>
        <v>518.77</v>
      </c>
      <c r="C77" s="187">
        <f>C80+C86+C91+C100+C105+C111+C117+C130+C133+C138+C141</f>
        <v>2849</v>
      </c>
      <c r="D77" s="187">
        <f>D80+D86+D91+D100+D105+D111+D117+D130+D133+D138+D141</f>
        <v>2280.2299999999996</v>
      </c>
      <c r="E77" s="43"/>
      <c r="F77" s="43"/>
      <c r="G77" s="43"/>
      <c r="H77" s="43"/>
      <c r="I77" s="52"/>
      <c r="J77" s="134"/>
      <c r="K77" s="135"/>
      <c r="L77" s="212"/>
      <c r="M77" s="211"/>
      <c r="N77" s="211"/>
      <c r="O77" s="212"/>
    </row>
    <row r="78" spans="1:17" ht="14.25">
      <c r="A78" s="89"/>
      <c r="B78" s="195"/>
      <c r="C78" s="195"/>
      <c r="D78" s="195"/>
      <c r="E78" s="43"/>
      <c r="F78" s="43"/>
      <c r="G78" s="43"/>
      <c r="H78" s="43"/>
      <c r="I78" s="52"/>
      <c r="J78" s="134"/>
      <c r="K78" s="135"/>
      <c r="L78" s="212"/>
      <c r="M78" s="211"/>
      <c r="N78" s="211"/>
      <c r="O78" s="212"/>
    </row>
    <row r="79" spans="1:17" ht="14.25">
      <c r="A79" s="49" t="s">
        <v>905</v>
      </c>
      <c r="B79" s="43"/>
      <c r="C79" s="43"/>
      <c r="D79" s="43"/>
      <c r="E79" s="43"/>
      <c r="F79" s="43"/>
      <c r="G79" s="43"/>
      <c r="H79" s="43"/>
      <c r="I79" s="52"/>
      <c r="J79" s="134"/>
      <c r="K79" s="135"/>
      <c r="L79" s="212"/>
      <c r="M79" s="211"/>
      <c r="N79" s="211"/>
      <c r="O79" s="212"/>
    </row>
    <row r="80" spans="1:17" ht="14.25">
      <c r="A80" s="49" t="s">
        <v>885</v>
      </c>
      <c r="B80" s="49">
        <f>SUM(G81:G85)</f>
        <v>204.42000000000002</v>
      </c>
      <c r="C80" s="49">
        <f>SUM(H81:H84)</f>
        <v>290</v>
      </c>
      <c r="D80" s="49">
        <f>C80-B80</f>
        <v>85.579999999999984</v>
      </c>
      <c r="E80" s="43"/>
      <c r="F80" s="43"/>
      <c r="G80" s="43"/>
      <c r="H80" s="43"/>
      <c r="I80" s="52"/>
      <c r="J80" s="134"/>
      <c r="K80" s="135"/>
      <c r="L80" s="212"/>
      <c r="M80" s="211"/>
      <c r="N80" s="211"/>
      <c r="O80" s="212"/>
    </row>
    <row r="81" spans="1:17" ht="14.25">
      <c r="A81" s="43"/>
      <c r="B81" s="43" t="s">
        <v>25</v>
      </c>
      <c r="C81" s="43"/>
      <c r="D81" s="43" t="s">
        <v>882</v>
      </c>
      <c r="E81" s="43"/>
      <c r="F81" s="43"/>
      <c r="G81" s="43">
        <f t="shared" si="2"/>
        <v>78.03</v>
      </c>
      <c r="H81" s="43">
        <v>100</v>
      </c>
      <c r="I81" s="52">
        <f t="shared" si="3"/>
        <v>21.97</v>
      </c>
      <c r="J81" s="134">
        <f>Jan!I81+Feb!I81+Mar!I81+Apr!I81+May!I81</f>
        <v>97.02</v>
      </c>
      <c r="K81" s="135"/>
      <c r="L81" s="212">
        <v>78.03</v>
      </c>
      <c r="M81" s="211"/>
      <c r="N81" s="211"/>
      <c r="O81" s="212"/>
    </row>
    <row r="82" spans="1:17" ht="14.25">
      <c r="A82" s="43"/>
      <c r="B82" s="43" t="s">
        <v>596</v>
      </c>
      <c r="C82" s="43"/>
      <c r="D82" s="43" t="s">
        <v>883</v>
      </c>
      <c r="E82" s="43"/>
      <c r="F82" s="43"/>
      <c r="G82" s="43">
        <f t="shared" si="2"/>
        <v>62.09</v>
      </c>
      <c r="H82" s="43">
        <v>60</v>
      </c>
      <c r="I82" s="52">
        <f t="shared" si="3"/>
        <v>-2.0900000000000034</v>
      </c>
      <c r="J82" s="134">
        <f>Jan!I82+Feb!I82+Mar!I82+Apr!I82+May!I82</f>
        <v>10.399999999999999</v>
      </c>
      <c r="K82" s="135"/>
      <c r="L82" s="212">
        <v>62.09</v>
      </c>
      <c r="M82" s="211"/>
      <c r="N82" s="211"/>
      <c r="O82" s="212"/>
    </row>
    <row r="83" spans="1:17" ht="14.25">
      <c r="A83" s="43"/>
      <c r="B83" s="43" t="s">
        <v>602</v>
      </c>
      <c r="C83" s="43" t="s">
        <v>733</v>
      </c>
      <c r="D83" s="43" t="s">
        <v>617</v>
      </c>
      <c r="E83" s="43"/>
      <c r="F83" s="43"/>
      <c r="G83" s="43">
        <f t="shared" si="2"/>
        <v>28.81</v>
      </c>
      <c r="H83" s="43">
        <v>100</v>
      </c>
      <c r="I83" s="52">
        <f t="shared" si="3"/>
        <v>71.19</v>
      </c>
      <c r="J83" s="134">
        <f>Jan!I83+Feb!I83+Mar!I83+Apr!I83+May!I83</f>
        <v>149.31</v>
      </c>
      <c r="K83" s="135"/>
      <c r="L83" s="212">
        <v>28.81</v>
      </c>
      <c r="M83" s="211"/>
      <c r="N83" s="211"/>
      <c r="O83" s="212"/>
    </row>
    <row r="84" spans="1:17" ht="14.25">
      <c r="A84" s="43"/>
      <c r="B84" s="43" t="s">
        <v>890</v>
      </c>
      <c r="C84" s="43" t="s">
        <v>733</v>
      </c>
      <c r="D84" s="43" t="s">
        <v>617</v>
      </c>
      <c r="E84" s="43"/>
      <c r="F84" s="43"/>
      <c r="G84" s="43">
        <f t="shared" si="2"/>
        <v>35.49</v>
      </c>
      <c r="H84" s="43">
        <v>30</v>
      </c>
      <c r="I84" s="52">
        <f t="shared" si="3"/>
        <v>-5.490000000000002</v>
      </c>
      <c r="J84" s="134">
        <f>Jan!I84+Feb!I84+Mar!I84+Apr!I84+May!I84</f>
        <v>-23.79</v>
      </c>
      <c r="K84" s="135"/>
      <c r="L84" s="212">
        <f>35.49</f>
        <v>35.49</v>
      </c>
      <c r="M84" s="211"/>
      <c r="N84" s="211"/>
      <c r="O84" s="212"/>
    </row>
    <row r="85" spans="1:17" ht="14.25">
      <c r="A85" s="43"/>
      <c r="B85" s="43"/>
      <c r="C85" s="43"/>
      <c r="D85" s="43"/>
      <c r="E85" s="43"/>
      <c r="F85" s="43"/>
      <c r="G85" s="43"/>
      <c r="H85" s="43"/>
      <c r="I85" s="52"/>
      <c r="J85" s="134"/>
      <c r="K85" s="135"/>
      <c r="L85" s="212"/>
      <c r="M85" s="211"/>
      <c r="N85" s="211"/>
      <c r="O85" s="212"/>
    </row>
    <row r="86" spans="1:17" ht="14.25">
      <c r="A86" s="49" t="s">
        <v>37</v>
      </c>
      <c r="B86" s="49">
        <f>SUM(G88:G90)</f>
        <v>-633.25</v>
      </c>
      <c r="C86" s="49">
        <f>SUM(H87:H89)</f>
        <v>336</v>
      </c>
      <c r="D86" s="49">
        <f>C86-B86</f>
        <v>969.25</v>
      </c>
      <c r="E86" s="43"/>
      <c r="F86" s="43"/>
      <c r="G86" s="43"/>
      <c r="H86" s="43"/>
      <c r="I86" s="52"/>
      <c r="J86" s="134"/>
      <c r="K86" s="135"/>
      <c r="L86" s="212"/>
      <c r="M86" s="211"/>
      <c r="N86" s="211"/>
      <c r="O86" s="212"/>
    </row>
    <row r="87" spans="1:17" ht="14.25">
      <c r="A87" s="43"/>
      <c r="B87" s="43" t="s">
        <v>884</v>
      </c>
      <c r="C87" s="43"/>
      <c r="D87" s="43" t="s">
        <v>896</v>
      </c>
      <c r="E87" s="43"/>
      <c r="F87" s="43"/>
      <c r="G87" s="43">
        <f t="shared" si="2"/>
        <v>0</v>
      </c>
      <c r="H87" s="43">
        <v>100</v>
      </c>
      <c r="I87" s="52">
        <f t="shared" si="3"/>
        <v>100</v>
      </c>
      <c r="J87" s="134">
        <f>Jan!I87+Feb!I87+Mar!I87+Apr!I87+May!I87</f>
        <v>500</v>
      </c>
      <c r="K87" s="135"/>
      <c r="L87" s="212"/>
      <c r="M87" s="211"/>
      <c r="N87" s="211"/>
      <c r="O87" s="212"/>
    </row>
    <row r="88" spans="1:17" ht="14.25">
      <c r="A88" s="43"/>
      <c r="B88" s="43" t="s">
        <v>38</v>
      </c>
      <c r="C88" s="43"/>
      <c r="D88" s="43" t="s">
        <v>966</v>
      </c>
      <c r="E88" s="43"/>
      <c r="F88" s="43"/>
      <c r="G88" s="43">
        <f t="shared" si="2"/>
        <v>-633.25</v>
      </c>
      <c r="H88" s="43">
        <v>200</v>
      </c>
      <c r="I88" s="52">
        <f t="shared" si="3"/>
        <v>833.25</v>
      </c>
      <c r="J88" s="134">
        <f>Jan!I88+Feb!I88+Mar!I88+Apr!I88+May!I88</f>
        <v>558.5</v>
      </c>
      <c r="K88" s="135"/>
      <c r="L88" s="212">
        <v>129.75</v>
      </c>
      <c r="M88" s="211">
        <v>-763</v>
      </c>
      <c r="N88" s="211"/>
      <c r="O88" s="212"/>
      <c r="Q88" s="129" t="s">
        <v>971</v>
      </c>
    </row>
    <row r="89" spans="1:17" ht="14.25">
      <c r="A89" s="43"/>
      <c r="B89" s="43" t="s">
        <v>39</v>
      </c>
      <c r="C89" s="43"/>
      <c r="D89" s="43" t="s">
        <v>643</v>
      </c>
      <c r="E89" s="43"/>
      <c r="F89" s="43"/>
      <c r="G89" s="43">
        <f t="shared" si="2"/>
        <v>0</v>
      </c>
      <c r="H89" s="43">
        <v>36</v>
      </c>
      <c r="I89" s="52">
        <f t="shared" si="3"/>
        <v>36</v>
      </c>
      <c r="J89" s="134">
        <f>Jan!I89+Feb!I89+Mar!I89+Apr!I89+May!I89</f>
        <v>180</v>
      </c>
      <c r="K89" s="135"/>
      <c r="L89" s="212"/>
      <c r="M89" s="211"/>
      <c r="N89" s="211"/>
      <c r="O89" s="212"/>
    </row>
    <row r="90" spans="1:17" ht="14.25">
      <c r="A90" s="43"/>
      <c r="B90" s="43"/>
      <c r="C90" s="43"/>
      <c r="D90" s="43"/>
      <c r="E90" s="43"/>
      <c r="F90" s="43"/>
      <c r="G90" s="43"/>
      <c r="H90" s="43"/>
      <c r="I90" s="52"/>
      <c r="J90" s="134"/>
      <c r="K90" s="135"/>
      <c r="L90" s="212"/>
      <c r="M90" s="211"/>
      <c r="N90" s="211"/>
      <c r="O90" s="212"/>
    </row>
    <row r="91" spans="1:17" ht="14.2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E91" s="43"/>
      <c r="F91" s="43"/>
      <c r="G91" s="43"/>
      <c r="H91" s="43"/>
      <c r="I91" s="52"/>
      <c r="J91" s="134"/>
      <c r="K91" s="135"/>
      <c r="L91" s="212"/>
      <c r="M91" s="211"/>
      <c r="N91" s="211"/>
      <c r="O91" s="212"/>
    </row>
    <row r="92" spans="1:17" ht="14.25">
      <c r="A92" s="43"/>
      <c r="B92" s="43" t="s">
        <v>293</v>
      </c>
      <c r="C92" s="43"/>
      <c r="D92" s="43"/>
      <c r="E92" s="43"/>
      <c r="F92" s="43"/>
      <c r="G92" s="43">
        <f t="shared" si="2"/>
        <v>0</v>
      </c>
      <c r="H92" s="43">
        <v>20</v>
      </c>
      <c r="I92" s="52">
        <f t="shared" si="3"/>
        <v>20</v>
      </c>
      <c r="J92" s="134">
        <f>Jan!I92+Feb!I92+Mar!I92+Apr!I92+May!I92</f>
        <v>100</v>
      </c>
      <c r="K92" s="135"/>
      <c r="L92" s="212"/>
      <c r="M92" s="211"/>
      <c r="N92" s="211"/>
      <c r="O92" s="212"/>
    </row>
    <row r="93" spans="1:17" ht="14.25">
      <c r="A93" s="43"/>
      <c r="B93" s="43" t="s">
        <v>294</v>
      </c>
      <c r="C93" s="43"/>
      <c r="D93" s="43"/>
      <c r="E93" s="43"/>
      <c r="F93" s="43"/>
      <c r="G93" s="43">
        <f t="shared" si="2"/>
        <v>0</v>
      </c>
      <c r="H93" s="43">
        <v>5</v>
      </c>
      <c r="I93" s="52">
        <f t="shared" si="3"/>
        <v>5</v>
      </c>
      <c r="J93" s="134">
        <f>Jan!I93+Feb!I93+Mar!I93+Apr!I93+May!I93</f>
        <v>25</v>
      </c>
      <c r="K93" s="135"/>
      <c r="L93" s="212"/>
      <c r="M93" s="211"/>
      <c r="N93" s="211"/>
      <c r="O93" s="212"/>
    </row>
    <row r="94" spans="1:17" ht="14.25">
      <c r="A94" s="43"/>
      <c r="B94" s="43" t="s">
        <v>165</v>
      </c>
      <c r="C94" s="43"/>
      <c r="D94" s="43"/>
      <c r="E94" s="43"/>
      <c r="F94" s="43"/>
      <c r="G94" s="43">
        <f t="shared" si="2"/>
        <v>0</v>
      </c>
      <c r="H94" s="43">
        <v>65</v>
      </c>
      <c r="I94" s="52">
        <f t="shared" si="3"/>
        <v>65</v>
      </c>
      <c r="J94" s="134">
        <f>Jan!I94+Feb!I94+Mar!I94+Apr!I94+May!I94</f>
        <v>325</v>
      </c>
      <c r="K94" s="135"/>
      <c r="L94" s="212"/>
      <c r="M94" s="211"/>
      <c r="N94" s="211"/>
      <c r="O94" s="212"/>
    </row>
    <row r="95" spans="1:17" ht="14.25">
      <c r="A95" s="43"/>
      <c r="B95" s="43" t="s">
        <v>127</v>
      </c>
      <c r="C95" s="43"/>
      <c r="D95" s="43"/>
      <c r="E95" s="43"/>
      <c r="F95" s="43"/>
      <c r="G95" s="43">
        <f t="shared" si="2"/>
        <v>0</v>
      </c>
      <c r="H95" s="43">
        <v>15</v>
      </c>
      <c r="I95" s="52">
        <f t="shared" si="3"/>
        <v>15</v>
      </c>
      <c r="J95" s="134">
        <f>Jan!I95+Feb!I95+Mar!I95+Apr!I95+May!I95</f>
        <v>75</v>
      </c>
      <c r="K95" s="135"/>
      <c r="L95" s="212"/>
      <c r="M95" s="211"/>
      <c r="N95" s="211"/>
      <c r="O95" s="212"/>
    </row>
    <row r="96" spans="1:17" ht="14.25">
      <c r="A96" s="43"/>
      <c r="B96" s="43" t="s">
        <v>906</v>
      </c>
      <c r="C96" s="43"/>
      <c r="D96" s="43"/>
      <c r="E96" s="43"/>
      <c r="F96" s="43"/>
      <c r="G96" s="43">
        <f t="shared" si="2"/>
        <v>0</v>
      </c>
      <c r="H96" s="43">
        <v>35</v>
      </c>
      <c r="I96" s="52">
        <f t="shared" si="3"/>
        <v>35</v>
      </c>
      <c r="J96" s="134">
        <f>Jan!I96+Feb!I96+Mar!I96+Apr!I96+May!I96</f>
        <v>175</v>
      </c>
      <c r="K96" s="135"/>
      <c r="L96" s="212"/>
      <c r="M96" s="211"/>
      <c r="N96" s="211"/>
      <c r="O96" s="212"/>
    </row>
    <row r="97" spans="1:17" ht="14.25">
      <c r="A97" s="43"/>
      <c r="B97" s="43" t="s">
        <v>295</v>
      </c>
      <c r="C97" s="43"/>
      <c r="D97" s="43"/>
      <c r="E97" s="43"/>
      <c r="F97" s="43"/>
      <c r="G97" s="43">
        <f t="shared" si="2"/>
        <v>0</v>
      </c>
      <c r="H97" s="43">
        <v>26</v>
      </c>
      <c r="I97" s="52">
        <f t="shared" si="3"/>
        <v>26</v>
      </c>
      <c r="J97" s="134">
        <f>Jan!I97+Feb!I97+Mar!I97+Apr!I97+May!I97</f>
        <v>130</v>
      </c>
      <c r="K97" s="135"/>
      <c r="L97" s="212"/>
      <c r="M97" s="211"/>
      <c r="N97" s="211"/>
      <c r="O97" s="212"/>
    </row>
    <row r="98" spans="1:17" ht="14.25">
      <c r="A98" s="43"/>
      <c r="B98" s="43" t="s">
        <v>296</v>
      </c>
      <c r="C98" s="43"/>
      <c r="D98" s="43"/>
      <c r="E98" s="43"/>
      <c r="F98" s="43"/>
      <c r="G98" s="43">
        <f t="shared" si="2"/>
        <v>0</v>
      </c>
      <c r="H98" s="43">
        <v>12</v>
      </c>
      <c r="I98" s="52">
        <f t="shared" si="3"/>
        <v>12</v>
      </c>
      <c r="J98" s="134">
        <f>Jan!I98+Feb!I98+Mar!I98+Apr!I98+May!I98</f>
        <v>60</v>
      </c>
      <c r="K98" s="135"/>
      <c r="L98" s="212"/>
      <c r="M98" s="211"/>
      <c r="N98" s="211"/>
      <c r="O98" s="212"/>
    </row>
    <row r="99" spans="1:17" ht="14.25">
      <c r="A99" s="43"/>
      <c r="B99" s="43"/>
      <c r="C99" s="43"/>
      <c r="D99" s="43"/>
      <c r="E99" s="43"/>
      <c r="F99" s="43"/>
      <c r="G99" s="43"/>
      <c r="H99" s="43"/>
      <c r="I99" s="52"/>
      <c r="J99" s="134"/>
      <c r="K99" s="135"/>
      <c r="L99" s="212"/>
      <c r="M99" s="211"/>
      <c r="N99" s="211"/>
      <c r="O99" s="212"/>
    </row>
    <row r="100" spans="1:17" ht="14.25">
      <c r="A100" s="49" t="s">
        <v>108</v>
      </c>
      <c r="B100" s="49">
        <f>SUM(G102:G104)</f>
        <v>129.99</v>
      </c>
      <c r="C100" s="49">
        <f>SUM(H101:H103)</f>
        <v>170</v>
      </c>
      <c r="D100" s="49">
        <f>C100-B100</f>
        <v>40.009999999999991</v>
      </c>
      <c r="E100" s="43"/>
      <c r="F100" s="43"/>
      <c r="G100" s="43"/>
      <c r="H100" s="43"/>
      <c r="I100" s="52"/>
      <c r="J100" s="134"/>
      <c r="K100" s="135"/>
      <c r="L100" s="212"/>
      <c r="M100" s="211"/>
      <c r="N100" s="211"/>
      <c r="O100" s="212"/>
    </row>
    <row r="101" spans="1:17" ht="14.25">
      <c r="A101" s="43"/>
      <c r="B101" s="43" t="s">
        <v>322</v>
      </c>
      <c r="C101" s="43"/>
      <c r="D101" s="43"/>
      <c r="E101" s="43"/>
      <c r="F101" s="43"/>
      <c r="G101" s="43">
        <f t="shared" si="2"/>
        <v>0</v>
      </c>
      <c r="H101" s="43">
        <v>60</v>
      </c>
      <c r="I101" s="52">
        <f t="shared" si="3"/>
        <v>60</v>
      </c>
      <c r="J101" s="134">
        <f>Jan!I101+Feb!I101+Mar!I101+Apr!I101+May!I101</f>
        <v>300</v>
      </c>
      <c r="K101" s="135"/>
      <c r="L101" s="212"/>
      <c r="M101" s="211"/>
      <c r="N101" s="211"/>
      <c r="O101" s="212"/>
    </row>
    <row r="102" spans="1:17" ht="14.25">
      <c r="A102" s="43"/>
      <c r="B102" s="89" t="s">
        <v>645</v>
      </c>
      <c r="C102" s="43"/>
      <c r="D102" s="43"/>
      <c r="E102" s="43"/>
      <c r="F102" s="43"/>
      <c r="G102" s="43">
        <f t="shared" si="2"/>
        <v>129.99</v>
      </c>
      <c r="H102" s="43">
        <v>100</v>
      </c>
      <c r="I102" s="52">
        <f t="shared" si="3"/>
        <v>-29.990000000000009</v>
      </c>
      <c r="J102" s="134">
        <f>Jan!I102+Feb!I102+Mar!I102+Apr!I102+May!I102</f>
        <v>-80.880000000000024</v>
      </c>
      <c r="K102" s="135"/>
      <c r="L102" s="212"/>
      <c r="M102" s="211">
        <v>129.99</v>
      </c>
      <c r="N102" s="211"/>
      <c r="O102" s="212"/>
      <c r="Q102" s="129" t="s">
        <v>985</v>
      </c>
    </row>
    <row r="103" spans="1:17" ht="14.25">
      <c r="A103" s="43"/>
      <c r="B103" s="43" t="s">
        <v>126</v>
      </c>
      <c r="C103" s="43"/>
      <c r="D103" s="43"/>
      <c r="E103" s="43"/>
      <c r="F103" s="43"/>
      <c r="G103" s="43">
        <f t="shared" si="2"/>
        <v>0</v>
      </c>
      <c r="H103" s="43">
        <v>10</v>
      </c>
      <c r="I103" s="52">
        <f t="shared" si="3"/>
        <v>10</v>
      </c>
      <c r="J103" s="134">
        <f>Jan!I103+Feb!I103+Mar!I103+Apr!I103+May!I103</f>
        <v>50</v>
      </c>
      <c r="K103" s="135"/>
      <c r="L103" s="212"/>
      <c r="M103" s="211"/>
      <c r="N103" s="211"/>
      <c r="O103" s="212"/>
    </row>
    <row r="104" spans="1:17" ht="14.25">
      <c r="A104" s="43"/>
      <c r="B104" s="43"/>
      <c r="C104" s="43"/>
      <c r="D104" s="43"/>
      <c r="E104" s="43"/>
      <c r="F104" s="43"/>
      <c r="G104" s="43"/>
      <c r="H104" s="43"/>
      <c r="I104" s="52"/>
      <c r="J104" s="134"/>
      <c r="K104" s="135"/>
      <c r="L104" s="212"/>
      <c r="M104" s="211"/>
      <c r="N104" s="211"/>
      <c r="O104" s="212"/>
    </row>
    <row r="105" spans="1:17" ht="14.25">
      <c r="A105" s="49" t="s">
        <v>44</v>
      </c>
      <c r="B105" s="49">
        <f>SUM(G107:G109)</f>
        <v>58.7</v>
      </c>
      <c r="C105" s="49">
        <f>SUM(H106:H108)</f>
        <v>200</v>
      </c>
      <c r="D105" s="49">
        <f>C105-B105</f>
        <v>141.30000000000001</v>
      </c>
      <c r="E105" s="43"/>
      <c r="F105" s="43"/>
      <c r="G105" s="43"/>
      <c r="H105" s="43"/>
      <c r="I105" s="52"/>
      <c r="J105" s="134"/>
      <c r="K105" s="135"/>
      <c r="L105" s="212"/>
      <c r="M105" s="211"/>
      <c r="N105" s="211"/>
      <c r="O105" s="212"/>
    </row>
    <row r="106" spans="1:17" ht="14.25">
      <c r="A106" s="43"/>
      <c r="B106" s="43" t="s">
        <v>297</v>
      </c>
      <c r="C106" s="43"/>
      <c r="D106" s="43"/>
      <c r="E106" s="43"/>
      <c r="F106" s="43"/>
      <c r="G106" s="43">
        <f t="shared" ref="G106:G160" si="4">SUM(L106:O106)</f>
        <v>0</v>
      </c>
      <c r="H106" s="43">
        <v>100</v>
      </c>
      <c r="I106" s="52">
        <f t="shared" si="3"/>
        <v>100</v>
      </c>
      <c r="J106" s="134">
        <f>Jan!I106+Feb!I106+Mar!I106+Apr!I106+May!I106</f>
        <v>384.04</v>
      </c>
      <c r="K106" s="135"/>
      <c r="L106" s="212"/>
      <c r="M106" s="211"/>
      <c r="N106" s="211"/>
      <c r="O106" s="212"/>
    </row>
    <row r="107" spans="1:17" ht="14.25">
      <c r="A107" s="43"/>
      <c r="B107" s="43" t="s">
        <v>644</v>
      </c>
      <c r="C107" s="43"/>
      <c r="D107" s="43"/>
      <c r="E107" s="43"/>
      <c r="F107" s="43"/>
      <c r="G107" s="43">
        <f t="shared" si="4"/>
        <v>0</v>
      </c>
      <c r="H107" s="43">
        <v>25</v>
      </c>
      <c r="I107" s="52">
        <f t="shared" si="3"/>
        <v>25</v>
      </c>
      <c r="J107" s="134">
        <f>Jan!I107+Feb!I107+Mar!I107+Apr!I107+May!I107</f>
        <v>-426.5</v>
      </c>
      <c r="K107" s="135"/>
      <c r="L107" s="212"/>
      <c r="M107" s="211"/>
      <c r="N107" s="211"/>
      <c r="O107" s="212"/>
    </row>
    <row r="108" spans="1:17" ht="14.25">
      <c r="A108" s="43"/>
      <c r="B108" s="43" t="s">
        <v>897</v>
      </c>
      <c r="C108" s="43"/>
      <c r="D108" s="43" t="s">
        <v>899</v>
      </c>
      <c r="E108" s="43"/>
      <c r="F108" s="43"/>
      <c r="G108" s="43">
        <f t="shared" si="4"/>
        <v>34</v>
      </c>
      <c r="H108" s="43">
        <v>75</v>
      </c>
      <c r="I108" s="52">
        <f t="shared" si="3"/>
        <v>41</v>
      </c>
      <c r="J108" s="134">
        <f>Jan!I108+Feb!I108+Mar!I108+Apr!I108+May!I108</f>
        <v>301.89</v>
      </c>
      <c r="K108" s="135"/>
      <c r="L108" s="212"/>
      <c r="M108" s="211"/>
      <c r="N108" s="211">
        <v>34</v>
      </c>
      <c r="O108" s="212"/>
    </row>
    <row r="109" spans="1:17" ht="14.25">
      <c r="A109" s="43"/>
      <c r="B109" s="43" t="s">
        <v>898</v>
      </c>
      <c r="C109" s="43"/>
      <c r="D109" s="43" t="s">
        <v>900</v>
      </c>
      <c r="E109" s="43"/>
      <c r="F109" s="43"/>
      <c r="G109" s="43">
        <f t="shared" si="4"/>
        <v>24.7</v>
      </c>
      <c r="H109" s="43">
        <v>25</v>
      </c>
      <c r="I109" s="52">
        <f t="shared" si="3"/>
        <v>0.30000000000000071</v>
      </c>
      <c r="J109" s="134">
        <f>Jan!I109+Feb!I109+Mar!I109+Apr!I109+May!I109</f>
        <v>41.78</v>
      </c>
      <c r="K109" s="135"/>
      <c r="L109" s="212"/>
      <c r="M109" s="211"/>
      <c r="N109" s="211">
        <f>24.7</f>
        <v>24.7</v>
      </c>
      <c r="O109" s="212"/>
    </row>
    <row r="110" spans="1:17" ht="14.25">
      <c r="A110" s="43"/>
      <c r="B110" s="43"/>
      <c r="C110" s="43"/>
      <c r="D110" s="43"/>
      <c r="E110" s="43"/>
      <c r="F110" s="43"/>
      <c r="G110" s="43"/>
      <c r="H110" s="43"/>
      <c r="I110" s="52"/>
      <c r="J110" s="134"/>
      <c r="K110" s="135"/>
      <c r="L110" s="212"/>
      <c r="M110" s="211"/>
      <c r="N110" s="211"/>
      <c r="O110" s="212"/>
    </row>
    <row r="111" spans="1:17" ht="14.25">
      <c r="A111" s="49" t="s">
        <v>46</v>
      </c>
      <c r="B111" s="49">
        <f>SUM(G113:G116)</f>
        <v>393.53</v>
      </c>
      <c r="C111" s="49">
        <f>SUM(H112:H114)</f>
        <v>415</v>
      </c>
      <c r="D111" s="49">
        <f>C111-B111</f>
        <v>21.470000000000027</v>
      </c>
      <c r="E111" s="43"/>
      <c r="F111" s="43"/>
      <c r="G111" s="43"/>
      <c r="H111" s="43"/>
      <c r="I111" s="52"/>
      <c r="J111" s="134"/>
      <c r="K111" s="135"/>
      <c r="L111" s="212"/>
      <c r="M111" s="211"/>
      <c r="N111" s="211"/>
      <c r="O111" s="212"/>
    </row>
    <row r="112" spans="1:17" ht="14.25">
      <c r="A112" s="43"/>
      <c r="B112" s="43" t="s">
        <v>324</v>
      </c>
      <c r="C112" s="43"/>
      <c r="D112" s="43" t="s">
        <v>47</v>
      </c>
      <c r="E112" s="43"/>
      <c r="F112" s="43"/>
      <c r="G112" s="43">
        <f t="shared" si="4"/>
        <v>0</v>
      </c>
      <c r="H112" s="43">
        <v>150</v>
      </c>
      <c r="I112" s="52">
        <f t="shared" si="3"/>
        <v>150</v>
      </c>
      <c r="J112" s="134">
        <f>Jan!I112+Feb!I112+Mar!I112+Apr!I112+May!I112</f>
        <v>521</v>
      </c>
      <c r="K112" s="135"/>
      <c r="L112" s="212"/>
      <c r="M112" s="211"/>
      <c r="N112" s="211"/>
      <c r="O112" s="212"/>
    </row>
    <row r="113" spans="1:18" ht="14.25">
      <c r="A113" s="49"/>
      <c r="B113" s="43" t="s">
        <v>323</v>
      </c>
      <c r="C113" s="43"/>
      <c r="D113" s="43"/>
      <c r="E113" s="43"/>
      <c r="F113" s="43"/>
      <c r="G113" s="43">
        <f t="shared" si="4"/>
        <v>350</v>
      </c>
      <c r="H113" s="43">
        <v>215</v>
      </c>
      <c r="I113" s="52">
        <f t="shared" si="3"/>
        <v>-135</v>
      </c>
      <c r="J113" s="134">
        <f>Jan!I113+Feb!I113+Mar!I113+Apr!I113+May!I113</f>
        <v>280.89999999999998</v>
      </c>
      <c r="K113" s="135"/>
      <c r="L113" s="212">
        <f>220+130</f>
        <v>350</v>
      </c>
      <c r="M113" s="211"/>
      <c r="N113" s="211"/>
      <c r="O113" s="212"/>
    </row>
    <row r="114" spans="1:18" ht="14.25">
      <c r="A114" s="49"/>
      <c r="B114" s="43" t="s">
        <v>317</v>
      </c>
      <c r="C114" s="43"/>
      <c r="D114" s="43"/>
      <c r="E114" s="43"/>
      <c r="F114" s="43"/>
      <c r="G114" s="43">
        <f t="shared" si="4"/>
        <v>43.53</v>
      </c>
      <c r="H114" s="43">
        <v>50</v>
      </c>
      <c r="I114" s="52">
        <f t="shared" si="3"/>
        <v>6.4699999999999989</v>
      </c>
      <c r="J114" s="134">
        <f>Jan!I114+Feb!I114+Mar!I114+Apr!I114+May!I114</f>
        <v>-3393.53</v>
      </c>
      <c r="K114" s="135"/>
      <c r="L114" s="212"/>
      <c r="M114" s="211">
        <v>43.53</v>
      </c>
      <c r="N114" s="211"/>
      <c r="O114" s="212"/>
      <c r="Q114" s="129" t="s">
        <v>988</v>
      </c>
    </row>
    <row r="115" spans="1:18" ht="14.25">
      <c r="A115" s="49"/>
      <c r="B115" s="43" t="s">
        <v>907</v>
      </c>
      <c r="C115" s="43"/>
      <c r="D115" s="43"/>
      <c r="E115" s="43"/>
      <c r="F115" s="43"/>
      <c r="G115" s="43">
        <f t="shared" si="4"/>
        <v>0</v>
      </c>
      <c r="H115" s="43">
        <v>100</v>
      </c>
      <c r="I115" s="52">
        <f t="shared" si="3"/>
        <v>100</v>
      </c>
      <c r="J115" s="134">
        <f>Jan!I115+Feb!I115+Mar!I115+Apr!I115+May!I115</f>
        <v>500</v>
      </c>
      <c r="K115" s="135"/>
      <c r="L115" s="212"/>
      <c r="M115" s="211"/>
      <c r="N115" s="211"/>
      <c r="O115" s="212"/>
    </row>
    <row r="116" spans="1:18" ht="14.25">
      <c r="A116" s="49"/>
      <c r="B116" s="43"/>
      <c r="C116" s="43"/>
      <c r="D116" s="43"/>
      <c r="E116" s="43"/>
      <c r="F116" s="43"/>
      <c r="G116" s="43"/>
      <c r="H116" s="43"/>
      <c r="I116" s="52"/>
      <c r="J116" s="134"/>
      <c r="K116" s="135"/>
      <c r="L116" s="212"/>
      <c r="M116" s="211"/>
      <c r="N116" s="211"/>
      <c r="O116" s="212"/>
    </row>
    <row r="117" spans="1:18" ht="14.25">
      <c r="A117" s="49" t="s">
        <v>41</v>
      </c>
      <c r="B117" s="49">
        <f>SUM(G119:G129)</f>
        <v>325.38000000000005</v>
      </c>
      <c r="C117" s="49">
        <f>SUM(H118:H128)</f>
        <v>820</v>
      </c>
      <c r="D117" s="49">
        <f>C117-B117</f>
        <v>494.61999999999995</v>
      </c>
      <c r="E117" s="43"/>
      <c r="F117" s="43"/>
      <c r="G117" s="43"/>
      <c r="H117" s="43"/>
      <c r="I117" s="52"/>
      <c r="J117" s="134"/>
      <c r="K117" s="135"/>
      <c r="L117" s="212"/>
      <c r="M117" s="211"/>
      <c r="N117" s="211"/>
      <c r="O117" s="212"/>
    </row>
    <row r="118" spans="1:18" ht="14.25">
      <c r="A118" s="43"/>
      <c r="B118" s="43" t="s">
        <v>42</v>
      </c>
      <c r="C118" s="43"/>
      <c r="D118" s="43"/>
      <c r="E118" s="43"/>
      <c r="F118" s="43"/>
      <c r="G118" s="43">
        <f t="shared" si="4"/>
        <v>160</v>
      </c>
      <c r="H118" s="43">
        <v>100</v>
      </c>
      <c r="I118" s="52">
        <f t="shared" si="3"/>
        <v>-60</v>
      </c>
      <c r="J118" s="134">
        <f>Jan!I118+Feb!I118+Mar!I118+Apr!I118+May!I118</f>
        <v>-493</v>
      </c>
      <c r="K118" s="135"/>
      <c r="L118" s="212">
        <f>160</f>
        <v>160</v>
      </c>
      <c r="M118" s="211"/>
      <c r="N118" s="211"/>
      <c r="O118" s="212"/>
      <c r="Q118" s="129" t="s">
        <v>975</v>
      </c>
    </row>
    <row r="119" spans="1:18" ht="14.25">
      <c r="A119" s="43"/>
      <c r="B119" s="43" t="s">
        <v>908</v>
      </c>
      <c r="C119" s="43"/>
      <c r="D119" s="43"/>
      <c r="E119" s="43"/>
      <c r="F119" s="43"/>
      <c r="G119" s="43">
        <f t="shared" si="4"/>
        <v>111.91</v>
      </c>
      <c r="H119" s="43">
        <v>100</v>
      </c>
      <c r="I119" s="52">
        <f t="shared" si="3"/>
        <v>-11.909999999999997</v>
      </c>
      <c r="J119" s="134">
        <f>Jan!I119+Feb!I119+Mar!I119+Apr!I119+May!I119</f>
        <v>61.519999999999996</v>
      </c>
      <c r="K119" s="135"/>
      <c r="L119" s="212"/>
      <c r="M119" s="211">
        <f>20.65+13.11+78.15</f>
        <v>111.91</v>
      </c>
      <c r="N119" s="211"/>
      <c r="O119" s="212"/>
    </row>
    <row r="120" spans="1:18" ht="15" thickBot="1">
      <c r="A120" s="43"/>
      <c r="B120" s="43" t="s">
        <v>304</v>
      </c>
      <c r="C120" s="43"/>
      <c r="D120" s="43"/>
      <c r="E120" s="43"/>
      <c r="F120" s="43"/>
      <c r="G120" s="43">
        <f t="shared" si="4"/>
        <v>246.13000000000002</v>
      </c>
      <c r="H120" s="43">
        <v>500</v>
      </c>
      <c r="I120" s="52">
        <f t="shared" si="3"/>
        <v>253.86999999999998</v>
      </c>
      <c r="J120" s="134">
        <f>Jan!I120+Feb!I120+Mar!I120+Apr!I120+May!I120</f>
        <v>483.90999999999997</v>
      </c>
      <c r="K120" s="135"/>
      <c r="L120" s="212">
        <f>-200+49.76</f>
        <v>-150.24</v>
      </c>
      <c r="M120" s="211">
        <f>8.43+38.73+24.2+24.84</f>
        <v>96.2</v>
      </c>
      <c r="N120" s="211">
        <f>57.06+41.09+8.96+16.35+20.59+68.41+27.94</f>
        <v>240.4</v>
      </c>
      <c r="O120" s="212">
        <v>59.77</v>
      </c>
      <c r="Q120" s="129" t="s">
        <v>998</v>
      </c>
    </row>
    <row r="121" spans="1:18" ht="15" thickBot="1">
      <c r="A121" s="43"/>
      <c r="B121" s="43"/>
      <c r="C121" s="43" t="s">
        <v>298</v>
      </c>
      <c r="D121" s="43"/>
      <c r="E121" s="79">
        <f>Jan!E132+Feb!E140+Mar!E140+Apr!E140+May!E140+Jun!E140+July!E140+Aug!E140+Sep!E140+Oct!E140+Nov!E140+Dec!E140</f>
        <v>0</v>
      </c>
      <c r="F121" s="43"/>
      <c r="G121" s="43"/>
      <c r="H121" s="43"/>
      <c r="I121" s="52"/>
      <c r="J121" s="134"/>
      <c r="K121" s="135"/>
      <c r="L121" s="212"/>
      <c r="M121" s="211"/>
      <c r="N121" s="211"/>
      <c r="O121" s="212"/>
    </row>
    <row r="122" spans="1:18" ht="14.25">
      <c r="A122" s="43"/>
      <c r="B122" s="43" t="s">
        <v>164</v>
      </c>
      <c r="C122" s="43"/>
      <c r="D122" s="43"/>
      <c r="E122" s="43"/>
      <c r="F122" s="43"/>
      <c r="G122" s="43">
        <f t="shared" si="4"/>
        <v>-94.57</v>
      </c>
      <c r="H122" s="43">
        <v>50</v>
      </c>
      <c r="I122" s="52">
        <f t="shared" si="3"/>
        <v>144.57</v>
      </c>
      <c r="J122" s="134">
        <f>Jan!I122+Feb!I122+Mar!I122+Apr!I122+May!I122</f>
        <v>295.09000000000003</v>
      </c>
      <c r="K122" s="135"/>
      <c r="L122" s="212">
        <f>-100+5.43</f>
        <v>-94.57</v>
      </c>
      <c r="M122" s="211"/>
      <c r="N122" s="211"/>
      <c r="O122" s="212"/>
      <c r="Q122" s="129" t="s">
        <v>1000</v>
      </c>
      <c r="R122" s="129" t="s">
        <v>999</v>
      </c>
    </row>
    <row r="123" spans="1:18" ht="15" thickBot="1">
      <c r="A123" s="43"/>
      <c r="B123" s="43" t="s">
        <v>43</v>
      </c>
      <c r="C123" s="43"/>
      <c r="D123" s="43"/>
      <c r="E123" s="43"/>
      <c r="F123" s="43"/>
      <c r="G123" s="43">
        <f t="shared" si="4"/>
        <v>61.910000000000011</v>
      </c>
      <c r="H123" s="43">
        <v>50</v>
      </c>
      <c r="I123" s="52">
        <f t="shared" si="3"/>
        <v>-11.910000000000011</v>
      </c>
      <c r="J123" s="134">
        <f>Jan!I123+Feb!I123+Mar!I123+Apr!I123+May!I123</f>
        <v>29.279999999999987</v>
      </c>
      <c r="K123" s="135"/>
      <c r="L123" s="212">
        <v>27.26</v>
      </c>
      <c r="M123" s="211">
        <f>58.85-24.2</f>
        <v>34.650000000000006</v>
      </c>
      <c r="N123" s="211"/>
      <c r="O123" s="212"/>
      <c r="Q123" s="129" t="s">
        <v>1000</v>
      </c>
    </row>
    <row r="124" spans="1:18" ht="15" thickBot="1">
      <c r="A124" s="43"/>
      <c r="B124" s="43"/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F124" s="43"/>
      <c r="G124" s="43"/>
      <c r="H124" s="43"/>
      <c r="I124" s="52"/>
      <c r="J124" s="134"/>
      <c r="K124" s="135"/>
      <c r="L124" s="212"/>
      <c r="M124" s="211"/>
      <c r="N124" s="211"/>
      <c r="O124" s="212"/>
    </row>
    <row r="125" spans="1:18" ht="15" thickBot="1">
      <c r="A125" s="43"/>
      <c r="B125" s="43"/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F125" s="43"/>
      <c r="G125" s="43"/>
      <c r="H125" s="43"/>
      <c r="I125" s="52"/>
      <c r="J125" s="134"/>
      <c r="K125" s="135"/>
      <c r="L125" s="212"/>
      <c r="M125" s="211"/>
      <c r="N125" s="211"/>
      <c r="O125" s="212"/>
    </row>
    <row r="126" spans="1:18" ht="15" thickBot="1">
      <c r="A126" s="43"/>
      <c r="B126" s="43"/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F126" s="43"/>
      <c r="G126" s="43"/>
      <c r="H126" s="43"/>
      <c r="I126" s="52"/>
      <c r="J126" s="134"/>
      <c r="K126" s="135"/>
      <c r="L126" s="212"/>
      <c r="M126" s="211"/>
      <c r="N126" s="211"/>
      <c r="O126" s="212"/>
    </row>
    <row r="127" spans="1:18" ht="15" thickBot="1">
      <c r="A127" s="43"/>
      <c r="B127" s="43"/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F127" s="43"/>
      <c r="G127" s="43"/>
      <c r="H127" s="43"/>
      <c r="I127" s="52"/>
      <c r="J127" s="134"/>
      <c r="K127" s="135"/>
      <c r="L127" s="212"/>
      <c r="M127" s="211"/>
      <c r="N127" s="211"/>
      <c r="O127" s="212"/>
    </row>
    <row r="128" spans="1:18" ht="14.25">
      <c r="A128" s="43"/>
      <c r="B128" s="43" t="s">
        <v>303</v>
      </c>
      <c r="C128" s="43"/>
      <c r="D128" s="43"/>
      <c r="E128" s="43"/>
      <c r="F128" s="43"/>
      <c r="G128" s="43">
        <f t="shared" si="4"/>
        <v>0</v>
      </c>
      <c r="H128" s="43">
        <v>20</v>
      </c>
      <c r="I128" s="52">
        <f t="shared" si="3"/>
        <v>20</v>
      </c>
      <c r="J128" s="134">
        <f>Jan!I128+Feb!I128+Mar!I128+Apr!I128+May!I128</f>
        <v>26.930000000000007</v>
      </c>
      <c r="K128" s="135"/>
      <c r="L128" s="212"/>
      <c r="M128" s="211"/>
      <c r="N128" s="211"/>
      <c r="O128" s="212"/>
    </row>
    <row r="129" spans="1:18" ht="14.25">
      <c r="A129" s="43"/>
      <c r="B129" s="43"/>
      <c r="C129" s="43"/>
      <c r="D129" s="43"/>
      <c r="E129" s="43"/>
      <c r="F129" s="43"/>
      <c r="G129" s="43"/>
      <c r="H129" s="43"/>
      <c r="I129" s="52"/>
      <c r="J129" s="134"/>
      <c r="K129" s="135"/>
      <c r="L129" s="212"/>
      <c r="M129" s="211"/>
      <c r="N129" s="211"/>
      <c r="O129" s="212"/>
    </row>
    <row r="130" spans="1:18" ht="14.2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E130" s="43"/>
      <c r="F130" s="43"/>
      <c r="G130" s="43"/>
      <c r="H130" s="43"/>
      <c r="I130" s="52"/>
      <c r="J130" s="134"/>
      <c r="K130" s="135"/>
      <c r="L130" s="212"/>
      <c r="M130" s="211"/>
      <c r="N130" s="211"/>
      <c r="O130" s="212"/>
    </row>
    <row r="131" spans="1:18" ht="14.25">
      <c r="A131" s="43"/>
      <c r="B131" s="43" t="s">
        <v>53</v>
      </c>
      <c r="C131" s="43"/>
      <c r="D131" s="43"/>
      <c r="E131" s="43"/>
      <c r="F131" s="43"/>
      <c r="G131" s="43">
        <f t="shared" si="4"/>
        <v>28.97</v>
      </c>
      <c r="H131" s="43">
        <v>50</v>
      </c>
      <c r="I131" s="52">
        <f t="shared" si="3"/>
        <v>21.03</v>
      </c>
      <c r="J131" s="134">
        <f>Jan!I131+Feb!I131+Mar!I131+Apr!I131+May!I131</f>
        <v>200.07999999999998</v>
      </c>
      <c r="K131" s="135"/>
      <c r="L131" s="212"/>
      <c r="M131" s="211">
        <v>28.97</v>
      </c>
      <c r="N131" s="211"/>
      <c r="O131" s="212"/>
      <c r="R131" s="69"/>
    </row>
    <row r="132" spans="1:18" ht="14.25">
      <c r="A132" s="43"/>
      <c r="B132" s="43"/>
      <c r="C132" s="43"/>
      <c r="D132" s="43"/>
      <c r="E132" s="43"/>
      <c r="F132" s="43"/>
      <c r="G132" s="43"/>
      <c r="H132" s="43"/>
      <c r="I132" s="52"/>
      <c r="J132" s="134"/>
      <c r="K132" s="135"/>
      <c r="L132" s="212"/>
      <c r="M132" s="211"/>
      <c r="N132" s="211"/>
      <c r="O132" s="212"/>
    </row>
    <row r="133" spans="1:18" ht="14.2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E133" s="43"/>
      <c r="F133" s="43"/>
      <c r="G133" s="43"/>
      <c r="H133" s="43"/>
      <c r="I133" s="52"/>
      <c r="J133" s="134"/>
      <c r="K133" s="135"/>
      <c r="L133" s="212"/>
      <c r="M133" s="211"/>
      <c r="N133" s="211"/>
      <c r="O133" s="212"/>
    </row>
    <row r="134" spans="1:18" ht="14.25">
      <c r="A134" s="49"/>
      <c r="B134" s="43" t="s">
        <v>910</v>
      </c>
      <c r="C134" s="49"/>
      <c r="D134" s="49"/>
      <c r="E134" s="43"/>
      <c r="F134" s="43"/>
      <c r="G134" s="43">
        <f t="shared" si="4"/>
        <v>0</v>
      </c>
      <c r="H134" s="43">
        <v>100</v>
      </c>
      <c r="I134" s="52">
        <f t="shared" ref="I134:I163" si="5">H134-G134</f>
        <v>100</v>
      </c>
      <c r="J134" s="134">
        <f>Jan!I134+Feb!I134+Mar!I134+Apr!I134+May!I134</f>
        <v>472</v>
      </c>
      <c r="K134" s="135"/>
      <c r="L134" s="212"/>
      <c r="M134" s="211"/>
      <c r="N134" s="211"/>
      <c r="O134" s="212"/>
    </row>
    <row r="135" spans="1:18" ht="14.25">
      <c r="A135" s="43"/>
      <c r="B135" s="43" t="s">
        <v>305</v>
      </c>
      <c r="C135" s="43"/>
      <c r="D135" s="43"/>
      <c r="E135" s="43"/>
      <c r="F135" s="43"/>
      <c r="G135" s="43">
        <f t="shared" si="4"/>
        <v>0</v>
      </c>
      <c r="H135" s="43">
        <v>100</v>
      </c>
      <c r="I135" s="52">
        <f t="shared" si="5"/>
        <v>100</v>
      </c>
      <c r="J135" s="134">
        <f>Jan!I135+Feb!I135+Mar!I135+Apr!I135+May!I135</f>
        <v>475.21000000000004</v>
      </c>
      <c r="K135" s="135"/>
      <c r="L135" s="212"/>
      <c r="M135" s="211"/>
      <c r="N135" s="211"/>
      <c r="O135" s="212"/>
    </row>
    <row r="136" spans="1:18" ht="14.25">
      <c r="A136" s="43"/>
      <c r="B136" s="43" t="s">
        <v>306</v>
      </c>
      <c r="C136" s="43"/>
      <c r="D136" s="43"/>
      <c r="E136" s="43"/>
      <c r="F136" s="43"/>
      <c r="G136" s="43">
        <f t="shared" si="4"/>
        <v>0</v>
      </c>
      <c r="H136" s="43">
        <v>30</v>
      </c>
      <c r="I136" s="52">
        <f t="shared" si="5"/>
        <v>30</v>
      </c>
      <c r="J136" s="134">
        <f>Jan!I136+Feb!I136+Mar!I136+Apr!I136+May!I136</f>
        <v>148.37</v>
      </c>
      <c r="K136" s="135"/>
      <c r="L136" s="212"/>
      <c r="M136" s="211"/>
      <c r="N136" s="211"/>
      <c r="O136" s="212"/>
    </row>
    <row r="137" spans="1:18" ht="14.25">
      <c r="A137" s="43"/>
      <c r="B137" s="43"/>
      <c r="C137" s="43"/>
      <c r="D137" s="43"/>
      <c r="E137" s="43"/>
      <c r="F137" s="43"/>
      <c r="G137" s="43"/>
      <c r="H137" s="43"/>
      <c r="I137" s="52"/>
      <c r="J137" s="134"/>
      <c r="K137" s="135"/>
      <c r="L137" s="212"/>
      <c r="M137" s="211"/>
      <c r="N137" s="211"/>
      <c r="O137" s="212"/>
    </row>
    <row r="138" spans="1:18" ht="14.2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E138" s="43"/>
      <c r="F138" s="43"/>
      <c r="G138" s="43"/>
      <c r="H138" s="43"/>
      <c r="I138" s="52"/>
      <c r="J138" s="134"/>
      <c r="K138" s="135"/>
      <c r="L138" s="212"/>
      <c r="M138" s="211"/>
      <c r="N138" s="211"/>
      <c r="O138" s="212"/>
    </row>
    <row r="139" spans="1:18" ht="14.25">
      <c r="A139" s="43"/>
      <c r="B139" s="43" t="s">
        <v>911</v>
      </c>
      <c r="C139" s="43"/>
      <c r="D139" s="43"/>
      <c r="E139" s="43"/>
      <c r="F139" s="43"/>
      <c r="G139" s="43">
        <f t="shared" si="4"/>
        <v>0</v>
      </c>
      <c r="H139" s="43">
        <v>10</v>
      </c>
      <c r="I139" s="52">
        <f t="shared" si="5"/>
        <v>10</v>
      </c>
      <c r="J139" s="134">
        <f>Jan!I139+Feb!I139+Mar!I139+Apr!I139+May!I139</f>
        <v>24.5</v>
      </c>
      <c r="K139" s="135"/>
      <c r="L139" s="212"/>
      <c r="M139" s="211"/>
      <c r="N139" s="211"/>
      <c r="O139" s="212"/>
    </row>
    <row r="140" spans="1:18" ht="14.25">
      <c r="A140" s="43"/>
      <c r="B140" s="43"/>
      <c r="C140" s="43"/>
      <c r="D140" s="43"/>
      <c r="E140" s="43"/>
      <c r="F140" s="43"/>
      <c r="G140" s="43"/>
      <c r="H140" s="43"/>
      <c r="I140" s="52"/>
      <c r="J140" s="134"/>
      <c r="K140" s="135"/>
      <c r="L140" s="212"/>
      <c r="M140" s="211"/>
      <c r="N140" s="211"/>
      <c r="O140" s="212"/>
    </row>
    <row r="141" spans="1:18" ht="14.25">
      <c r="A141" s="49" t="s">
        <v>136</v>
      </c>
      <c r="B141" s="49">
        <f>SUM(G143:G144)</f>
        <v>40</v>
      </c>
      <c r="C141" s="49">
        <f>SUM(H142:H143)</f>
        <v>250</v>
      </c>
      <c r="D141" s="49">
        <f>C141-B141</f>
        <v>210</v>
      </c>
      <c r="E141" s="43"/>
      <c r="F141" s="43"/>
      <c r="G141" s="43"/>
      <c r="H141" s="43"/>
      <c r="I141" s="52"/>
      <c r="J141" s="134"/>
      <c r="K141" s="135"/>
      <c r="L141" s="212"/>
      <c r="M141" s="211"/>
      <c r="N141" s="211"/>
      <c r="O141" s="212"/>
    </row>
    <row r="142" spans="1:18" ht="14.25">
      <c r="A142" s="43"/>
      <c r="B142" s="43" t="s">
        <v>50</v>
      </c>
      <c r="C142" s="43"/>
      <c r="D142" s="43"/>
      <c r="E142" s="43"/>
      <c r="F142" s="43"/>
      <c r="G142" s="43">
        <f t="shared" si="4"/>
        <v>0</v>
      </c>
      <c r="H142" s="43">
        <v>150</v>
      </c>
      <c r="I142" s="52">
        <f t="shared" si="5"/>
        <v>150</v>
      </c>
      <c r="J142" s="134">
        <f>Jan!I142+Feb!I142+Mar!I142+Apr!I142+May!I142</f>
        <v>240.26000000000002</v>
      </c>
      <c r="K142" s="135"/>
      <c r="L142" s="212"/>
      <c r="M142" s="211"/>
      <c r="N142" s="211"/>
      <c r="O142" s="212"/>
    </row>
    <row r="143" spans="1:18" ht="14.25">
      <c r="A143" s="43"/>
      <c r="B143" s="43" t="s">
        <v>51</v>
      </c>
      <c r="C143" s="43"/>
      <c r="D143" s="43" t="s">
        <v>137</v>
      </c>
      <c r="E143" s="43"/>
      <c r="F143" s="43"/>
      <c r="G143" s="43">
        <f t="shared" si="4"/>
        <v>40</v>
      </c>
      <c r="H143" s="43">
        <v>100</v>
      </c>
      <c r="I143" s="52">
        <f t="shared" si="5"/>
        <v>60</v>
      </c>
      <c r="J143" s="134">
        <f>Jan!I143+Feb!I143+Mar!I143+Apr!I143+May!I143</f>
        <v>434.76</v>
      </c>
      <c r="K143" s="135"/>
      <c r="L143" s="212">
        <f>40</f>
        <v>40</v>
      </c>
      <c r="M143" s="211"/>
      <c r="N143" s="211"/>
      <c r="O143" s="212"/>
      <c r="Q143" s="129" t="s">
        <v>997</v>
      </c>
    </row>
    <row r="144" spans="1:18" ht="14.25">
      <c r="A144" s="43"/>
      <c r="B144" s="43"/>
      <c r="C144" s="43"/>
      <c r="D144" s="43"/>
      <c r="E144" s="43"/>
      <c r="F144" s="43"/>
      <c r="G144" s="43"/>
      <c r="H144" s="43"/>
      <c r="I144" s="52"/>
      <c r="J144" s="134"/>
      <c r="K144" s="135"/>
      <c r="L144" s="212"/>
      <c r="M144" s="211"/>
      <c r="N144" s="211"/>
      <c r="O144" s="212"/>
    </row>
    <row r="145" spans="1:17" ht="14.25">
      <c r="A145" s="43"/>
      <c r="B145" s="43"/>
      <c r="C145" s="43"/>
      <c r="D145" s="43"/>
      <c r="E145" s="43"/>
      <c r="F145" s="43"/>
      <c r="G145" s="43"/>
      <c r="H145" s="43"/>
      <c r="I145" s="52"/>
      <c r="J145" s="134"/>
      <c r="K145" s="135"/>
      <c r="L145" s="212"/>
      <c r="M145" s="211"/>
      <c r="N145" s="211"/>
      <c r="O145" s="212"/>
    </row>
    <row r="146" spans="1:17" ht="15" thickBot="1">
      <c r="A146" s="49" t="s">
        <v>310</v>
      </c>
      <c r="B146" s="43"/>
      <c r="C146" s="43"/>
      <c r="D146" s="43"/>
      <c r="E146" s="43"/>
      <c r="F146" s="43"/>
      <c r="G146" s="43"/>
      <c r="H146" s="43"/>
      <c r="I146" s="52"/>
      <c r="J146" s="134"/>
      <c r="K146" s="135"/>
      <c r="L146" s="212"/>
      <c r="M146" s="211"/>
      <c r="N146" s="211"/>
      <c r="O146" s="212"/>
    </row>
    <row r="147" spans="1:17" ht="15" thickBot="1">
      <c r="A147" s="43"/>
      <c r="B147" s="126">
        <f>SUM(G149:G163)</f>
        <v>340</v>
      </c>
      <c r="C147" s="126">
        <f>SUM(H148:H163)</f>
        <v>610</v>
      </c>
      <c r="D147" s="126">
        <f>C147-B147</f>
        <v>270</v>
      </c>
      <c r="E147" s="43"/>
      <c r="F147" s="43"/>
      <c r="G147" s="43"/>
      <c r="H147" s="43"/>
      <c r="I147" s="52"/>
      <c r="J147" s="134"/>
      <c r="K147" s="135"/>
      <c r="L147" s="212"/>
      <c r="M147" s="211"/>
      <c r="N147" s="211"/>
      <c r="O147" s="212"/>
    </row>
    <row r="148" spans="1:17" ht="14.25">
      <c r="A148" s="49" t="s">
        <v>312</v>
      </c>
      <c r="B148" s="43"/>
      <c r="C148" s="43"/>
      <c r="D148" s="43"/>
      <c r="E148" s="43"/>
      <c r="F148" s="43"/>
      <c r="G148" s="43"/>
      <c r="H148" s="43"/>
      <c r="I148" s="52"/>
      <c r="J148" s="134"/>
      <c r="K148" s="135"/>
      <c r="L148" s="212"/>
      <c r="M148" s="211"/>
      <c r="N148" s="211"/>
      <c r="O148" s="212"/>
    </row>
    <row r="149" spans="1:17" ht="15" thickBot="1">
      <c r="A149" s="43"/>
      <c r="B149" s="43" t="s">
        <v>134</v>
      </c>
      <c r="C149" s="43"/>
      <c r="D149" s="43"/>
      <c r="E149" s="43"/>
      <c r="F149" s="43"/>
      <c r="G149" s="43">
        <f t="shared" si="4"/>
        <v>340</v>
      </c>
      <c r="H149" s="43">
        <v>100</v>
      </c>
      <c r="I149" s="52">
        <f t="shared" si="5"/>
        <v>-240</v>
      </c>
      <c r="J149" s="134">
        <f>Jan!I149+Feb!I149+Mar!I149+Apr!I149+May!I149</f>
        <v>160</v>
      </c>
      <c r="K149" s="135"/>
      <c r="L149" s="212">
        <v>340</v>
      </c>
      <c r="M149" s="211"/>
      <c r="N149" s="211"/>
      <c r="O149" s="212"/>
      <c r="Q149" s="129" t="s">
        <v>992</v>
      </c>
    </row>
    <row r="150" spans="1:17" ht="15" thickBot="1">
      <c r="A150" s="79">
        <f>SUM(G150:G154)</f>
        <v>0</v>
      </c>
      <c r="B150" s="43" t="s">
        <v>135</v>
      </c>
      <c r="C150" s="43"/>
      <c r="D150" s="43"/>
      <c r="E150" s="43"/>
      <c r="F150" s="43"/>
      <c r="G150" s="43">
        <f t="shared" si="4"/>
        <v>0</v>
      </c>
      <c r="H150" s="43">
        <v>100</v>
      </c>
      <c r="I150" s="52">
        <f t="shared" si="5"/>
        <v>100</v>
      </c>
      <c r="J150" s="134">
        <f>Jan!I150+Feb!I150+Mar!I150+Apr!I150+May!I150</f>
        <v>500</v>
      </c>
      <c r="K150" s="135"/>
      <c r="L150" s="212"/>
      <c r="M150" s="211"/>
      <c r="N150" s="211"/>
      <c r="O150" s="212"/>
    </row>
    <row r="151" spans="1:17" ht="14.25">
      <c r="A151" s="43"/>
      <c r="B151" s="43" t="s">
        <v>48</v>
      </c>
      <c r="C151" s="43"/>
      <c r="D151" s="43"/>
      <c r="E151" s="43"/>
      <c r="F151" s="43"/>
      <c r="G151" s="43">
        <f t="shared" si="4"/>
        <v>0</v>
      </c>
      <c r="H151" s="43">
        <v>30</v>
      </c>
      <c r="I151" s="52">
        <f t="shared" si="5"/>
        <v>30</v>
      </c>
      <c r="J151" s="134">
        <f>Jan!I151+Feb!I151+Mar!I151+Apr!I151+May!I151</f>
        <v>150</v>
      </c>
      <c r="L151" s="212"/>
      <c r="M151" s="211"/>
      <c r="N151" s="211"/>
      <c r="O151" s="212"/>
    </row>
    <row r="152" spans="1:17" ht="14.25">
      <c r="A152" s="43"/>
      <c r="B152" s="43" t="s">
        <v>49</v>
      </c>
      <c r="C152" s="43"/>
      <c r="D152" s="43"/>
      <c r="E152" s="43"/>
      <c r="F152" s="43"/>
      <c r="G152" s="43">
        <f t="shared" si="4"/>
        <v>0</v>
      </c>
      <c r="H152" s="43">
        <v>50</v>
      </c>
      <c r="I152" s="52">
        <f t="shared" si="5"/>
        <v>50</v>
      </c>
      <c r="J152" s="134">
        <f>Jan!I152+Feb!I152+Mar!I152+Apr!I152+May!I152</f>
        <v>250</v>
      </c>
      <c r="L152" s="212"/>
      <c r="M152" s="211"/>
      <c r="N152" s="211"/>
      <c r="O152" s="212"/>
    </row>
    <row r="153" spans="1:17" ht="14.2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134">
        <f>Jan!I153+Feb!I153+Mar!I153+Apr!I153+May!I153</f>
        <v>50</v>
      </c>
      <c r="L153" s="212"/>
      <c r="M153" s="211"/>
      <c r="N153" s="211"/>
      <c r="O153" s="212"/>
    </row>
    <row r="154" spans="1:17" ht="14.25">
      <c r="A154" s="43"/>
      <c r="B154" s="43"/>
      <c r="C154" s="43"/>
      <c r="D154" s="43"/>
      <c r="E154" s="43"/>
      <c r="F154" s="43"/>
      <c r="G154" s="43"/>
      <c r="H154" s="43"/>
      <c r="I154" s="52"/>
      <c r="J154" s="134"/>
      <c r="L154" s="212"/>
      <c r="M154" s="211"/>
      <c r="N154" s="211"/>
      <c r="O154" s="212"/>
    </row>
    <row r="155" spans="1:17" ht="14.2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134"/>
      <c r="L155" s="212"/>
      <c r="M155" s="211"/>
      <c r="N155" s="211"/>
      <c r="O155" s="212"/>
    </row>
    <row r="156" spans="1:17" ht="1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0</v>
      </c>
      <c r="H156" s="43">
        <v>30</v>
      </c>
      <c r="I156" s="52">
        <f t="shared" si="5"/>
        <v>30</v>
      </c>
      <c r="J156" s="134">
        <f>Jan!I156+Feb!I156+Mar!I156+Apr!I156+May!I156</f>
        <v>95.55</v>
      </c>
      <c r="K156" s="71"/>
      <c r="L156" s="212"/>
      <c r="M156" s="211"/>
      <c r="N156" s="211"/>
      <c r="O156" s="212"/>
    </row>
    <row r="157" spans="1:17" ht="1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4"/>
        <v>0</v>
      </c>
      <c r="H157" s="43">
        <v>30</v>
      </c>
      <c r="I157" s="52">
        <f t="shared" si="5"/>
        <v>30</v>
      </c>
      <c r="J157" s="134">
        <f>Jan!I157+Feb!I157+Mar!I157+Apr!I157+May!I157</f>
        <v>-514.54999999999973</v>
      </c>
      <c r="K157" s="71"/>
      <c r="L157" s="212"/>
      <c r="M157" s="211"/>
      <c r="N157" s="211"/>
      <c r="O157" s="212"/>
    </row>
    <row r="158" spans="1:17" ht="14.2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134">
        <f>Jan!I158+Feb!I158+Mar!I158+Apr!I158+May!I158</f>
        <v>150</v>
      </c>
      <c r="K158" s="71"/>
      <c r="L158" s="212"/>
      <c r="M158" s="211"/>
      <c r="N158" s="211"/>
      <c r="O158" s="212"/>
    </row>
    <row r="159" spans="1:17" ht="14.2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134">
        <f>Jan!I159+Feb!I159+Mar!I159+Apr!I159+May!I159</f>
        <v>150</v>
      </c>
      <c r="K159" s="71"/>
      <c r="L159" s="212"/>
      <c r="M159" s="211"/>
      <c r="N159" s="211"/>
      <c r="O159" s="212"/>
    </row>
    <row r="160" spans="1:17" ht="14.25">
      <c r="A160" s="43"/>
      <c r="B160" s="43" t="s">
        <v>325</v>
      </c>
      <c r="C160" s="43"/>
      <c r="D160" s="43"/>
      <c r="E160" s="43"/>
      <c r="F160" s="43"/>
      <c r="G160" s="43">
        <f t="shared" si="4"/>
        <v>0</v>
      </c>
      <c r="H160" s="43">
        <v>100</v>
      </c>
      <c r="I160" s="52">
        <f t="shared" si="5"/>
        <v>100</v>
      </c>
      <c r="J160" s="134">
        <f>Jan!I160+Feb!I160+Mar!I160+Apr!I160+May!I160</f>
        <v>-1000</v>
      </c>
      <c r="K160" s="71"/>
      <c r="L160" s="212"/>
      <c r="M160" s="211"/>
      <c r="N160" s="211"/>
      <c r="O160" s="212"/>
    </row>
    <row r="161" spans="1:15" ht="14.25">
      <c r="A161" s="43"/>
      <c r="B161" s="43"/>
      <c r="C161" s="43"/>
      <c r="D161" s="43"/>
      <c r="E161" s="43"/>
      <c r="F161" s="43"/>
      <c r="H161" s="43"/>
      <c r="I161" s="52"/>
      <c r="J161" s="134"/>
      <c r="K161" s="71"/>
      <c r="L161" s="212"/>
      <c r="M161" s="211"/>
      <c r="N161" s="211"/>
      <c r="O161" s="212"/>
    </row>
    <row r="162" spans="1:15" ht="14.25">
      <c r="A162" s="43"/>
      <c r="B162" s="43"/>
      <c r="C162" s="43"/>
      <c r="D162" s="43"/>
      <c r="E162" s="43"/>
      <c r="F162" s="43"/>
      <c r="H162" s="43"/>
      <c r="I162" s="52"/>
      <c r="J162" s="134"/>
      <c r="K162" s="71"/>
      <c r="L162" s="212"/>
      <c r="M162" s="211"/>
      <c r="N162" s="211"/>
      <c r="O162" s="212"/>
    </row>
    <row r="163" spans="1:15" ht="14.2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5"/>
        <v>100</v>
      </c>
      <c r="J163" s="134">
        <f>Jan!I163+Feb!I163+Mar!I163+Apr!I163+May!I163</f>
        <v>500</v>
      </c>
      <c r="K163" s="71"/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topLeftCell="B39" zoomScaleNormal="100" workbookViewId="0">
      <selection activeCell="R102" sqref="R102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140625" style="56" customWidth="1"/>
    <col min="18" max="18" width="11.5703125" style="56" customWidth="1"/>
    <col min="19" max="19" width="9" style="56"/>
    <col min="20" max="20" width="8.28515625" style="56" customWidth="1"/>
    <col min="21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11</v>
      </c>
      <c r="C2" s="64"/>
      <c r="M2" s="64"/>
    </row>
    <row r="3" spans="1:16">
      <c r="B3" s="56" t="s">
        <v>77</v>
      </c>
      <c r="M3" s="64"/>
      <c r="O3" s="66"/>
    </row>
    <row r="4" spans="1:16">
      <c r="A4" s="62" t="s">
        <v>4</v>
      </c>
      <c r="B4" s="67">
        <f>SUM(G5:G8)</f>
        <v>11016.410000000002</v>
      </c>
      <c r="C4" s="67"/>
      <c r="G4" s="56" t="s">
        <v>28</v>
      </c>
      <c r="L4" s="68"/>
      <c r="O4" s="66"/>
    </row>
    <row r="5" spans="1:16" ht="12.75">
      <c r="A5" s="56" t="s">
        <v>842</v>
      </c>
      <c r="B5" s="106">
        <v>4605.47</v>
      </c>
      <c r="C5" s="280">
        <v>4678.09</v>
      </c>
      <c r="G5" s="106">
        <f>SUM(B5:E5)</f>
        <v>9283.5600000000013</v>
      </c>
      <c r="H5" s="68"/>
      <c r="I5" s="68"/>
      <c r="J5" s="68"/>
      <c r="K5" s="72"/>
      <c r="L5" s="68"/>
      <c r="O5" s="66"/>
    </row>
    <row r="6" spans="1:16" ht="12.75">
      <c r="A6" s="56" t="s">
        <v>103</v>
      </c>
      <c r="B6" s="56">
        <v>1732.85</v>
      </c>
      <c r="C6" s="66"/>
      <c r="G6" s="106">
        <f>SUM(B6:E6)</f>
        <v>1732.85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>
        <v>6679.56</v>
      </c>
      <c r="J7" s="68">
        <f>G7-I7</f>
        <v>-6679.56</v>
      </c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11450</v>
      </c>
      <c r="D11" s="43" t="s">
        <v>143</v>
      </c>
      <c r="E11" s="43">
        <f>G11/B4</f>
        <v>1.0393585569164545</v>
      </c>
      <c r="F11" s="159"/>
      <c r="G11" s="44">
        <f>Tithe!D11</f>
        <v>11450</v>
      </c>
      <c r="H11" s="43">
        <v>1500</v>
      </c>
      <c r="I11" s="55">
        <f>H11-G11</f>
        <v>-9950</v>
      </c>
      <c r="J11" s="82">
        <f>Jan!I11+Feb!I11+Mar!I11+Apr!I11+May!I11+Jun!I11</f>
        <v>-10300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  <c r="M13" s="43" t="s">
        <v>1021</v>
      </c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</f>
        <v>2400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</f>
        <v>1200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</f>
        <v>1800</v>
      </c>
      <c r="K16" s="75"/>
    </row>
    <row r="17" spans="1:17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</f>
        <v>1200</v>
      </c>
      <c r="K17" s="75"/>
    </row>
    <row r="18" spans="1:17" s="43" customFormat="1" ht="15.95" customHeigh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</f>
        <v>300</v>
      </c>
      <c r="K18" s="75"/>
    </row>
    <row r="19" spans="1:17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</f>
        <v>1200</v>
      </c>
      <c r="K19" s="75"/>
    </row>
    <row r="20" spans="1:17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</f>
        <v>1800</v>
      </c>
      <c r="K20" s="75"/>
    </row>
    <row r="21" spans="1:17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7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</f>
        <v>0</v>
      </c>
      <c r="K22" s="75"/>
    </row>
    <row r="23" spans="1:17" s="43" customFormat="1" ht="15.95" customHeight="1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7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7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</f>
        <v>3000</v>
      </c>
      <c r="K25" s="75"/>
    </row>
    <row r="26" spans="1:17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</f>
        <v>1800</v>
      </c>
      <c r="K26" s="75"/>
    </row>
    <row r="27" spans="1:17" s="43" customFormat="1" ht="12.75" customHeight="1">
      <c r="A27" s="49"/>
      <c r="F27" s="159"/>
      <c r="G27" s="57"/>
      <c r="H27" s="57"/>
      <c r="I27" s="59"/>
      <c r="J27" s="70"/>
      <c r="K27" s="70"/>
    </row>
    <row r="28" spans="1:17" s="43" customFormat="1" ht="12.75" customHeight="1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-7500</v>
      </c>
      <c r="J28" s="58">
        <f>SUM(J11:J26)</f>
        <v>4400</v>
      </c>
      <c r="K28" s="76"/>
    </row>
    <row r="29" spans="1:17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7" s="43" customFormat="1" ht="12.75" customHeight="1" thickBot="1">
      <c r="A30" s="49" t="s">
        <v>149</v>
      </c>
      <c r="B30" s="49"/>
      <c r="F30" s="159"/>
      <c r="G30" s="79">
        <v>468</v>
      </c>
      <c r="H30" s="47"/>
      <c r="I30" s="47"/>
      <c r="J30" s="47"/>
      <c r="K30" s="76"/>
      <c r="M30" s="43" t="s">
        <v>1008</v>
      </c>
      <c r="Q30" s="43">
        <f>1640+3360</f>
        <v>5000</v>
      </c>
    </row>
    <row r="31" spans="1:17" s="43" customFormat="1" ht="12.75" customHeight="1">
      <c r="A31" s="89" t="s">
        <v>142</v>
      </c>
      <c r="B31" s="49"/>
      <c r="F31" s="159"/>
      <c r="G31" s="106">
        <f>B4-G11-G28+G30</f>
        <v>34.410000000001673</v>
      </c>
      <c r="H31" s="47"/>
      <c r="I31" s="47"/>
      <c r="J31" s="47"/>
      <c r="K31" s="76"/>
      <c r="L31" s="47"/>
      <c r="M31" s="43" t="s">
        <v>1009</v>
      </c>
      <c r="Q31" s="43">
        <f>1360+3080</f>
        <v>4440</v>
      </c>
    </row>
    <row r="32" spans="1:17" s="43" customFormat="1" ht="12.75" customHeight="1">
      <c r="A32" s="43" t="s">
        <v>318</v>
      </c>
      <c r="B32" s="89"/>
      <c r="C32" s="45"/>
      <c r="D32" s="45"/>
      <c r="E32" s="45"/>
      <c r="F32" s="163"/>
      <c r="G32" s="282">
        <f>G31-L46-M46-N46-O46-M44-M42</f>
        <v>-18151.070000000003</v>
      </c>
      <c r="H32" s="47"/>
      <c r="I32" s="47"/>
      <c r="J32" s="47"/>
      <c r="K32" s="76"/>
      <c r="L32" s="47"/>
    </row>
    <row r="33" spans="1:15" s="43" customFormat="1" ht="12.75" customHeight="1">
      <c r="A33" s="49" t="s">
        <v>359</v>
      </c>
      <c r="B33" s="49"/>
      <c r="F33" s="159"/>
      <c r="G33" s="69"/>
      <c r="H33" s="283"/>
      <c r="I33" s="47"/>
      <c r="J33" s="47"/>
      <c r="K33" s="76"/>
      <c r="L33" s="47"/>
      <c r="M33" s="43" t="s">
        <v>1047</v>
      </c>
    </row>
    <row r="34" spans="1:15" s="43" customFormat="1" ht="12.75" customHeight="1">
      <c r="G34" s="281"/>
      <c r="H34" s="47"/>
      <c r="I34" s="47"/>
      <c r="J34" s="47"/>
      <c r="K34" s="76"/>
      <c r="L34" s="47"/>
    </row>
    <row r="35" spans="1:15" s="43" customFormat="1" ht="12.7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5392.87</v>
      </c>
      <c r="N41" s="43">
        <f>N46+N44+N43+N42</f>
        <v>441.56000000000006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  <c r="M42" s="43">
        <v>-200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708</v>
      </c>
      <c r="O45" s="206" t="s">
        <v>216</v>
      </c>
    </row>
    <row r="46" spans="1:15" s="43" customFormat="1" ht="14.25" thickBot="1">
      <c r="D46"/>
      <c r="E46" s="162"/>
      <c r="F46" s="159"/>
      <c r="G46" s="84">
        <f ca="1">SUM(G48:G163)</f>
        <v>0</v>
      </c>
      <c r="H46" s="84">
        <f>SUM(H48:H163)</f>
        <v>4626.9500000000007</v>
      </c>
      <c r="I46" s="84">
        <f ca="1">H46-G46</f>
        <v>274.86000000000058</v>
      </c>
      <c r="J46" s="84">
        <f ca="1">SUM(J48:J163)</f>
        <v>23609.610000000004</v>
      </c>
      <c r="K46" s="77"/>
      <c r="L46" s="207">
        <f>SUM(L49:L163)</f>
        <v>12351.050000000003</v>
      </c>
      <c r="M46" s="208">
        <f>SUM(M49:M163)</f>
        <v>5492.87</v>
      </c>
      <c r="N46" s="209">
        <f>SUM(N49:N163)</f>
        <v>441.56000000000006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10565.11</v>
      </c>
      <c r="C47" s="157">
        <f>C48+C61+C65</f>
        <v>797.95000000000027</v>
      </c>
      <c r="D47" s="79">
        <f>D48+D61+D65</f>
        <v>-9767.16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10289.93</v>
      </c>
      <c r="C48" s="49">
        <f>SUM(H49:H57)</f>
        <v>457.95000000000027</v>
      </c>
      <c r="D48" s="49">
        <f>SUM(I49:I57)</f>
        <v>-9831.98</v>
      </c>
      <c r="I48" s="52"/>
      <c r="J48" s="80"/>
      <c r="K48" s="73"/>
      <c r="L48" s="210"/>
      <c r="M48" s="211"/>
      <c r="N48" s="211"/>
      <c r="O48" s="212"/>
    </row>
    <row r="49" spans="1:17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</f>
        <v>0</v>
      </c>
      <c r="K49" s="73"/>
      <c r="L49" s="210"/>
      <c r="M49" s="211"/>
      <c r="N49" s="211"/>
      <c r="O49" s="212"/>
    </row>
    <row r="50" spans="1:17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</f>
        <v>0</v>
      </c>
      <c r="K50" s="73"/>
      <c r="L50" s="210"/>
      <c r="M50" s="211"/>
      <c r="N50" s="211"/>
      <c r="O50" s="212"/>
    </row>
    <row r="51" spans="1:17" s="43" customFormat="1" ht="13.5">
      <c r="A51" s="49"/>
      <c r="B51" s="43" t="s">
        <v>281</v>
      </c>
      <c r="G51" s="43">
        <f t="shared" si="2"/>
        <v>165</v>
      </c>
      <c r="H51" s="43">
        <v>100</v>
      </c>
      <c r="I51" s="52">
        <f t="shared" si="1"/>
        <v>-65</v>
      </c>
      <c r="J51" s="80">
        <f>Jan!I51+Feb!I51+Mar!I51+Apr!I51+May!I51+Jun!I51</f>
        <v>435</v>
      </c>
      <c r="K51" s="73"/>
      <c r="L51" s="210">
        <v>165</v>
      </c>
      <c r="M51" s="211"/>
      <c r="N51" s="211"/>
      <c r="O51" s="212"/>
      <c r="Q51" s="43" t="s">
        <v>1011</v>
      </c>
    </row>
    <row r="52" spans="1:17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</f>
        <v>600</v>
      </c>
      <c r="K52" s="73"/>
      <c r="L52" s="210"/>
      <c r="M52" s="211"/>
      <c r="N52" s="211"/>
      <c r="O52" s="212"/>
    </row>
    <row r="53" spans="1:17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</f>
        <v>0</v>
      </c>
      <c r="K53" s="73"/>
      <c r="L53" s="210">
        <v>610</v>
      </c>
      <c r="M53" s="211"/>
      <c r="N53" s="211"/>
      <c r="O53" s="212"/>
    </row>
    <row r="54" spans="1:17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</f>
        <v>-121</v>
      </c>
      <c r="K54" s="73"/>
      <c r="L54" s="210"/>
      <c r="M54" s="211"/>
      <c r="N54" s="211"/>
      <c r="O54" s="212"/>
    </row>
    <row r="55" spans="1:17" s="43" customFormat="1" ht="13.5">
      <c r="A55" s="49"/>
      <c r="B55" s="43" t="s">
        <v>186</v>
      </c>
      <c r="G55" s="43">
        <f t="shared" si="2"/>
        <v>11636.68</v>
      </c>
      <c r="H55" s="43">
        <v>1636.68</v>
      </c>
      <c r="I55" s="52">
        <f t="shared" si="1"/>
        <v>-10000</v>
      </c>
      <c r="J55" s="80">
        <f>Jan!I55+Feb!I55+Mar!I55+Apr!I55+May!I55+Jun!I55</f>
        <v>-27363.32</v>
      </c>
      <c r="K55" s="73"/>
      <c r="L55" s="212">
        <f>1636.68+10000</f>
        <v>11636.68</v>
      </c>
      <c r="M55" s="211"/>
      <c r="N55" s="211"/>
      <c r="O55" s="212"/>
    </row>
    <row r="56" spans="1:17" s="43" customFormat="1" ht="13.5">
      <c r="A56" s="49"/>
      <c r="B56" s="43" t="s">
        <v>246</v>
      </c>
      <c r="G56" s="43">
        <f t="shared" si="2"/>
        <v>378.25</v>
      </c>
      <c r="H56" s="43">
        <v>431.27</v>
      </c>
      <c r="I56" s="52">
        <f t="shared" si="1"/>
        <v>53.019999999999982</v>
      </c>
      <c r="J56" s="80">
        <f>Jan!I56+Feb!I56+Mar!I56+Apr!I56+May!I56+Jun!I56</f>
        <v>676.4799999999999</v>
      </c>
      <c r="K56" s="73"/>
      <c r="L56" s="212">
        <v>378.25</v>
      </c>
      <c r="M56" s="211"/>
      <c r="N56" s="211"/>
      <c r="O56" s="212"/>
    </row>
    <row r="57" spans="1:17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Jan!I57+Feb!I57+Mar!I57+Apr!I57+May!I57+Jun!I57</f>
        <v>0</v>
      </c>
      <c r="K57" s="73"/>
      <c r="L57" s="212">
        <v>-2500</v>
      </c>
      <c r="M57" s="211"/>
      <c r="N57" s="211"/>
      <c r="O57" s="212"/>
    </row>
    <row r="58" spans="1:17" s="43" customFormat="1" ht="13.5">
      <c r="I58" s="52"/>
      <c r="J58" s="80"/>
      <c r="K58" s="73"/>
      <c r="L58" s="212"/>
      <c r="M58" s="211"/>
      <c r="N58" s="211"/>
      <c r="O58" s="212"/>
    </row>
    <row r="59" spans="1:17" s="43" customFormat="1" ht="13.5">
      <c r="I59" s="52"/>
      <c r="J59" s="80"/>
      <c r="K59" s="73"/>
      <c r="L59" s="212"/>
      <c r="M59" s="211"/>
      <c r="N59" s="211"/>
      <c r="O59" s="212"/>
    </row>
    <row r="60" spans="1:17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7" s="43" customFormat="1" ht="13.5">
      <c r="A61" s="49"/>
      <c r="B61" s="49">
        <f>SUM(G62:G63)</f>
        <v>217.18</v>
      </c>
      <c r="C61" s="49">
        <f>SUM(H62:H63)</f>
        <v>260</v>
      </c>
      <c r="D61" s="49">
        <f>C61-B61</f>
        <v>42.819999999999993</v>
      </c>
      <c r="I61" s="52"/>
      <c r="J61" s="80"/>
      <c r="K61" s="73"/>
      <c r="L61" s="212"/>
      <c r="M61" s="211"/>
      <c r="N61" s="211"/>
      <c r="O61" s="212"/>
    </row>
    <row r="62" spans="1:17" s="43" customFormat="1" ht="13.5">
      <c r="A62" s="49"/>
      <c r="B62" s="43" t="s">
        <v>881</v>
      </c>
      <c r="G62" s="43">
        <f t="shared" si="2"/>
        <v>110.51</v>
      </c>
      <c r="H62" s="43">
        <v>150</v>
      </c>
      <c r="I62" s="52">
        <f t="shared" ref="I62:I131" si="3">H62-G62</f>
        <v>39.489999999999995</v>
      </c>
      <c r="J62" s="80">
        <f>Jan!I62+Feb!I62+Mar!I62+Apr!I62+May!I62+Jun!I62</f>
        <v>159.97</v>
      </c>
      <c r="K62" s="73"/>
      <c r="L62" s="212"/>
      <c r="M62" s="211">
        <v>110.51</v>
      </c>
      <c r="N62" s="211"/>
      <c r="O62" s="212"/>
    </row>
    <row r="63" spans="1:17" s="43" customFormat="1" ht="13.5">
      <c r="A63" s="49"/>
      <c r="B63" s="43" t="s">
        <v>290</v>
      </c>
      <c r="D63" s="56"/>
      <c r="G63" s="43">
        <f t="shared" si="2"/>
        <v>106.67</v>
      </c>
      <c r="H63" s="43">
        <v>110</v>
      </c>
      <c r="I63" s="52">
        <f t="shared" si="3"/>
        <v>3.3299999999999983</v>
      </c>
      <c r="J63" s="80">
        <f>Jan!I63+Feb!I63+Mar!I63+Apr!I63+May!I63+Jun!I63</f>
        <v>126.86</v>
      </c>
      <c r="K63" s="73"/>
      <c r="L63" s="212"/>
      <c r="M63" s="211">
        <f>106.67</f>
        <v>106.67</v>
      </c>
      <c r="N63" s="211"/>
      <c r="O63" s="212"/>
    </row>
    <row r="64" spans="1:17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7" s="43" customFormat="1" ht="13.5">
      <c r="A65" s="49" t="s">
        <v>287</v>
      </c>
      <c r="B65" s="49">
        <f>SUM(G66:G68)</f>
        <v>58</v>
      </c>
      <c r="C65" s="49">
        <f>SUM(H66:H68)</f>
        <v>80</v>
      </c>
      <c r="D65" s="49">
        <f>C65-B65</f>
        <v>22</v>
      </c>
      <c r="I65" s="52"/>
      <c r="J65" s="80"/>
      <c r="K65" s="73"/>
      <c r="L65" s="212"/>
      <c r="M65" s="211"/>
      <c r="N65" s="211"/>
      <c r="O65" s="212"/>
    </row>
    <row r="66" spans="1:17" s="43" customFormat="1" ht="13.5">
      <c r="B66" s="43" t="s">
        <v>902</v>
      </c>
      <c r="G66" s="43">
        <f t="shared" si="2"/>
        <v>40</v>
      </c>
      <c r="H66" s="43">
        <v>30</v>
      </c>
      <c r="I66" s="52">
        <f t="shared" si="3"/>
        <v>-10</v>
      </c>
      <c r="J66" s="80">
        <f>Jan!I66+Feb!I66+Mar!I66+Apr!I66+May!I66+Jun!I66</f>
        <v>70</v>
      </c>
      <c r="K66" s="73"/>
      <c r="L66" s="212"/>
      <c r="M66" s="211">
        <f>20+20</f>
        <v>40</v>
      </c>
      <c r="N66" s="211"/>
      <c r="O66" s="212"/>
      <c r="Q66" s="43" t="s">
        <v>1022</v>
      </c>
    </row>
    <row r="67" spans="1:17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</f>
        <v>100.99</v>
      </c>
      <c r="K67" s="73"/>
      <c r="L67" s="212"/>
      <c r="M67" s="211"/>
      <c r="N67" s="211"/>
      <c r="O67" s="212"/>
    </row>
    <row r="68" spans="1:17" s="43" customFormat="1" ht="13.5">
      <c r="B68" s="43" t="s">
        <v>904</v>
      </c>
      <c r="D68" s="43" t="s">
        <v>901</v>
      </c>
      <c r="G68" s="43">
        <f t="shared" si="2"/>
        <v>18</v>
      </c>
      <c r="H68" s="43">
        <v>30</v>
      </c>
      <c r="I68" s="52">
        <f t="shared" si="3"/>
        <v>12</v>
      </c>
      <c r="J68" s="80">
        <f>Jan!I68+Feb!I68+Mar!I68+Apr!I68+May!I68+Jun!I68</f>
        <v>149</v>
      </c>
      <c r="K68" s="73"/>
      <c r="L68" s="212"/>
      <c r="M68" s="211">
        <f>2+1+1+2+12</f>
        <v>18</v>
      </c>
      <c r="N68" s="211"/>
      <c r="O68" s="212"/>
    </row>
    <row r="69" spans="1:17" s="43" customFormat="1" ht="13.5">
      <c r="I69" s="52"/>
      <c r="J69" s="80"/>
      <c r="K69" s="73"/>
      <c r="L69" s="212"/>
      <c r="M69" s="211"/>
      <c r="N69" s="211"/>
      <c r="O69" s="212"/>
    </row>
    <row r="70" spans="1:17" s="43" customFormat="1" ht="13.5">
      <c r="A70" s="49" t="s">
        <v>282</v>
      </c>
      <c r="B70" s="49">
        <f>SUM(G72:G73)</f>
        <v>60.14</v>
      </c>
      <c r="C70" s="49">
        <f>SUM(H71:H73)</f>
        <v>70</v>
      </c>
      <c r="D70" s="49">
        <f>C70-B70</f>
        <v>9.86</v>
      </c>
      <c r="I70" s="52"/>
      <c r="J70" s="80"/>
      <c r="K70" s="73"/>
      <c r="L70" s="212"/>
      <c r="M70" s="211"/>
      <c r="N70" s="211"/>
      <c r="O70" s="212"/>
    </row>
    <row r="71" spans="1:17" s="43" customFormat="1" ht="13.5">
      <c r="B71" s="43" t="s">
        <v>283</v>
      </c>
      <c r="G71" s="43">
        <f t="shared" si="2"/>
        <v>0</v>
      </c>
      <c r="H71" s="43">
        <v>25</v>
      </c>
      <c r="I71" s="52">
        <f t="shared" si="3"/>
        <v>25</v>
      </c>
      <c r="J71" s="80">
        <f>Jan!I71+Feb!I71+Mar!I71+Apr!I71+May!I71+Jun!I71</f>
        <v>-254.15000000000003</v>
      </c>
      <c r="K71" s="73"/>
      <c r="L71" s="212"/>
      <c r="M71" s="211"/>
      <c r="N71" s="211"/>
      <c r="O71" s="212"/>
    </row>
    <row r="72" spans="1:17" s="43" customFormat="1" ht="13.5">
      <c r="A72" s="49"/>
      <c r="B72" s="43" t="s">
        <v>284</v>
      </c>
      <c r="G72" s="43">
        <f t="shared" si="2"/>
        <v>0</v>
      </c>
      <c r="H72" s="43">
        <v>25</v>
      </c>
      <c r="I72" s="52">
        <f t="shared" si="3"/>
        <v>25</v>
      </c>
      <c r="J72" s="80">
        <f>Jan!I72+Feb!I72+Mar!I72+Apr!I72+May!I72+Jun!I72</f>
        <v>150</v>
      </c>
      <c r="K72" s="73"/>
      <c r="L72" s="212"/>
      <c r="M72" s="211"/>
      <c r="N72" s="211"/>
      <c r="O72" s="212"/>
    </row>
    <row r="73" spans="1:17" s="43" customFormat="1" ht="13.5">
      <c r="A73" s="49"/>
      <c r="B73" s="43" t="s">
        <v>289</v>
      </c>
      <c r="G73" s="43">
        <f t="shared" si="2"/>
        <v>60.14</v>
      </c>
      <c r="H73" s="43">
        <v>20</v>
      </c>
      <c r="I73" s="52">
        <f t="shared" si="3"/>
        <v>-40.14</v>
      </c>
      <c r="J73" s="80">
        <f>Jan!I73+Feb!I73+Mar!I73+Apr!I73+May!I73+Jun!I73</f>
        <v>32.94</v>
      </c>
      <c r="K73" s="73"/>
      <c r="L73" s="212"/>
      <c r="M73" s="211">
        <f>60.14</f>
        <v>60.14</v>
      </c>
      <c r="N73" s="211"/>
      <c r="O73" s="212"/>
      <c r="Q73" s="43" t="s">
        <v>1001</v>
      </c>
    </row>
    <row r="74" spans="1:17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7" s="43" customFormat="1" ht="13.5">
      <c r="A75" s="49" t="s">
        <v>285</v>
      </c>
      <c r="B75" s="43" t="s">
        <v>45</v>
      </c>
      <c r="G75" s="43">
        <f t="shared" si="2"/>
        <v>77.059999999999988</v>
      </c>
      <c r="H75" s="43">
        <v>75</v>
      </c>
      <c r="I75" s="52">
        <f t="shared" si="3"/>
        <v>-2.0599999999999881</v>
      </c>
      <c r="J75" s="80">
        <f>Jan!I75+Feb!I75+Mar!I75+Apr!I75+May!I75+Jun!I75</f>
        <v>75.860000000000014</v>
      </c>
      <c r="K75" s="73"/>
      <c r="L75" s="212"/>
      <c r="M75" s="211">
        <f>4.99+8.91+3+3.65+8.69+3.76+2.63+5.43+3.81+4+3.75+8+2.4+4.25+5.99+3.8</f>
        <v>77.059999999999988</v>
      </c>
      <c r="N75" s="211"/>
      <c r="O75" s="212"/>
    </row>
    <row r="76" spans="1:17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7" s="43" customFormat="1" ht="14.25" thickBot="1">
      <c r="A77" s="89" t="s">
        <v>291</v>
      </c>
      <c r="B77" s="187">
        <f>B80+B86+B91+B100+B105+B111+B117+B130+B133+B138+B141</f>
        <v>5951.9500000000007</v>
      </c>
      <c r="C77" s="187">
        <f>C80+C86+C91+C100+C105+C111+C117+C130+C133+C138+C141</f>
        <v>2849</v>
      </c>
      <c r="D77" s="187">
        <f>D80+D86+D91+D100+D105+D111+D117+D130+D133+D138+D141</f>
        <v>-3152.95</v>
      </c>
      <c r="I77" s="52"/>
      <c r="J77" s="80"/>
      <c r="K77" s="73"/>
      <c r="L77" s="212"/>
      <c r="M77" s="211"/>
      <c r="N77" s="211"/>
      <c r="O77" s="212"/>
    </row>
    <row r="78" spans="1:17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7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7" s="43" customFormat="1" ht="13.5">
      <c r="A80" s="49" t="s">
        <v>885</v>
      </c>
      <c r="B80" s="49">
        <f>SUM(G81:G85)</f>
        <v>213.70999999999998</v>
      </c>
      <c r="C80" s="49">
        <f>SUM(H81:H84)</f>
        <v>290</v>
      </c>
      <c r="D80" s="49">
        <f>C80-B80</f>
        <v>76.29000000000002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107.11</v>
      </c>
      <c r="H81" s="43">
        <v>100</v>
      </c>
      <c r="I81" s="52">
        <f t="shared" si="3"/>
        <v>-7.1099999999999994</v>
      </c>
      <c r="J81" s="80">
        <f>Jan!I81+Feb!I81+Mar!I81+Apr!I81+May!I81+Jun!I81</f>
        <v>89.91</v>
      </c>
      <c r="K81" s="73"/>
      <c r="L81" s="212">
        <v>107.11</v>
      </c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53.78</v>
      </c>
      <c r="H82" s="43">
        <v>60</v>
      </c>
      <c r="I82" s="52">
        <f t="shared" si="3"/>
        <v>6.2199999999999989</v>
      </c>
      <c r="J82" s="80">
        <f>Jan!I82+Feb!I82+Mar!I82+Apr!I82+May!I82+Jun!I82</f>
        <v>16.619999999999997</v>
      </c>
      <c r="K82" s="73"/>
      <c r="L82" s="212">
        <v>53.78</v>
      </c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24.41</v>
      </c>
      <c r="H83" s="43">
        <v>100</v>
      </c>
      <c r="I83" s="52">
        <f t="shared" si="3"/>
        <v>75.59</v>
      </c>
      <c r="J83" s="80">
        <f>Jan!I83+Feb!I83+Mar!I83+Apr!I83+May!I83+Jun!I83</f>
        <v>224.9</v>
      </c>
      <c r="K83" s="73"/>
      <c r="L83" s="212">
        <f>24.41</f>
        <v>24.41</v>
      </c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28.41</v>
      </c>
      <c r="H84" s="43">
        <v>30</v>
      </c>
      <c r="I84" s="52">
        <f t="shared" si="3"/>
        <v>1.5899999999999999</v>
      </c>
      <c r="J84" s="80">
        <f>Jan!I84+Feb!I84+Mar!I84+Apr!I84+May!I84+Jun!I84</f>
        <v>-22.2</v>
      </c>
      <c r="K84" s="73"/>
      <c r="L84" s="212">
        <v>28.41</v>
      </c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129.75</v>
      </c>
      <c r="C86" s="49">
        <f>SUM(H87:H89)</f>
        <v>336</v>
      </c>
      <c r="D86" s="49">
        <f>C86-B86</f>
        <v>206.25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Jan!I87+Feb!I87+Mar!I87+Apr!I87+May!I87+Jun!I87</f>
        <v>600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967</v>
      </c>
      <c r="G88" s="43">
        <f t="shared" si="2"/>
        <v>129.75</v>
      </c>
      <c r="H88" s="43">
        <v>200</v>
      </c>
      <c r="I88" s="52">
        <f t="shared" si="3"/>
        <v>70.25</v>
      </c>
      <c r="J88" s="80">
        <f>Jan!I88+Feb!I88+Mar!I88+Apr!I88+May!I88+Jun!I88</f>
        <v>628.75</v>
      </c>
      <c r="K88" s="73"/>
      <c r="L88" s="212">
        <v>129.75</v>
      </c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Jan!I89+Feb!I89+Mar!I89+Apr!I89+May!I89+Jun!I89</f>
        <v>216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Jan!I92+Feb!I92+Mar!I92+Apr!I92+May!I92+Jun!I92</f>
        <v>120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Jan!I93+Feb!I93+Mar!I93+Apr!I93+May!I93+Jun!I93</f>
        <v>30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Jan!I94+Feb!I94+Mar!I94+Apr!I94+May!I94+Jun!I94</f>
        <v>390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Jan!I95+Feb!I95+Mar!I95+Apr!I95+May!I95+Jun!I95</f>
        <v>90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Jan!I96+Feb!I96+Mar!I96+Apr!I96+May!I96+Jun!I96</f>
        <v>210</v>
      </c>
      <c r="K96" s="73"/>
      <c r="L96" s="212"/>
      <c r="M96" s="211"/>
      <c r="N96" s="211"/>
      <c r="O96" s="212"/>
    </row>
    <row r="97" spans="1:18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Jan!I97+Feb!I97+Mar!I97+Apr!I97+May!I97+Jun!I97</f>
        <v>156</v>
      </c>
      <c r="K97" s="73"/>
      <c r="L97" s="212"/>
      <c r="M97" s="211"/>
      <c r="N97" s="211"/>
      <c r="O97" s="212"/>
    </row>
    <row r="98" spans="1:18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Jan!I98+Feb!I98+Mar!I98+Apr!I98+May!I98+Jun!I98</f>
        <v>72</v>
      </c>
      <c r="K98" s="73"/>
      <c r="L98" s="212"/>
      <c r="M98" s="211"/>
      <c r="N98" s="211"/>
      <c r="O98" s="212"/>
    </row>
    <row r="99" spans="1:18" s="43" customFormat="1" ht="13.5">
      <c r="I99" s="52"/>
      <c r="J99" s="80"/>
      <c r="K99" s="73"/>
      <c r="L99" s="212"/>
      <c r="M99" s="211"/>
      <c r="N99" s="211"/>
      <c r="O99" s="212"/>
    </row>
    <row r="100" spans="1:18" s="43" customFormat="1" ht="13.5">
      <c r="A100" s="49" t="s">
        <v>108</v>
      </c>
      <c r="B100" s="49">
        <f>SUM(G102:G104)</f>
        <v>648.80999999999995</v>
      </c>
      <c r="C100" s="49">
        <f>SUM(H101:H103)</f>
        <v>170</v>
      </c>
      <c r="D100" s="49">
        <f>C100-B100</f>
        <v>-478.80999999999995</v>
      </c>
      <c r="I100" s="52"/>
      <c r="J100" s="80"/>
      <c r="K100" s="73"/>
      <c r="L100" s="212"/>
      <c r="M100" s="211"/>
      <c r="N100" s="211"/>
      <c r="O100" s="212"/>
    </row>
    <row r="101" spans="1:18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Jan!I101+Feb!I101+Mar!I101+Apr!I101+May!I101+Jun!I101</f>
        <v>360</v>
      </c>
      <c r="K101" s="73"/>
      <c r="L101" s="212"/>
      <c r="M101" s="211"/>
      <c r="N101" s="211"/>
      <c r="O101" s="212"/>
    </row>
    <row r="102" spans="1:18" s="43" customFormat="1" ht="13.5">
      <c r="B102" s="89" t="s">
        <v>645</v>
      </c>
      <c r="G102" s="43">
        <f t="shared" si="2"/>
        <v>648.80999999999995</v>
      </c>
      <c r="H102" s="43">
        <v>100</v>
      </c>
      <c r="I102" s="52">
        <f t="shared" si="3"/>
        <v>-548.80999999999995</v>
      </c>
      <c r="J102" s="80">
        <f>Jan!I102+Feb!I102+Mar!I102+Apr!I102+May!I102+Jun!I102</f>
        <v>-629.68999999999994</v>
      </c>
      <c r="K102" s="73"/>
      <c r="L102" s="212">
        <v>300</v>
      </c>
      <c r="M102" s="211">
        <v>348.81</v>
      </c>
      <c r="N102" s="211"/>
      <c r="O102" s="212"/>
      <c r="Q102" s="105">
        <v>42398</v>
      </c>
      <c r="R102" s="43" t="s">
        <v>1023</v>
      </c>
    </row>
    <row r="103" spans="1:18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Jan!I103+Feb!I103+Mar!I103+Apr!I103+May!I103+Jun!I103</f>
        <v>60</v>
      </c>
      <c r="K103" s="73"/>
      <c r="L103" s="212"/>
      <c r="M103" s="211"/>
      <c r="N103" s="211"/>
      <c r="O103" s="212"/>
    </row>
    <row r="104" spans="1:18" s="43" customFormat="1" ht="13.5">
      <c r="I104" s="52"/>
      <c r="J104" s="80"/>
      <c r="K104" s="73"/>
      <c r="L104" s="212"/>
      <c r="M104" s="211"/>
      <c r="N104" s="211"/>
      <c r="O104" s="212"/>
    </row>
    <row r="105" spans="1:18" s="43" customFormat="1" ht="13.5">
      <c r="A105" s="49" t="s">
        <v>44</v>
      </c>
      <c r="B105" s="49">
        <f>SUM(G107:G109)</f>
        <v>24.01</v>
      </c>
      <c r="C105" s="49">
        <f>SUM(H106:H108)</f>
        <v>200</v>
      </c>
      <c r="D105" s="49">
        <f>C105-B105</f>
        <v>175.99</v>
      </c>
      <c r="I105" s="52"/>
      <c r="J105" s="80"/>
      <c r="K105" s="73"/>
      <c r="L105" s="212"/>
      <c r="M105" s="211"/>
      <c r="N105" s="211"/>
      <c r="O105" s="212"/>
    </row>
    <row r="106" spans="1:18" s="43" customFormat="1" ht="13.5">
      <c r="B106" s="43" t="s">
        <v>297</v>
      </c>
      <c r="G106" s="43">
        <f t="shared" ref="G106:G160" si="4">SUM(L106:O106)</f>
        <v>96.9</v>
      </c>
      <c r="H106" s="43">
        <v>100</v>
      </c>
      <c r="I106" s="52">
        <f t="shared" si="3"/>
        <v>3.0999999999999943</v>
      </c>
      <c r="J106" s="80">
        <f>Jan!I106+Feb!I106+Mar!I106+Apr!I106+May!I106+Jun!I106</f>
        <v>387.14</v>
      </c>
      <c r="K106" s="73"/>
      <c r="L106" s="212"/>
      <c r="M106" s="211">
        <f>96.9</f>
        <v>96.9</v>
      </c>
      <c r="N106" s="211"/>
      <c r="O106" s="212"/>
      <c r="Q106" s="43" t="s">
        <v>1002</v>
      </c>
    </row>
    <row r="107" spans="1:18" s="43" customFormat="1" ht="13.5">
      <c r="B107" s="43" t="s">
        <v>644</v>
      </c>
      <c r="G107" s="43">
        <f t="shared" si="4"/>
        <v>0</v>
      </c>
      <c r="H107" s="43">
        <v>25</v>
      </c>
      <c r="I107" s="52">
        <f t="shared" si="3"/>
        <v>25</v>
      </c>
      <c r="J107" s="80">
        <f>Jan!I107+Feb!I107+Mar!I107+Apr!I107+May!I107+Jun!I107</f>
        <v>-401.5</v>
      </c>
      <c r="K107" s="73"/>
      <c r="L107" s="212"/>
      <c r="M107" s="211"/>
      <c r="N107" s="211"/>
      <c r="O107" s="212"/>
    </row>
    <row r="108" spans="1:18" s="43" customFormat="1" ht="13.5">
      <c r="B108" s="43" t="s">
        <v>897</v>
      </c>
      <c r="D108" s="43" t="s">
        <v>899</v>
      </c>
      <c r="G108" s="43">
        <f t="shared" si="4"/>
        <v>0</v>
      </c>
      <c r="H108" s="43">
        <v>75</v>
      </c>
      <c r="I108" s="52">
        <f t="shared" si="3"/>
        <v>75</v>
      </c>
      <c r="J108" s="80">
        <f>Jan!I108+Feb!I108+Mar!I108+Apr!I108+May!I108+Jun!I108</f>
        <v>376.89</v>
      </c>
      <c r="K108" s="73"/>
      <c r="L108" s="212"/>
      <c r="M108" s="211"/>
      <c r="N108" s="211"/>
      <c r="O108" s="212"/>
    </row>
    <row r="109" spans="1:18" s="43" customFormat="1" ht="13.5">
      <c r="B109" s="43" t="s">
        <v>898</v>
      </c>
      <c r="D109" s="43" t="s">
        <v>900</v>
      </c>
      <c r="G109" s="43">
        <f t="shared" si="4"/>
        <v>24.01</v>
      </c>
      <c r="H109" s="43">
        <v>25</v>
      </c>
      <c r="I109" s="52">
        <f t="shared" si="3"/>
        <v>0.98999999999999844</v>
      </c>
      <c r="J109" s="80">
        <f>Jan!I109+Feb!I109+Mar!I109+Apr!I109+May!I109+Jun!I109</f>
        <v>42.769999999999996</v>
      </c>
      <c r="K109" s="73"/>
      <c r="L109" s="212"/>
      <c r="M109" s="211"/>
      <c r="N109" s="211">
        <f>24.01</f>
        <v>24.01</v>
      </c>
      <c r="O109" s="212"/>
    </row>
    <row r="110" spans="1:18" s="43" customFormat="1" ht="13.5">
      <c r="I110" s="52"/>
      <c r="J110" s="80"/>
      <c r="K110" s="73"/>
      <c r="L110" s="212"/>
      <c r="M110" s="211"/>
      <c r="N110" s="211"/>
      <c r="O110" s="212"/>
    </row>
    <row r="111" spans="1:18" s="43" customFormat="1" ht="13.5">
      <c r="A111" s="49" t="s">
        <v>46</v>
      </c>
      <c r="B111" s="49">
        <f>SUM(G113:G116)</f>
        <v>3601.61</v>
      </c>
      <c r="C111" s="49">
        <f>SUM(H112:H114)</f>
        <v>415</v>
      </c>
      <c r="D111" s="49">
        <f>C111-B111</f>
        <v>-3186.61</v>
      </c>
      <c r="I111" s="52"/>
      <c r="J111" s="80"/>
      <c r="K111" s="73"/>
      <c r="L111" s="212"/>
      <c r="M111" s="211"/>
      <c r="N111" s="211"/>
      <c r="O111" s="212"/>
    </row>
    <row r="112" spans="1:18" s="43" customFormat="1" ht="13.5">
      <c r="B112" s="43" t="s">
        <v>324</v>
      </c>
      <c r="D112" s="43" t="s">
        <v>47</v>
      </c>
      <c r="G112" s="43">
        <f t="shared" si="4"/>
        <v>1089.22</v>
      </c>
      <c r="H112" s="43">
        <v>150</v>
      </c>
      <c r="I112" s="52">
        <f t="shared" si="3"/>
        <v>-939.22</v>
      </c>
      <c r="J112" s="80">
        <f>Jan!I112+Feb!I112+Mar!I112+Apr!I112+May!I112+Jun!I112</f>
        <v>-418.22</v>
      </c>
      <c r="K112" s="73"/>
      <c r="L112" s="212"/>
      <c r="M112" s="211">
        <f>1033.22+56</f>
        <v>1089.22</v>
      </c>
      <c r="N112" s="211"/>
      <c r="O112" s="212"/>
      <c r="Q112" s="43" t="s">
        <v>1019</v>
      </c>
    </row>
    <row r="113" spans="1:20" s="43" customFormat="1" ht="13.5">
      <c r="A113" s="49"/>
      <c r="B113" s="43" t="s">
        <v>323</v>
      </c>
      <c r="G113" s="43">
        <f t="shared" si="4"/>
        <v>341.61</v>
      </c>
      <c r="H113" s="43">
        <v>215</v>
      </c>
      <c r="I113" s="52">
        <f t="shared" si="3"/>
        <v>-126.61000000000001</v>
      </c>
      <c r="J113" s="80">
        <f>Jan!I113+Feb!I113+Mar!I113+Apr!I113+May!I113+Jun!I113</f>
        <v>154.28999999999996</v>
      </c>
      <c r="K113" s="73"/>
      <c r="L113" s="212">
        <f>220+21.61+100</f>
        <v>341.61</v>
      </c>
      <c r="M113" s="211"/>
      <c r="N113" s="211"/>
      <c r="O113" s="212"/>
      <c r="Q113" s="43" t="s">
        <v>1046</v>
      </c>
      <c r="T113" s="43" t="s">
        <v>1004</v>
      </c>
    </row>
    <row r="114" spans="1:20" s="43" customFormat="1" ht="13.5">
      <c r="A114" s="49"/>
      <c r="B114" s="43" t="s">
        <v>317</v>
      </c>
      <c r="G114" s="43">
        <f t="shared" si="4"/>
        <v>3260</v>
      </c>
      <c r="H114" s="43">
        <v>50</v>
      </c>
      <c r="I114" s="52">
        <f t="shared" si="3"/>
        <v>-3210</v>
      </c>
      <c r="J114" s="80">
        <f>Jan!I114+Feb!I114+Mar!I114+Apr!I114+May!I114+Jun!I114</f>
        <v>-6603.5300000000007</v>
      </c>
      <c r="K114" s="73"/>
      <c r="L114" s="212">
        <f>120+60</f>
        <v>180</v>
      </c>
      <c r="M114" s="211">
        <v>3080</v>
      </c>
      <c r="N114" s="211"/>
      <c r="O114" s="212"/>
      <c r="Q114" s="43" t="s">
        <v>993</v>
      </c>
    </row>
    <row r="115" spans="1:20" s="43" customFormat="1" ht="13.5">
      <c r="A115" s="49"/>
      <c r="B115" s="43" t="s">
        <v>907</v>
      </c>
      <c r="G115" s="43">
        <f t="shared" si="4"/>
        <v>0</v>
      </c>
      <c r="H115" s="43">
        <v>100</v>
      </c>
      <c r="I115" s="52">
        <f t="shared" si="3"/>
        <v>100</v>
      </c>
      <c r="J115" s="80">
        <f>Jan!I115+Feb!I115+Mar!I115+Apr!I115+May!I115+Jun!I115</f>
        <v>600</v>
      </c>
      <c r="K115" s="73"/>
      <c r="L115" s="212"/>
      <c r="M115" s="211"/>
      <c r="N115" s="211"/>
      <c r="O115" s="212"/>
    </row>
    <row r="116" spans="1:20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20" s="43" customFormat="1" ht="13.5">
      <c r="A117" s="49" t="s">
        <v>41</v>
      </c>
      <c r="B117" s="49">
        <f>SUM(G119:G129)</f>
        <v>834.06</v>
      </c>
      <c r="C117" s="49">
        <f>SUM(H118:H128)</f>
        <v>820</v>
      </c>
      <c r="D117" s="49">
        <f>C117-B117</f>
        <v>-14.059999999999945</v>
      </c>
      <c r="I117" s="52"/>
      <c r="J117" s="80"/>
      <c r="K117" s="73"/>
      <c r="L117" s="212"/>
      <c r="M117" s="211"/>
      <c r="N117" s="211"/>
      <c r="O117" s="212"/>
    </row>
    <row r="118" spans="1:20" s="43" customFormat="1" ht="13.5">
      <c r="B118" s="43" t="s">
        <v>42</v>
      </c>
      <c r="G118" s="43">
        <f t="shared" si="4"/>
        <v>100</v>
      </c>
      <c r="H118" s="43">
        <v>100</v>
      </c>
      <c r="I118" s="52">
        <f t="shared" si="3"/>
        <v>0</v>
      </c>
      <c r="J118" s="80">
        <f>Jan!I118+Feb!I118+Mar!I118+Apr!I118+May!I118+Jun!I118</f>
        <v>-493</v>
      </c>
      <c r="K118" s="73"/>
      <c r="L118" s="212">
        <v>100</v>
      </c>
      <c r="M118" s="211"/>
      <c r="N118" s="211"/>
      <c r="O118" s="212"/>
      <c r="Q118" s="105">
        <v>42398</v>
      </c>
      <c r="R118" s="105"/>
    </row>
    <row r="119" spans="1:20" s="43" customFormat="1" ht="13.5">
      <c r="B119" s="43" t="s">
        <v>908</v>
      </c>
      <c r="G119" s="43">
        <f t="shared" si="4"/>
        <v>149.03</v>
      </c>
      <c r="H119" s="43">
        <v>100</v>
      </c>
      <c r="I119" s="52">
        <f t="shared" si="3"/>
        <v>-49.03</v>
      </c>
      <c r="J119" s="80">
        <f>Jan!I119+Feb!I119+Mar!I119+Apr!I119+May!I119+Jun!I119</f>
        <v>12.489999999999995</v>
      </c>
      <c r="K119" s="73"/>
      <c r="L119" s="212">
        <v>100</v>
      </c>
      <c r="M119" s="211">
        <f>17.48+6.4+15.83+5.43+3.89</f>
        <v>49.03</v>
      </c>
      <c r="N119" s="211"/>
      <c r="O119" s="212"/>
      <c r="Q119" s="105">
        <v>42398</v>
      </c>
    </row>
    <row r="120" spans="1:20" s="43" customFormat="1" ht="14.25" thickBot="1">
      <c r="B120" s="43" t="s">
        <v>304</v>
      </c>
      <c r="G120" s="43">
        <f t="shared" si="4"/>
        <v>628.73</v>
      </c>
      <c r="H120" s="43">
        <v>500</v>
      </c>
      <c r="I120" s="52">
        <f t="shared" si="3"/>
        <v>-128.73000000000002</v>
      </c>
      <c r="J120" s="80">
        <f>Jan!I120+Feb!I120+Mar!I120+Apr!I120+May!I120+Jun!I120</f>
        <v>355.17999999999995</v>
      </c>
      <c r="K120" s="73"/>
      <c r="L120" s="212">
        <f>35.84+72.02+42.49</f>
        <v>150.35</v>
      </c>
      <c r="M120" s="211">
        <f>26.07+(3.38*2+28)</f>
        <v>60.83</v>
      </c>
      <c r="N120" s="211">
        <f>1.73+61.95+15.43+66.79+69.62+41.01+33.53+42.23+85.26</f>
        <v>417.55000000000007</v>
      </c>
      <c r="O120" s="212"/>
      <c r="Q120" s="43" t="s">
        <v>1007</v>
      </c>
    </row>
    <row r="121" spans="1:20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20" s="43" customFormat="1" ht="13.5">
      <c r="B122" s="43" t="s">
        <v>164</v>
      </c>
      <c r="G122" s="43">
        <f t="shared" si="4"/>
        <v>56.300000000000004</v>
      </c>
      <c r="H122" s="43">
        <v>50</v>
      </c>
      <c r="I122" s="52">
        <f t="shared" si="3"/>
        <v>-6.3000000000000043</v>
      </c>
      <c r="J122" s="80">
        <f>Jan!I122+Feb!I122+Mar!I122+Apr!I122+May!I122+Jun!I122</f>
        <v>288.79000000000002</v>
      </c>
      <c r="K122" s="73"/>
      <c r="L122" s="212">
        <f>(59.64-21.61)+7.67</f>
        <v>45.7</v>
      </c>
      <c r="M122" s="211">
        <f>(45.36-34.76)</f>
        <v>10.600000000000001</v>
      </c>
      <c r="N122" s="211"/>
      <c r="O122" s="212"/>
      <c r="Q122" s="43" t="s">
        <v>1005</v>
      </c>
    </row>
    <row r="123" spans="1:20" s="43" customFormat="1" ht="14.25" thickBot="1">
      <c r="B123" s="43" t="s">
        <v>43</v>
      </c>
      <c r="G123" s="43">
        <f t="shared" si="4"/>
        <v>0</v>
      </c>
      <c r="H123" s="43">
        <v>50</v>
      </c>
      <c r="I123" s="52">
        <f t="shared" si="3"/>
        <v>50</v>
      </c>
      <c r="J123" s="80">
        <f>Jan!I123+Feb!I123+Mar!I123+Apr!I123+May!I123+Jun!I123</f>
        <v>79.279999999999987</v>
      </c>
      <c r="K123" s="73"/>
      <c r="L123" s="212"/>
      <c r="M123" s="211"/>
      <c r="N123" s="211"/>
      <c r="O123" s="212"/>
    </row>
    <row r="124" spans="1:20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20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20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  <c r="Q126" s="105"/>
    </row>
    <row r="127" spans="1:20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20" s="43" customFormat="1" ht="13.5">
      <c r="B128" s="43" t="s">
        <v>303</v>
      </c>
      <c r="G128" s="43">
        <f t="shared" si="4"/>
        <v>0</v>
      </c>
      <c r="H128" s="43">
        <v>20</v>
      </c>
      <c r="I128" s="52">
        <f t="shared" si="3"/>
        <v>20</v>
      </c>
      <c r="J128" s="80">
        <f>Jan!I128+Feb!I128+Mar!I128+Apr!I128+May!I128+Jun!I128</f>
        <v>46.930000000000007</v>
      </c>
      <c r="K128" s="73"/>
      <c r="L128" s="212"/>
      <c r="M128" s="211"/>
      <c r="N128" s="211"/>
      <c r="O128" s="212"/>
    </row>
    <row r="129" spans="1:17" s="43" customFormat="1" ht="13.5">
      <c r="I129" s="52"/>
      <c r="J129" s="80"/>
      <c r="K129" s="73"/>
      <c r="L129" s="212"/>
      <c r="M129" s="211"/>
      <c r="N129" s="211"/>
      <c r="O129" s="212"/>
    </row>
    <row r="130" spans="1:17" s="43" customFormat="1" ht="14.2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  <c r="Q130" s="129"/>
    </row>
    <row r="131" spans="1:17" s="43" customFormat="1" ht="13.5">
      <c r="B131" s="43" t="s">
        <v>53</v>
      </c>
      <c r="G131" s="43">
        <f t="shared" si="4"/>
        <v>60.1</v>
      </c>
      <c r="H131" s="43">
        <v>50</v>
      </c>
      <c r="I131" s="52">
        <f t="shared" si="3"/>
        <v>-10.100000000000001</v>
      </c>
      <c r="J131" s="80">
        <f>Jan!I131+Feb!I131+Mar!I131+Apr!I131+May!I131+Jun!I131</f>
        <v>189.98</v>
      </c>
      <c r="K131" s="73"/>
      <c r="L131" s="212"/>
      <c r="M131" s="211">
        <v>60.1</v>
      </c>
      <c r="N131" s="211"/>
      <c r="O131" s="212"/>
      <c r="Q131" s="43" t="s">
        <v>1003</v>
      </c>
    </row>
    <row r="132" spans="1:17" s="43" customFormat="1" ht="13.5">
      <c r="I132" s="52"/>
      <c r="J132" s="80"/>
      <c r="K132" s="73"/>
      <c r="L132" s="212"/>
      <c r="M132" s="211"/>
      <c r="N132" s="211"/>
      <c r="O132" s="212"/>
    </row>
    <row r="133" spans="1:17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7" s="43" customFormat="1" ht="13.5">
      <c r="A134" s="49"/>
      <c r="B134" s="43" t="s">
        <v>910</v>
      </c>
      <c r="C134" s="49"/>
      <c r="D134" s="49"/>
      <c r="G134" s="43">
        <f t="shared" si="4"/>
        <v>225</v>
      </c>
      <c r="H134" s="43">
        <v>100</v>
      </c>
      <c r="I134" s="52">
        <f t="shared" ref="I134:I163" si="5">H134-G134</f>
        <v>-125</v>
      </c>
      <c r="J134" s="80">
        <f>Jan!I134+Feb!I134+Mar!I134+Apr!I134+May!I134+Jun!I134</f>
        <v>347</v>
      </c>
      <c r="K134" s="73"/>
      <c r="L134" s="212"/>
      <c r="M134" s="211">
        <f>225</f>
        <v>225</v>
      </c>
      <c r="N134" s="211"/>
      <c r="O134" s="212"/>
      <c r="Q134" s="43" t="s">
        <v>1015</v>
      </c>
    </row>
    <row r="135" spans="1:17" s="43" customFormat="1" ht="13.5">
      <c r="B135" s="43" t="s">
        <v>305</v>
      </c>
      <c r="G135" s="43">
        <f t="shared" si="4"/>
        <v>60</v>
      </c>
      <c r="H135" s="43">
        <v>100</v>
      </c>
      <c r="I135" s="52">
        <f t="shared" si="5"/>
        <v>40</v>
      </c>
      <c r="J135" s="80">
        <f>Jan!I135+Feb!I135+Mar!I135+Apr!I135+May!I135+Jun!I135</f>
        <v>515.21</v>
      </c>
      <c r="K135" s="73"/>
      <c r="L135" s="212"/>
      <c r="M135" s="211">
        <f>60</f>
        <v>60</v>
      </c>
      <c r="N135" s="211"/>
      <c r="O135" s="212"/>
      <c r="Q135" s="43" t="s">
        <v>1020</v>
      </c>
    </row>
    <row r="136" spans="1:17" s="43" customFormat="1" ht="13.5">
      <c r="B136" s="43" t="s">
        <v>306</v>
      </c>
      <c r="G136" s="43">
        <f t="shared" si="4"/>
        <v>0</v>
      </c>
      <c r="H136" s="43">
        <v>30</v>
      </c>
      <c r="I136" s="52">
        <f t="shared" si="5"/>
        <v>30</v>
      </c>
      <c r="J136" s="80">
        <f>Jan!I136+Feb!I136+Mar!I136+Apr!I136+May!I136+Jun!I136</f>
        <v>178.37</v>
      </c>
      <c r="K136" s="73"/>
      <c r="L136" s="212"/>
      <c r="M136" s="211"/>
      <c r="N136" s="211"/>
      <c r="O136" s="212"/>
    </row>
    <row r="137" spans="1:17" s="43" customFormat="1" ht="13.5">
      <c r="I137" s="52"/>
      <c r="J137" s="80"/>
      <c r="K137" s="73"/>
      <c r="L137" s="212"/>
      <c r="M137" s="211"/>
      <c r="N137" s="211"/>
      <c r="O137" s="212"/>
    </row>
    <row r="138" spans="1:17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7" s="43" customFormat="1" ht="13.5">
      <c r="B139" s="43" t="s">
        <v>911</v>
      </c>
      <c r="G139" s="43">
        <f t="shared" si="4"/>
        <v>0</v>
      </c>
      <c r="H139" s="43">
        <v>10</v>
      </c>
      <c r="I139" s="52">
        <f t="shared" si="5"/>
        <v>10</v>
      </c>
      <c r="J139" s="80">
        <f>Jan!I139+Feb!I139+Mar!I139+Apr!I139+May!I139+Jun!I139</f>
        <v>34.5</v>
      </c>
      <c r="K139" s="73"/>
      <c r="L139" s="212"/>
      <c r="M139" s="211"/>
      <c r="N139" s="211"/>
      <c r="O139" s="212"/>
    </row>
    <row r="140" spans="1:17" s="43" customFormat="1" ht="13.5">
      <c r="I140" s="52"/>
      <c r="J140" s="80"/>
      <c r="K140" s="73"/>
      <c r="L140" s="212"/>
      <c r="M140" s="211"/>
      <c r="N140" s="211"/>
      <c r="O140" s="212"/>
    </row>
    <row r="141" spans="1:17" s="43" customFormat="1" ht="13.5">
      <c r="A141" s="49" t="s">
        <v>136</v>
      </c>
      <c r="B141" s="49">
        <f>SUM(G143:G144)</f>
        <v>500</v>
      </c>
      <c r="C141" s="49">
        <f>SUM(H142:H143)</f>
        <v>250</v>
      </c>
      <c r="D141" s="49">
        <f>C141-B141</f>
        <v>-250</v>
      </c>
      <c r="I141" s="52"/>
      <c r="J141" s="80"/>
      <c r="K141" s="73"/>
      <c r="L141" s="212"/>
      <c r="M141" s="211"/>
      <c r="N141" s="211"/>
      <c r="O141" s="212"/>
    </row>
    <row r="142" spans="1:17" s="43" customFormat="1" ht="13.5">
      <c r="B142" s="43" t="s">
        <v>50</v>
      </c>
      <c r="G142" s="43">
        <f t="shared" si="4"/>
        <v>0</v>
      </c>
      <c r="H142" s="43">
        <v>150</v>
      </c>
      <c r="I142" s="52">
        <f t="shared" si="5"/>
        <v>150</v>
      </c>
      <c r="J142" s="80">
        <f>Jan!I142+Feb!I142+Mar!I142+Apr!I142+May!I142+Jun!I142</f>
        <v>390.26</v>
      </c>
      <c r="K142" s="73"/>
      <c r="L142" s="212"/>
      <c r="M142" s="211"/>
      <c r="N142" s="211"/>
      <c r="O142" s="212"/>
    </row>
    <row r="143" spans="1:17" s="43" customFormat="1" ht="13.5">
      <c r="B143" s="43" t="s">
        <v>51</v>
      </c>
      <c r="D143" s="43" t="s">
        <v>137</v>
      </c>
      <c r="G143" s="43">
        <f t="shared" si="4"/>
        <v>500</v>
      </c>
      <c r="H143" s="43">
        <v>100</v>
      </c>
      <c r="I143" s="52">
        <f t="shared" si="5"/>
        <v>-400</v>
      </c>
      <c r="J143" s="80">
        <f>Jan!I143+Feb!I143+Mar!I143+Apr!I143+May!I143+Jun!I143</f>
        <v>34.759999999999991</v>
      </c>
      <c r="K143" s="73"/>
      <c r="L143" s="212">
        <v>500</v>
      </c>
      <c r="M143" s="211"/>
      <c r="N143" s="211"/>
      <c r="O143" s="212"/>
      <c r="Q143" s="43" t="s">
        <v>1017</v>
      </c>
    </row>
    <row r="144" spans="1:17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 ca="1">SUM(G149:G163)</f>
        <v>50</v>
      </c>
      <c r="C147" s="126">
        <f>SUM(H148:H163)</f>
        <v>610</v>
      </c>
      <c r="D147" s="126">
        <f ca="1">C147-B147</f>
        <v>560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4"/>
        <v>0</v>
      </c>
      <c r="H149" s="43">
        <v>100</v>
      </c>
      <c r="I149" s="52">
        <f t="shared" si="5"/>
        <v>100</v>
      </c>
      <c r="J149" s="80">
        <f>Jan!I149+Feb!I149+Mar!I149+Apr!I149+May!I149+Jun!I149</f>
        <v>260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4"/>
        <v>0</v>
      </c>
      <c r="H150" s="43">
        <v>100</v>
      </c>
      <c r="I150" s="52">
        <f t="shared" si="5"/>
        <v>100</v>
      </c>
      <c r="J150" s="80">
        <f>Jan!I150+Feb!I150+Mar!I150+Apr!I150+May!I150+Jun!I150</f>
        <v>600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4"/>
        <v>0</v>
      </c>
      <c r="H151" s="43">
        <v>30</v>
      </c>
      <c r="I151" s="52">
        <f t="shared" si="5"/>
        <v>30</v>
      </c>
      <c r="J151" s="80">
        <f>Jan!I151+Feb!I151+Mar!I151+Apr!I151+May!I151+Jun!I151</f>
        <v>180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4"/>
        <v>0</v>
      </c>
      <c r="H152" s="43">
        <v>50</v>
      </c>
      <c r="I152" s="52">
        <f t="shared" si="5"/>
        <v>50</v>
      </c>
      <c r="J152" s="80">
        <f>Jan!I152+Feb!I152+Mar!I152+Apr!I152+May!I152+Jun!I152</f>
        <v>300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80">
        <f>Jan!I153+Feb!I153+Mar!I153+Apr!I153+May!I153+Jun!I153</f>
        <v>60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0</v>
      </c>
      <c r="H156" s="43">
        <v>30</v>
      </c>
      <c r="I156" s="52">
        <f t="shared" si="5"/>
        <v>30</v>
      </c>
      <c r="J156" s="80">
        <f>Jan!I156+Feb!I156+Mar!I156+Apr!I156+May!I156+Jun!I156</f>
        <v>125.55</v>
      </c>
      <c r="L156" s="212"/>
      <c r="M156" s="211"/>
      <c r="N156" s="211"/>
      <c r="O156" s="212"/>
    </row>
    <row r="157" spans="1:15" ht="14.25" thickBot="1">
      <c r="A157" s="79">
        <f ca="1">SUM(G156:G160)</f>
        <v>0</v>
      </c>
      <c r="B157" s="43" t="s">
        <v>308</v>
      </c>
      <c r="C157" s="43"/>
      <c r="D157" s="43"/>
      <c r="E157" s="43"/>
      <c r="F157" s="43"/>
      <c r="G157" s="43">
        <f ca="1">SUM(G156:G160)</f>
        <v>0</v>
      </c>
      <c r="H157" s="43">
        <v>30</v>
      </c>
      <c r="I157" s="52">
        <f t="shared" ca="1" si="5"/>
        <v>30</v>
      </c>
      <c r="J157" s="80">
        <f ca="1">Jan!I157+Feb!I157+Mar!I157+Apr!I157+May!I157+Jun!I157</f>
        <v>180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80">
        <f>Jan!I158+Feb!I158+Mar!I158+Apr!I158+May!I158+Jun!I158</f>
        <v>180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80">
        <f>Jan!I159+Feb!I159+Mar!I159+Apr!I159+May!I159+Jun!I159</f>
        <v>180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4"/>
        <v>0</v>
      </c>
      <c r="H160" s="43">
        <v>100</v>
      </c>
      <c r="I160" s="52">
        <f t="shared" si="5"/>
        <v>100</v>
      </c>
      <c r="J160" s="80">
        <f>Jan!I160+Feb!I160+Mar!I160+Apr!I160+May!I160+Jun!I160</f>
        <v>-900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5"/>
        <v>100</v>
      </c>
      <c r="J163" s="80">
        <f>Jan!I163+Feb!I163+Mar!I163+Apr!I163+May!I163+Jun!I163</f>
        <v>600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3"/>
  <sheetViews>
    <sheetView topLeftCell="B36" zoomScale="84" zoomScaleNormal="84" workbookViewId="0">
      <selection activeCell="M75" sqref="M75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7">
      <c r="A1" s="62" t="s">
        <v>102</v>
      </c>
      <c r="B1" s="63">
        <v>2016</v>
      </c>
      <c r="C1" s="63"/>
      <c r="L1" s="64" t="s">
        <v>327</v>
      </c>
    </row>
    <row r="2" spans="1:17">
      <c r="A2" s="62" t="s">
        <v>100</v>
      </c>
      <c r="B2" s="64" t="s">
        <v>12</v>
      </c>
      <c r="C2" s="64"/>
      <c r="M2" s="64"/>
    </row>
    <row r="3" spans="1:17">
      <c r="B3" s="56" t="s">
        <v>77</v>
      </c>
      <c r="M3" s="64"/>
      <c r="O3"/>
      <c r="P3"/>
      <c r="Q3"/>
    </row>
    <row r="4" spans="1:17">
      <c r="A4" s="62" t="s">
        <v>4</v>
      </c>
      <c r="B4" s="67">
        <f>SUM(G5:G8)</f>
        <v>9283.57</v>
      </c>
      <c r="C4" s="67"/>
      <c r="G4" s="56" t="s">
        <v>28</v>
      </c>
      <c r="L4" s="68"/>
      <c r="O4"/>
      <c r="P4"/>
      <c r="Q4"/>
    </row>
    <row r="5" spans="1:17" ht="12.75">
      <c r="A5" s="56" t="s">
        <v>842</v>
      </c>
      <c r="B5" s="106">
        <v>4605.47</v>
      </c>
      <c r="C5" s="107">
        <v>4678.1000000000004</v>
      </c>
      <c r="G5" s="106">
        <f>SUM(B5:E5)</f>
        <v>9283.57</v>
      </c>
      <c r="H5" s="68"/>
      <c r="I5" s="68"/>
      <c r="J5" s="68"/>
      <c r="K5" s="72"/>
      <c r="L5" s="68"/>
      <c r="O5"/>
      <c r="P5"/>
      <c r="Q5"/>
    </row>
    <row r="6" spans="1:17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/>
      <c r="P6"/>
      <c r="Q6"/>
    </row>
    <row r="7" spans="1:17" ht="12.75">
      <c r="A7" s="56"/>
      <c r="G7" s="106">
        <f>SUM(B7:E7)</f>
        <v>0</v>
      </c>
      <c r="H7" s="68"/>
      <c r="I7" s="68">
        <v>6679.56</v>
      </c>
      <c r="J7" s="68">
        <f>G7-I7</f>
        <v>-6679.56</v>
      </c>
      <c r="K7" s="72"/>
      <c r="L7" s="68"/>
      <c r="O7" s="66"/>
    </row>
    <row r="8" spans="1:17">
      <c r="G8" s="106"/>
      <c r="H8" s="68"/>
      <c r="I8" s="68"/>
      <c r="J8" s="68"/>
      <c r="K8" s="72"/>
      <c r="P8" s="66"/>
    </row>
    <row r="9" spans="1:17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7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7" s="43" customFormat="1" ht="13.5">
      <c r="A11" s="49" t="s">
        <v>141</v>
      </c>
      <c r="B11" s="160">
        <f>G11</f>
        <v>1520</v>
      </c>
      <c r="D11" s="43" t="s">
        <v>143</v>
      </c>
      <c r="E11" s="43">
        <f>G11/B4</f>
        <v>0.16373011675465365</v>
      </c>
      <c r="F11" s="159"/>
      <c r="G11" s="44">
        <f>Tithe!D12</f>
        <v>1520</v>
      </c>
      <c r="H11" s="43">
        <v>1500</v>
      </c>
      <c r="I11" s="55">
        <f>H11-G11</f>
        <v>-20</v>
      </c>
      <c r="J11" s="82">
        <f>Jan!I11+Feb!I11+Mar!I11+Apr!I11+May!I11+Jun!I11+July!I11</f>
        <v>-10320</v>
      </c>
      <c r="K11" s="74"/>
    </row>
    <row r="12" spans="1:17" s="43" customFormat="1" ht="13.5">
      <c r="I12" s="55"/>
      <c r="J12" s="82"/>
      <c r="K12" s="75"/>
      <c r="L12" s="167" t="s">
        <v>328</v>
      </c>
    </row>
    <row r="13" spans="1:17" s="43" customFormat="1" ht="13.5">
      <c r="A13" s="49" t="s">
        <v>314</v>
      </c>
      <c r="B13" s="160">
        <f>SUM(G14:G20)</f>
        <v>4600.2</v>
      </c>
      <c r="F13" s="159"/>
      <c r="G13" s="46"/>
      <c r="I13" s="55"/>
      <c r="J13" s="82"/>
      <c r="K13" s="75"/>
      <c r="L13" s="43" t="s">
        <v>1048</v>
      </c>
    </row>
    <row r="14" spans="1:17" s="43" customFormat="1" ht="13.5">
      <c r="B14" s="49" t="s">
        <v>924</v>
      </c>
      <c r="E14" s="43" t="s">
        <v>315</v>
      </c>
      <c r="F14" s="159"/>
      <c r="G14" s="44">
        <v>4600.2</v>
      </c>
      <c r="H14" s="43">
        <v>400</v>
      </c>
      <c r="I14" s="55">
        <f t="shared" ref="I14:I20" si="0">H14-G14</f>
        <v>-4200.2</v>
      </c>
      <c r="J14" s="82">
        <f>Jan!I14+Feb!I14+Mar!I14+Apr!I14+May!I14+Jun!I14+July!I14</f>
        <v>-1800.1999999999998</v>
      </c>
      <c r="K14" s="75"/>
      <c r="L14" s="43" t="s">
        <v>1029</v>
      </c>
      <c r="N14" s="43">
        <v>650</v>
      </c>
    </row>
    <row r="15" spans="1:17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</f>
        <v>1400</v>
      </c>
      <c r="K15" s="75"/>
      <c r="L15" s="43" t="s">
        <v>1030</v>
      </c>
      <c r="N15" s="43">
        <v>-252</v>
      </c>
    </row>
    <row r="16" spans="1:17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</f>
        <v>2100</v>
      </c>
      <c r="K16" s="75"/>
      <c r="L16" s="43" t="s">
        <v>1031</v>
      </c>
      <c r="N16" s="43">
        <f>-376.36-198</f>
        <v>-574.36</v>
      </c>
      <c r="O16" s="43" t="s">
        <v>1041</v>
      </c>
    </row>
    <row r="17" spans="1:15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/>
      <c r="K17" s="75"/>
      <c r="L17" s="43" t="s">
        <v>1043</v>
      </c>
      <c r="N17" s="43">
        <f>-21.75-12-27.25</f>
        <v>-61</v>
      </c>
    </row>
    <row r="18" spans="1:15" s="43" customFormat="1" ht="15.95" customHeight="1" thickBo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</f>
        <v>350</v>
      </c>
      <c r="K18" s="75"/>
      <c r="N18" s="284">
        <f>SUM(N14:N17)</f>
        <v>-237.36</v>
      </c>
      <c r="O18" s="43" t="s">
        <v>1042</v>
      </c>
    </row>
    <row r="19" spans="1:15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/>
      <c r="K19" s="75"/>
    </row>
    <row r="20" spans="1:15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</f>
        <v>2100</v>
      </c>
      <c r="K20" s="75"/>
    </row>
    <row r="21" spans="1:15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5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</f>
        <v>0</v>
      </c>
      <c r="K22" s="75"/>
      <c r="L22" s="43" t="s">
        <v>1038</v>
      </c>
    </row>
    <row r="23" spans="1:15" s="43" customFormat="1" ht="15.95" customHeight="1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5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5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</f>
        <v>3500</v>
      </c>
      <c r="K25" s="75"/>
    </row>
    <row r="26" spans="1:15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</f>
        <v>2100</v>
      </c>
      <c r="K26" s="75"/>
    </row>
    <row r="27" spans="1:15" s="43" customFormat="1" ht="12.75" customHeight="1">
      <c r="A27" s="49"/>
      <c r="F27" s="159"/>
      <c r="G27" s="57"/>
      <c r="H27" s="57"/>
      <c r="I27" s="59"/>
      <c r="J27" s="70"/>
      <c r="K27" s="70"/>
    </row>
    <row r="28" spans="1:15" s="43" customFormat="1" ht="12.75" customHeight="1" thickBot="1">
      <c r="A28" s="49"/>
      <c r="B28" s="49"/>
      <c r="F28" s="159"/>
      <c r="G28" s="58">
        <f>SUM(G14:G26)</f>
        <v>4600.2</v>
      </c>
      <c r="H28" s="58">
        <f>SUM(H11:H26)</f>
        <v>3950</v>
      </c>
      <c r="I28" s="58">
        <f>SUM(I11:I26)</f>
        <v>-2170.1999999999998</v>
      </c>
      <c r="J28" s="58">
        <f>SUM(J11:J26)</f>
        <v>-570.20000000000073</v>
      </c>
      <c r="K28" s="76"/>
    </row>
    <row r="29" spans="1:15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5" s="43" customFormat="1" ht="12.75" customHeight="1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5" s="43" customFormat="1" ht="12.75" customHeight="1">
      <c r="A31" s="89" t="s">
        <v>142</v>
      </c>
      <c r="B31" s="49"/>
      <c r="F31" s="159"/>
      <c r="G31" s="164">
        <f>B4-G11-G28+G30</f>
        <v>3163.37</v>
      </c>
      <c r="H31" s="47"/>
      <c r="I31" s="47"/>
      <c r="J31" s="47"/>
      <c r="K31" s="76"/>
      <c r="L31" s="47"/>
    </row>
    <row r="32" spans="1:15" s="43" customFormat="1" ht="12.75" customHeight="1">
      <c r="A32" s="43" t="s">
        <v>318</v>
      </c>
      <c r="B32" s="89"/>
      <c r="C32" s="45"/>
      <c r="D32" s="45"/>
      <c r="E32" s="45"/>
      <c r="F32" s="163"/>
      <c r="G32" s="165">
        <f>G46</f>
        <v>-136.74999999999937</v>
      </c>
      <c r="H32" s="47"/>
      <c r="I32" s="47"/>
      <c r="J32" s="47"/>
      <c r="K32" s="76"/>
      <c r="L32" s="47"/>
    </row>
    <row r="33" spans="1:15" s="43" customFormat="1" ht="12.75" customHeight="1">
      <c r="A33" s="49" t="s">
        <v>359</v>
      </c>
      <c r="B33" s="49"/>
      <c r="F33" s="159"/>
      <c r="G33" s="69">
        <f>G31-G32-M42-N42</f>
        <v>3300.1199999999994</v>
      </c>
      <c r="H33" s="88">
        <f>B4-G11-G28-G32</f>
        <v>3300.1199999999994</v>
      </c>
      <c r="I33" s="47"/>
      <c r="J33" s="47"/>
      <c r="K33" s="76"/>
      <c r="L33" s="47"/>
    </row>
    <row r="34" spans="1:15" s="43" customFormat="1" ht="12.75" customHeight="1">
      <c r="H34" s="47"/>
      <c r="I34" s="47"/>
      <c r="J34" s="47"/>
      <c r="K34" s="76"/>
      <c r="L34" s="47"/>
    </row>
    <row r="35" spans="1:15" s="43" customFormat="1" ht="12.7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1286.8400000000001</v>
      </c>
      <c r="N41" s="43">
        <f>N46+N44+N43+N42</f>
        <v>281.05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5" s="43" customFormat="1" ht="14.25" thickBot="1">
      <c r="D46"/>
      <c r="E46" s="162"/>
      <c r="F46" s="159"/>
      <c r="G46" s="84">
        <f>SUM(G48:G163)</f>
        <v>-136.74999999999937</v>
      </c>
      <c r="H46" s="84">
        <f>SUM(H48:H163)</f>
        <v>4626.9500000000007</v>
      </c>
      <c r="I46" s="84">
        <f>H46-G46</f>
        <v>4763.7</v>
      </c>
      <c r="J46" s="84">
        <f ca="1">SUM(J48:J163)</f>
        <v>0</v>
      </c>
      <c r="K46" s="77"/>
      <c r="L46" s="207">
        <f>SUM(L49:L163)</f>
        <v>-1604.6399999999994</v>
      </c>
      <c r="M46" s="208">
        <f>SUM(M49:M163)</f>
        <v>1186.8400000000001</v>
      </c>
      <c r="N46" s="209">
        <f>SUM(N49:N163)</f>
        <v>281.05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-2108.5099999999998</v>
      </c>
      <c r="C47" s="157">
        <f>C48+C61+C65</f>
        <v>797.95000000000027</v>
      </c>
      <c r="D47" s="79">
        <f>D48+D61+D65</f>
        <v>2906.46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-2375.0699999999997</v>
      </c>
      <c r="C48" s="49">
        <f>SUM(H49:H57)</f>
        <v>457.95000000000027</v>
      </c>
      <c r="D48" s="49">
        <f>SUM(I49:I57)</f>
        <v>2833.02</v>
      </c>
      <c r="I48" s="52"/>
      <c r="J48" s="80"/>
      <c r="K48" s="73"/>
      <c r="L48" s="210"/>
      <c r="M48" s="211"/>
      <c r="N48" s="211"/>
      <c r="O48" s="212"/>
    </row>
    <row r="49" spans="1:17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</f>
        <v>0</v>
      </c>
      <c r="K49" s="73"/>
      <c r="L49" s="210"/>
      <c r="M49" s="211"/>
      <c r="N49" s="211"/>
      <c r="O49" s="212"/>
    </row>
    <row r="50" spans="1:17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</f>
        <v>0</v>
      </c>
      <c r="K50" s="73"/>
      <c r="L50" s="210"/>
      <c r="M50" s="211"/>
      <c r="N50" s="211"/>
      <c r="O50" s="212"/>
    </row>
    <row r="51" spans="1:17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</f>
        <v>535</v>
      </c>
      <c r="K51" s="73"/>
      <c r="L51" s="210"/>
      <c r="M51" s="211"/>
      <c r="N51" s="211"/>
      <c r="O51" s="212"/>
    </row>
    <row r="52" spans="1:17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</f>
        <v>700</v>
      </c>
      <c r="K52" s="73"/>
      <c r="L52" s="210"/>
      <c r="M52" s="211"/>
      <c r="N52" s="211"/>
      <c r="O52" s="212"/>
    </row>
    <row r="53" spans="1:17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</f>
        <v>0</v>
      </c>
      <c r="K53" s="73"/>
      <c r="L53" s="210">
        <v>610</v>
      </c>
      <c r="M53" s="211"/>
      <c r="N53" s="211"/>
      <c r="O53" s="212"/>
    </row>
    <row r="54" spans="1:17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</f>
        <v>-41</v>
      </c>
      <c r="K54" s="73"/>
      <c r="L54" s="210"/>
      <c r="M54" s="211"/>
      <c r="N54" s="211"/>
      <c r="O54" s="212"/>
    </row>
    <row r="55" spans="1:17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</f>
        <v>-27363.32</v>
      </c>
      <c r="K55" s="73"/>
      <c r="L55" s="212">
        <v>1636.68</v>
      </c>
      <c r="M55" s="211"/>
      <c r="N55" s="211"/>
      <c r="O55" s="212"/>
    </row>
    <row r="56" spans="1:17" s="43" customFormat="1" ht="13.5">
      <c r="A56" s="49"/>
      <c r="B56" s="43" t="s">
        <v>246</v>
      </c>
      <c r="G56" s="43">
        <f t="shared" si="2"/>
        <v>378.25</v>
      </c>
      <c r="H56" s="43">
        <v>431.27</v>
      </c>
      <c r="I56" s="52">
        <f t="shared" si="1"/>
        <v>53.019999999999982</v>
      </c>
      <c r="J56" s="80">
        <f>Jan!I56+Feb!I56+Mar!I56+Apr!I56+May!I56+Jun!I56+July!I56</f>
        <v>729.49999999999989</v>
      </c>
      <c r="K56" s="73"/>
      <c r="L56" s="212">
        <v>378.25</v>
      </c>
      <c r="M56" s="211"/>
      <c r="N56" s="211"/>
      <c r="O56" s="212"/>
    </row>
    <row r="57" spans="1:17" s="43" customFormat="1" ht="13.5">
      <c r="A57" s="49"/>
      <c r="B57" s="43" t="s">
        <v>200</v>
      </c>
      <c r="G57" s="43">
        <f t="shared" si="2"/>
        <v>-5000</v>
      </c>
      <c r="H57" s="43">
        <v>-2500</v>
      </c>
      <c r="I57" s="52">
        <f t="shared" si="1"/>
        <v>2500</v>
      </c>
      <c r="J57" s="80">
        <f>Jan!I57+Feb!I57+Mar!I57+Apr!I57+May!I57+Jun!I57+July!I57</f>
        <v>2500</v>
      </c>
      <c r="K57" s="73"/>
      <c r="L57" s="212">
        <f>-2500-2500</f>
        <v>-5000</v>
      </c>
      <c r="M57" s="211"/>
      <c r="N57" s="211"/>
      <c r="O57" s="212"/>
      <c r="Q57" s="43" t="s">
        <v>1039</v>
      </c>
    </row>
    <row r="58" spans="1:17" s="43" customFormat="1" ht="13.5">
      <c r="I58" s="52"/>
      <c r="J58" s="80"/>
      <c r="K58" s="73"/>
      <c r="L58" s="212"/>
      <c r="M58" s="211"/>
      <c r="N58" s="211"/>
      <c r="O58" s="212"/>
    </row>
    <row r="59" spans="1:17" s="43" customFormat="1" ht="13.5">
      <c r="I59" s="52"/>
      <c r="J59" s="80"/>
      <c r="K59" s="73"/>
      <c r="L59" s="212"/>
      <c r="M59" s="211"/>
      <c r="N59" s="211"/>
      <c r="O59" s="212"/>
    </row>
    <row r="60" spans="1:17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7" s="43" customFormat="1" ht="13.5">
      <c r="A61" s="49"/>
      <c r="B61" s="49">
        <f>SUM(G62:G63)</f>
        <v>217.56</v>
      </c>
      <c r="C61" s="49">
        <f>SUM(H62:H63)</f>
        <v>260</v>
      </c>
      <c r="D61" s="49">
        <f>C61-B61</f>
        <v>42.44</v>
      </c>
      <c r="I61" s="52"/>
      <c r="J61" s="80"/>
      <c r="K61" s="73"/>
      <c r="L61" s="212"/>
      <c r="M61" s="211"/>
      <c r="N61" s="211"/>
      <c r="O61" s="212"/>
    </row>
    <row r="62" spans="1:17" s="43" customFormat="1" ht="13.5">
      <c r="A62" s="49"/>
      <c r="B62" s="43" t="s">
        <v>881</v>
      </c>
      <c r="G62" s="43">
        <f t="shared" si="2"/>
        <v>110.51</v>
      </c>
      <c r="H62" s="43">
        <v>150</v>
      </c>
      <c r="I62" s="52">
        <f t="shared" ref="I62:I131" si="3">H62-G62</f>
        <v>39.489999999999995</v>
      </c>
      <c r="J62" s="80">
        <f>Jan!I62+Feb!I62+Mar!I62+Apr!I62+May!I62+Jun!I62+July!I62</f>
        <v>199.45999999999998</v>
      </c>
      <c r="K62" s="73"/>
      <c r="L62" s="212"/>
      <c r="M62" s="211">
        <v>110.51</v>
      </c>
      <c r="N62" s="211"/>
      <c r="O62" s="212"/>
    </row>
    <row r="63" spans="1:17" s="43" customFormat="1" ht="13.5">
      <c r="A63" s="49"/>
      <c r="B63" s="43" t="s">
        <v>290</v>
      </c>
      <c r="D63" s="56"/>
      <c r="G63" s="43">
        <f t="shared" si="2"/>
        <v>107.05</v>
      </c>
      <c r="H63" s="43">
        <v>110</v>
      </c>
      <c r="I63" s="52">
        <f t="shared" si="3"/>
        <v>2.9500000000000028</v>
      </c>
      <c r="J63" s="80">
        <f>Jan!I63+Feb!I63+Mar!I63+Apr!I63+May!I63+Jun!I63+July!I63</f>
        <v>129.81</v>
      </c>
      <c r="K63" s="73"/>
      <c r="L63" s="212"/>
      <c r="M63" s="211">
        <v>107.05</v>
      </c>
      <c r="N63" s="211"/>
      <c r="O63" s="212"/>
    </row>
    <row r="64" spans="1:17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7" s="43" customFormat="1" ht="13.5">
      <c r="A65" s="49" t="s">
        <v>287</v>
      </c>
      <c r="B65" s="49">
        <f>SUM(G66:G68)</f>
        <v>49</v>
      </c>
      <c r="C65" s="49">
        <f>SUM(H66:H68)</f>
        <v>80</v>
      </c>
      <c r="D65" s="49">
        <f>C65-B65</f>
        <v>31</v>
      </c>
      <c r="I65" s="52"/>
      <c r="J65" s="80"/>
      <c r="K65" s="73"/>
      <c r="L65" s="212"/>
      <c r="M65" s="211"/>
      <c r="N65" s="211"/>
      <c r="O65" s="212"/>
    </row>
    <row r="66" spans="1:17" s="43" customFormat="1" ht="13.5">
      <c r="B66" s="43" t="s">
        <v>902</v>
      </c>
      <c r="G66" s="43">
        <f t="shared" si="2"/>
        <v>27.25</v>
      </c>
      <c r="H66" s="43">
        <v>30</v>
      </c>
      <c r="I66" s="52">
        <f t="shared" si="3"/>
        <v>2.75</v>
      </c>
      <c r="J66" s="80">
        <f>Jan!I66+Feb!I66+Mar!I66+Apr!I66+May!I66+Jun!I66+July!I66</f>
        <v>72.75</v>
      </c>
      <c r="K66" s="73"/>
      <c r="L66" s="212"/>
      <c r="M66" s="211">
        <f>27.25</f>
        <v>27.25</v>
      </c>
      <c r="N66" s="211"/>
      <c r="O66" s="212"/>
    </row>
    <row r="67" spans="1:17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</f>
        <v>120.99</v>
      </c>
      <c r="K67" s="73"/>
      <c r="L67" s="212"/>
      <c r="M67" s="211"/>
      <c r="N67" s="211"/>
      <c r="O67" s="212"/>
    </row>
    <row r="68" spans="1:17" s="43" customFormat="1" ht="13.5">
      <c r="B68" s="43" t="s">
        <v>904</v>
      </c>
      <c r="D68" s="43" t="s">
        <v>901</v>
      </c>
      <c r="G68" s="43">
        <f t="shared" si="2"/>
        <v>21.75</v>
      </c>
      <c r="H68" s="43">
        <v>30</v>
      </c>
      <c r="I68" s="52">
        <f t="shared" si="3"/>
        <v>8.25</v>
      </c>
      <c r="J68" s="80">
        <f>Jan!I68+Feb!I68+Mar!I68+Apr!I68+May!I68+Jun!I68+July!I68</f>
        <v>157.25</v>
      </c>
      <c r="K68" s="73"/>
      <c r="L68" s="212"/>
      <c r="M68" s="211">
        <f>4+3+0.75+2+1+3+8</f>
        <v>21.75</v>
      </c>
      <c r="N68" s="211"/>
      <c r="O68" s="212"/>
    </row>
    <row r="69" spans="1:17" s="43" customFormat="1" ht="13.5">
      <c r="I69" s="52"/>
      <c r="J69" s="80"/>
      <c r="K69" s="73"/>
      <c r="L69" s="212"/>
      <c r="M69" s="211"/>
      <c r="N69" s="211"/>
      <c r="O69" s="212"/>
    </row>
    <row r="70" spans="1:17" s="43" customFormat="1" ht="13.5">
      <c r="A70" s="49" t="s">
        <v>282</v>
      </c>
      <c r="B70" s="49">
        <f>SUM(G72:G73)</f>
        <v>37</v>
      </c>
      <c r="C70" s="49">
        <f>SUM(H71:H73)</f>
        <v>70</v>
      </c>
      <c r="D70" s="49">
        <f>C70-B70</f>
        <v>33</v>
      </c>
      <c r="I70" s="52"/>
      <c r="J70" s="80"/>
      <c r="K70" s="73"/>
      <c r="L70" s="212"/>
      <c r="M70" s="211"/>
      <c r="N70" s="211"/>
      <c r="O70" s="212"/>
    </row>
    <row r="71" spans="1:17" s="43" customFormat="1" ht="13.5">
      <c r="B71" s="43" t="s">
        <v>283</v>
      </c>
      <c r="G71" s="43">
        <f t="shared" si="2"/>
        <v>62.53</v>
      </c>
      <c r="H71" s="43">
        <v>25</v>
      </c>
      <c r="I71" s="52">
        <f t="shared" si="3"/>
        <v>-37.53</v>
      </c>
      <c r="J71" s="80">
        <f>Jan!I71+Feb!I71+Mar!I71+Apr!I71+May!I71+Jun!I71+July!I71</f>
        <v>-291.68000000000006</v>
      </c>
      <c r="K71" s="73"/>
      <c r="L71" s="212"/>
      <c r="M71" s="211">
        <v>62.53</v>
      </c>
      <c r="N71" s="211"/>
      <c r="O71" s="212"/>
      <c r="Q71" s="43" t="s">
        <v>1025</v>
      </c>
    </row>
    <row r="72" spans="1:17" s="43" customFormat="1" ht="13.5">
      <c r="A72" s="49"/>
      <c r="B72" s="43" t="s">
        <v>284</v>
      </c>
      <c r="G72" s="43">
        <f t="shared" si="2"/>
        <v>0</v>
      </c>
      <c r="H72" s="43">
        <v>25</v>
      </c>
      <c r="I72" s="52">
        <f t="shared" si="3"/>
        <v>25</v>
      </c>
      <c r="J72" s="80">
        <f>Jan!I72+Feb!I72+Mar!I72+Apr!I72+May!I72+Jun!I72+July!I72</f>
        <v>175</v>
      </c>
      <c r="K72" s="73"/>
      <c r="L72" s="212"/>
      <c r="M72" s="211"/>
      <c r="N72" s="211"/>
      <c r="O72" s="212"/>
    </row>
    <row r="73" spans="1:17" s="43" customFormat="1" ht="13.5">
      <c r="A73" s="49"/>
      <c r="B73" s="43" t="s">
        <v>289</v>
      </c>
      <c r="G73" s="43">
        <f t="shared" si="2"/>
        <v>37</v>
      </c>
      <c r="H73" s="43">
        <v>20</v>
      </c>
      <c r="I73" s="52">
        <f t="shared" si="3"/>
        <v>-17</v>
      </c>
      <c r="J73" s="80">
        <f>Jan!I73+Feb!I73+Mar!I73+Apr!I73+May!I73+Jun!I73+July!I73</f>
        <v>15.939999999999998</v>
      </c>
      <c r="K73" s="73"/>
      <c r="L73" s="212"/>
      <c r="M73" s="211">
        <f>37</f>
        <v>37</v>
      </c>
      <c r="N73" s="211"/>
      <c r="O73" s="212"/>
      <c r="Q73" s="43" t="s">
        <v>1049</v>
      </c>
    </row>
    <row r="74" spans="1:17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7" s="43" customFormat="1" ht="13.5">
      <c r="A75" s="49" t="s">
        <v>285</v>
      </c>
      <c r="B75" s="43" t="s">
        <v>45</v>
      </c>
      <c r="G75" s="43">
        <f t="shared" si="2"/>
        <v>54.040000000000006</v>
      </c>
      <c r="H75" s="43">
        <v>75</v>
      </c>
      <c r="I75" s="52">
        <f t="shared" si="3"/>
        <v>20.959999999999994</v>
      </c>
      <c r="J75" s="80">
        <f>Jan!I75+Feb!I75+Mar!I75+Apr!I75+May!I75+Jun!I75+July!I75</f>
        <v>96.820000000000007</v>
      </c>
      <c r="K75" s="73"/>
      <c r="L75" s="212"/>
      <c r="M75" s="211">
        <f>3.48+2.45+2.45+3.82+3.39+2.45+2.45+2.2+3.81+2.95+5+1.99+2.88+2.2+2.97+2.35+5+2.2</f>
        <v>54.040000000000006</v>
      </c>
      <c r="N75" s="211"/>
      <c r="O75" s="212"/>
    </row>
    <row r="76" spans="1:17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7" s="43" customFormat="1" ht="14.25" thickBot="1">
      <c r="A77" s="89" t="s">
        <v>291</v>
      </c>
      <c r="B77" s="187">
        <f>B80+B86+B91+B100+B105+B111+B117+B130+B133+B138+B141</f>
        <v>1115.3900000000001</v>
      </c>
      <c r="C77" s="187">
        <f>C80+C86+C91+C100+C105+C111+C117+C130+C133+C138+C141</f>
        <v>2849</v>
      </c>
      <c r="D77" s="187">
        <f>D80+D86+D91+D100+D105+D111+D117+D130+D133+D138+D141</f>
        <v>1683.6100000000001</v>
      </c>
      <c r="I77" s="52"/>
      <c r="J77" s="80"/>
      <c r="K77" s="73"/>
      <c r="L77" s="212"/>
      <c r="M77" s="211"/>
      <c r="N77" s="211"/>
      <c r="O77" s="212"/>
    </row>
    <row r="78" spans="1:17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7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7" s="43" customFormat="1" ht="13.5">
      <c r="A80" s="49" t="s">
        <v>885</v>
      </c>
      <c r="B80" s="49">
        <f>SUM(G81:G85)</f>
        <v>250.42999999999998</v>
      </c>
      <c r="C80" s="49">
        <f>SUM(H81:H84)</f>
        <v>290</v>
      </c>
      <c r="D80" s="49">
        <f>C80-B80</f>
        <v>39.570000000000022</v>
      </c>
      <c r="I80" s="52"/>
      <c r="J80" s="80"/>
      <c r="K80" s="73"/>
      <c r="L80" s="212"/>
      <c r="M80" s="211"/>
      <c r="N80" s="211"/>
      <c r="O80" s="212"/>
    </row>
    <row r="81" spans="1:17" s="43" customFormat="1" ht="13.5">
      <c r="B81" s="43" t="s">
        <v>25</v>
      </c>
      <c r="D81" s="43" t="s">
        <v>882</v>
      </c>
      <c r="G81" s="43">
        <f t="shared" si="2"/>
        <v>122.35</v>
      </c>
      <c r="H81" s="43">
        <v>100</v>
      </c>
      <c r="I81" s="52">
        <f t="shared" si="3"/>
        <v>-22.349999999999994</v>
      </c>
      <c r="J81" s="80">
        <f>Jan!I81+Feb!I81+Mar!I81+Apr!I81+May!I81+Jun!I81+July!I81</f>
        <v>67.56</v>
      </c>
      <c r="K81" s="73"/>
      <c r="L81" s="212">
        <v>122.35</v>
      </c>
      <c r="M81" s="211"/>
      <c r="N81" s="211"/>
      <c r="O81" s="212"/>
    </row>
    <row r="82" spans="1:17" s="43" customFormat="1" ht="13.5">
      <c r="B82" s="43" t="s">
        <v>596</v>
      </c>
      <c r="D82" s="43" t="s">
        <v>883</v>
      </c>
      <c r="G82" s="43">
        <f t="shared" si="2"/>
        <v>71.98</v>
      </c>
      <c r="H82" s="43">
        <v>60</v>
      </c>
      <c r="I82" s="52">
        <f t="shared" si="3"/>
        <v>-11.980000000000004</v>
      </c>
      <c r="J82" s="80">
        <f>Jan!I82+Feb!I82+Mar!I82+Apr!I82+May!I82+Jun!I82+July!I82</f>
        <v>4.6399999999999935</v>
      </c>
      <c r="K82" s="73"/>
      <c r="L82" s="212">
        <v>71.98</v>
      </c>
      <c r="M82" s="211"/>
      <c r="N82" s="211"/>
      <c r="O82" s="212"/>
    </row>
    <row r="83" spans="1:17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26.78</v>
      </c>
      <c r="H83" s="43">
        <v>100</v>
      </c>
      <c r="I83" s="52">
        <f t="shared" si="3"/>
        <v>73.22</v>
      </c>
      <c r="J83" s="80">
        <f>Jan!I83+Feb!I83+Mar!I83+Apr!I83+May!I83+Jun!I83+July!I83</f>
        <v>298.12</v>
      </c>
      <c r="K83" s="73"/>
      <c r="L83" s="212">
        <v>26.78</v>
      </c>
      <c r="M83" s="211"/>
      <c r="N83" s="211"/>
      <c r="O83" s="212"/>
    </row>
    <row r="84" spans="1:17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29.32</v>
      </c>
      <c r="H84" s="43">
        <v>30</v>
      </c>
      <c r="I84" s="52">
        <f t="shared" si="3"/>
        <v>0.67999999999999972</v>
      </c>
      <c r="J84" s="80">
        <f>Jan!I84+Feb!I84+Mar!I84+Apr!I84+May!I84+Jun!I84+July!I84</f>
        <v>-21.52</v>
      </c>
      <c r="K84" s="73"/>
      <c r="L84" s="212">
        <v>29.32</v>
      </c>
      <c r="M84" s="211"/>
      <c r="N84" s="211"/>
      <c r="O84" s="212"/>
    </row>
    <row r="85" spans="1:17" s="43" customFormat="1" ht="13.5">
      <c r="I85" s="52"/>
      <c r="J85" s="80"/>
      <c r="K85" s="73"/>
      <c r="L85" s="212"/>
      <c r="M85" s="211"/>
      <c r="N85" s="211"/>
      <c r="O85" s="212"/>
    </row>
    <row r="86" spans="1:17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7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Jan!I87+Feb!I87+Mar!I87+Apr!I87+May!I87+Jun!I87+July!I87</f>
        <v>700</v>
      </c>
      <c r="K87" s="73"/>
      <c r="L87" s="212"/>
      <c r="M87" s="211"/>
      <c r="N87" s="211"/>
      <c r="O87" s="212"/>
    </row>
    <row r="88" spans="1:17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3"/>
        <v>200</v>
      </c>
      <c r="J88" s="80">
        <f>Jan!I88+Feb!I88+Mar!I88+Apr!I88+May!I88+Jun!I88+July!I88</f>
        <v>828.75</v>
      </c>
      <c r="K88" s="73"/>
      <c r="L88" s="212"/>
      <c r="M88" s="211"/>
      <c r="N88" s="211"/>
      <c r="O88" s="212"/>
    </row>
    <row r="89" spans="1:17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Jan!I89+Feb!I89+Mar!I89+Apr!I89+May!I89+Jun!I89+July!I89</f>
        <v>252</v>
      </c>
      <c r="K89" s="73"/>
      <c r="L89" s="212"/>
      <c r="M89" s="211"/>
      <c r="N89" s="211"/>
      <c r="O89" s="212"/>
    </row>
    <row r="90" spans="1:17" s="43" customFormat="1" ht="13.5">
      <c r="I90" s="52"/>
      <c r="J90" s="80"/>
      <c r="K90" s="73"/>
      <c r="L90" s="212"/>
      <c r="M90" s="211"/>
      <c r="N90" s="211"/>
      <c r="O90" s="212"/>
    </row>
    <row r="91" spans="1:17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7" s="43" customFormat="1" ht="13.5">
      <c r="B92" s="43" t="s">
        <v>293</v>
      </c>
      <c r="G92" s="43">
        <f t="shared" si="2"/>
        <v>11.45</v>
      </c>
      <c r="H92" s="43">
        <v>20</v>
      </c>
      <c r="I92" s="52">
        <f t="shared" si="3"/>
        <v>8.5500000000000007</v>
      </c>
      <c r="J92" s="80">
        <f>Jan!I92+Feb!I92+Mar!I92+Apr!I92+May!I92+Jun!I92+July!I92</f>
        <v>128.55000000000001</v>
      </c>
      <c r="K92" s="73"/>
      <c r="L92" s="212"/>
      <c r="M92" s="211">
        <f>11.45</f>
        <v>11.45</v>
      </c>
      <c r="N92" s="211"/>
      <c r="O92" s="212"/>
      <c r="Q92" s="43" t="s">
        <v>1052</v>
      </c>
    </row>
    <row r="93" spans="1:17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Jan!I93+Feb!I93+Mar!I93+Apr!I93+May!I93+Jun!I93+July!I93</f>
        <v>35</v>
      </c>
      <c r="K93" s="73"/>
      <c r="L93" s="212"/>
      <c r="M93" s="211"/>
      <c r="N93" s="211"/>
      <c r="O93" s="212"/>
    </row>
    <row r="94" spans="1:17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Jan!I94+Feb!I94+Mar!I94+Apr!I94+May!I94+Jun!I94+July!I94</f>
        <v>455</v>
      </c>
      <c r="K94" s="73"/>
      <c r="L94" s="212"/>
      <c r="M94" s="211"/>
      <c r="N94" s="211"/>
      <c r="O94" s="212"/>
    </row>
    <row r="95" spans="1:17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Jan!I95+Feb!I95+Mar!I95+Apr!I95+May!I95+Jun!I95+July!I95</f>
        <v>105</v>
      </c>
      <c r="K95" s="73"/>
      <c r="L95" s="212"/>
      <c r="M95" s="211"/>
      <c r="N95" s="211"/>
      <c r="O95" s="212"/>
    </row>
    <row r="96" spans="1:17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Jan!I96+Feb!I96+Mar!I96+Apr!I96+May!I96+Jun!I96+July!I96</f>
        <v>245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Jan!I97+Feb!I97+Mar!I97+Apr!I97+May!I97+Jun!I97+July!I97</f>
        <v>182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Jan!I98+Feb!I98+Mar!I98+Apr!I98+May!I98+Jun!I98+July!I98</f>
        <v>84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Jan!I101+Feb!I101+Mar!I101+Apr!I101+May!I101+Jun!I101+July!I101</f>
        <v>420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3"/>
        <v>100</v>
      </c>
      <c r="J102" s="80">
        <f>Jan!I102+Feb!I102+Mar!I102+Apr!I102+May!I102+Jun!I102+July!I102</f>
        <v>-529.68999999999994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Jan!I103+Feb!I103+Mar!I103+Apr!I103+May!I103+Jun!I103+July!I103</f>
        <v>70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35</v>
      </c>
      <c r="C105" s="49">
        <f>SUM(H106:H108)</f>
        <v>200</v>
      </c>
      <c r="D105" s="49">
        <f>C105-B105</f>
        <v>165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4">SUM(L106:O106)</f>
        <v>0</v>
      </c>
      <c r="H106" s="43">
        <v>100</v>
      </c>
      <c r="I106" s="52">
        <f t="shared" si="3"/>
        <v>100</v>
      </c>
      <c r="J106" s="80">
        <f>Jan!I106+Feb!I106+Mar!I106+Apr!I106+May!I106+Jun!I106+July!I106</f>
        <v>487.14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4"/>
        <v>0</v>
      </c>
      <c r="H107" s="43">
        <v>25</v>
      </c>
      <c r="I107" s="52">
        <f t="shared" si="3"/>
        <v>25</v>
      </c>
      <c r="J107" s="80">
        <f>Jan!I107+Feb!I107+Mar!I107+Apr!I107+May!I107+Jun!I107+July!I107</f>
        <v>-376.5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4"/>
        <v>35</v>
      </c>
      <c r="H108" s="43">
        <v>75</v>
      </c>
      <c r="I108" s="52">
        <f t="shared" si="3"/>
        <v>40</v>
      </c>
      <c r="J108" s="80">
        <f>Jan!I108+Feb!I108+Mar!I108+Apr!I108+May!I108+Jun!I108+July!I108</f>
        <v>416.89</v>
      </c>
      <c r="K108" s="73"/>
      <c r="L108" s="212"/>
      <c r="M108" s="211"/>
      <c r="N108" s="211">
        <v>35</v>
      </c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4"/>
        <v>0</v>
      </c>
      <c r="H109" s="43">
        <v>25</v>
      </c>
      <c r="I109" s="52">
        <f t="shared" si="3"/>
        <v>25</v>
      </c>
      <c r="J109" s="80">
        <f>Jan!I109+Feb!I109+Mar!I109+Apr!I109+May!I109+Jun!I109+July!I109</f>
        <v>67.77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320</v>
      </c>
      <c r="C111" s="49">
        <f>SUM(H112:H114)</f>
        <v>415</v>
      </c>
      <c r="D111" s="49">
        <f>C111-B111</f>
        <v>95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4"/>
        <v>0</v>
      </c>
      <c r="H112" s="43">
        <v>150</v>
      </c>
      <c r="I112" s="52">
        <f t="shared" si="3"/>
        <v>150</v>
      </c>
      <c r="J112" s="80">
        <f>Jan!I112+Feb!I112+Mar!I112+Apr!I112+May!I112+Jun!I112+July!I112</f>
        <v>-268.22000000000003</v>
      </c>
      <c r="K112" s="73"/>
      <c r="L112" s="212"/>
      <c r="M112" s="211"/>
      <c r="N112" s="211"/>
      <c r="O112" s="212"/>
    </row>
    <row r="113" spans="1:18" s="43" customFormat="1" ht="13.5">
      <c r="A113" s="49"/>
      <c r="B113" s="43" t="s">
        <v>323</v>
      </c>
      <c r="G113" s="43">
        <f t="shared" si="4"/>
        <v>320</v>
      </c>
      <c r="H113" s="43">
        <v>215</v>
      </c>
      <c r="I113" s="52">
        <f t="shared" si="3"/>
        <v>-105</v>
      </c>
      <c r="J113" s="80">
        <f>Jan!I113+Feb!I113+Mar!I113+Apr!I113+May!I113+Jun!I113+July!I113</f>
        <v>49.289999999999964</v>
      </c>
      <c r="K113" s="73"/>
      <c r="L113" s="212">
        <f>220+100</f>
        <v>320</v>
      </c>
      <c r="M113" s="211"/>
      <c r="N113" s="211"/>
      <c r="O113" s="212"/>
      <c r="Q113" s="43" t="s">
        <v>1026</v>
      </c>
    </row>
    <row r="114" spans="1:18" s="43" customFormat="1" ht="13.5">
      <c r="A114" s="49"/>
      <c r="B114" s="43" t="s">
        <v>317</v>
      </c>
      <c r="G114" s="43">
        <f t="shared" si="4"/>
        <v>0</v>
      </c>
      <c r="H114" s="43">
        <v>50</v>
      </c>
      <c r="I114" s="52">
        <f t="shared" si="3"/>
        <v>50</v>
      </c>
      <c r="J114" s="80">
        <f>Jan!I114+Feb!I114+Mar!I114+Apr!I114+May!I114+Jun!I114+July!I114</f>
        <v>-6553.5300000000007</v>
      </c>
      <c r="K114" s="73"/>
      <c r="L114" s="212"/>
      <c r="M114" s="211"/>
      <c r="N114" s="211"/>
      <c r="O114" s="212"/>
    </row>
    <row r="115" spans="1:18" s="43" customFormat="1" ht="13.5">
      <c r="A115" s="49"/>
      <c r="B115" s="43" t="s">
        <v>907</v>
      </c>
      <c r="G115" s="43">
        <f t="shared" si="4"/>
        <v>0</v>
      </c>
      <c r="H115" s="43">
        <v>100</v>
      </c>
      <c r="I115" s="52">
        <f t="shared" si="3"/>
        <v>100</v>
      </c>
      <c r="J115" s="80">
        <f>Jan!I115+Feb!I115+Mar!I115+Apr!I115+May!I115+Jun!I115+July!I115</f>
        <v>700</v>
      </c>
      <c r="K115" s="73"/>
      <c r="L115" s="212"/>
      <c r="M115" s="211"/>
      <c r="N115" s="211"/>
      <c r="O115" s="212"/>
    </row>
    <row r="116" spans="1:18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8" s="43" customFormat="1" ht="13.5">
      <c r="A117" s="49" t="s">
        <v>41</v>
      </c>
      <c r="B117" s="49">
        <f>SUM(G119:G129)</f>
        <v>508.33</v>
      </c>
      <c r="C117" s="49">
        <f>SUM(H118:H128)</f>
        <v>820</v>
      </c>
      <c r="D117" s="49">
        <f>C117-B117</f>
        <v>311.67</v>
      </c>
      <c r="I117" s="52"/>
      <c r="J117" s="80"/>
      <c r="K117" s="73"/>
      <c r="L117" s="212"/>
      <c r="M117" s="211"/>
      <c r="N117" s="211"/>
      <c r="O117" s="212"/>
    </row>
    <row r="118" spans="1:18" s="43" customFormat="1" ht="13.5">
      <c r="B118" s="43" t="s">
        <v>42</v>
      </c>
      <c r="G118" s="43">
        <f t="shared" si="4"/>
        <v>350</v>
      </c>
      <c r="H118" s="43">
        <v>100</v>
      </c>
      <c r="I118" s="52">
        <f t="shared" si="3"/>
        <v>-250</v>
      </c>
      <c r="J118" s="80">
        <f>Jan!I118+Feb!I118+Mar!I118+Apr!I118+May!I118+Jun!I118+July!I118</f>
        <v>-743</v>
      </c>
      <c r="K118" s="73"/>
      <c r="L118" s="212">
        <f>350</f>
        <v>350</v>
      </c>
      <c r="M118" s="211"/>
      <c r="N118" s="211"/>
      <c r="O118" s="212"/>
      <c r="Q118" s="105">
        <v>42536</v>
      </c>
    </row>
    <row r="119" spans="1:18" s="43" customFormat="1" ht="13.5">
      <c r="B119" s="43" t="s">
        <v>908</v>
      </c>
      <c r="G119" s="43">
        <f t="shared" si="4"/>
        <v>31.57</v>
      </c>
      <c r="H119" s="43">
        <v>100</v>
      </c>
      <c r="I119" s="52">
        <f t="shared" si="3"/>
        <v>68.430000000000007</v>
      </c>
      <c r="J119" s="80">
        <f>Jan!I119+Feb!I119+Mar!I119+Apr!I119+May!I119+Jun!I119+July!I119</f>
        <v>80.92</v>
      </c>
      <c r="K119" s="73"/>
      <c r="L119" s="212"/>
      <c r="M119" s="211">
        <f>13.3+18.27</f>
        <v>31.57</v>
      </c>
      <c r="N119" s="211"/>
      <c r="O119" s="212"/>
    </row>
    <row r="120" spans="1:18" s="43" customFormat="1" ht="14.25" thickBot="1">
      <c r="B120" s="43" t="s">
        <v>304</v>
      </c>
      <c r="G120" s="43">
        <f t="shared" si="4"/>
        <v>325.81</v>
      </c>
      <c r="H120" s="43">
        <v>500</v>
      </c>
      <c r="I120" s="52">
        <f t="shared" si="3"/>
        <v>174.19</v>
      </c>
      <c r="J120" s="80">
        <f>Jan!I120+Feb!I120+Mar!I120+Apr!I120+May!I120+Jun!I120+July!I120</f>
        <v>529.36999999999989</v>
      </c>
      <c r="K120" s="73"/>
      <c r="L120" s="212">
        <f>50</f>
        <v>50</v>
      </c>
      <c r="M120" s="211">
        <f>1.29+4.49+23.98</f>
        <v>29.76</v>
      </c>
      <c r="N120" s="211">
        <f>113.55+79.51+52.99</f>
        <v>246.05</v>
      </c>
      <c r="O120" s="212"/>
      <c r="Q120" s="43" t="s">
        <v>1057</v>
      </c>
    </row>
    <row r="121" spans="1:18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8" s="43" customFormat="1" ht="13.5">
      <c r="B122" s="43" t="s">
        <v>164</v>
      </c>
      <c r="G122" s="43">
        <f t="shared" si="4"/>
        <v>0</v>
      </c>
      <c r="H122" s="43">
        <v>50</v>
      </c>
      <c r="I122" s="52">
        <f t="shared" si="3"/>
        <v>50</v>
      </c>
      <c r="J122" s="80">
        <f>Jan!I122+Feb!I122+Mar!I122+Apr!I122+May!I122+Jun!I122+July!I122</f>
        <v>338.79</v>
      </c>
      <c r="K122" s="73"/>
      <c r="L122" s="212"/>
      <c r="M122" s="211"/>
      <c r="N122" s="211"/>
      <c r="O122" s="212"/>
    </row>
    <row r="123" spans="1:18" s="43" customFormat="1" ht="14.25" thickBot="1">
      <c r="B123" s="43" t="s">
        <v>43</v>
      </c>
      <c r="G123" s="43">
        <f t="shared" si="4"/>
        <v>150.94999999999999</v>
      </c>
      <c r="H123" s="43">
        <v>50</v>
      </c>
      <c r="I123" s="52">
        <f t="shared" si="3"/>
        <v>-100.94999999999999</v>
      </c>
      <c r="J123" s="80">
        <f>Jan!I123+Feb!I123+Mar!I123+Apr!I123+May!I123+Jun!I123+July!I123</f>
        <v>-21.67</v>
      </c>
      <c r="K123" s="73"/>
      <c r="L123" s="212"/>
      <c r="M123" s="211">
        <f>59+19.99+51.03+20.93</f>
        <v>150.94999999999999</v>
      </c>
      <c r="N123" s="211"/>
      <c r="O123" s="212"/>
    </row>
    <row r="124" spans="1:18" s="43" customFormat="1" ht="14.25" thickBot="1">
      <c r="C124" s="157" t="s">
        <v>299</v>
      </c>
      <c r="D124" s="158"/>
      <c r="E124" s="79">
        <v>59</v>
      </c>
      <c r="I124" s="52"/>
      <c r="J124" s="80"/>
      <c r="K124" s="73"/>
      <c r="L124" s="212"/>
      <c r="M124" s="211"/>
      <c r="N124" s="211"/>
      <c r="O124" s="212"/>
    </row>
    <row r="125" spans="1:18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8" s="43" customFormat="1" ht="14.25" thickBot="1">
      <c r="C126" s="157" t="s">
        <v>301</v>
      </c>
      <c r="D126" s="158"/>
      <c r="E126" s="79">
        <f>20.93</f>
        <v>20.93</v>
      </c>
      <c r="I126" s="52"/>
      <c r="J126" s="80"/>
      <c r="K126" s="73"/>
      <c r="L126" s="212"/>
      <c r="M126" s="211"/>
      <c r="N126" s="211"/>
      <c r="O126" s="212"/>
      <c r="Q126" s="105"/>
      <c r="R126" s="105"/>
    </row>
    <row r="127" spans="1:18" s="43" customFormat="1" ht="14.25" thickBot="1">
      <c r="C127" s="157" t="s">
        <v>302</v>
      </c>
      <c r="D127" s="158"/>
      <c r="E127" s="79">
        <f>19.99+51.03</f>
        <v>71.02</v>
      </c>
      <c r="I127" s="52"/>
      <c r="J127" s="80"/>
      <c r="K127" s="73"/>
      <c r="L127" s="212"/>
      <c r="M127" s="211"/>
      <c r="N127" s="211"/>
      <c r="O127" s="212"/>
    </row>
    <row r="128" spans="1:18" s="43" customFormat="1" ht="13.5">
      <c r="B128" s="43" t="s">
        <v>303</v>
      </c>
      <c r="G128" s="43">
        <f t="shared" si="4"/>
        <v>0</v>
      </c>
      <c r="H128" s="43">
        <v>20</v>
      </c>
      <c r="I128" s="52">
        <f t="shared" si="3"/>
        <v>20</v>
      </c>
      <c r="J128" s="80">
        <f>Jan!I128+Feb!I128+Mar!I128+Apr!I128+May!I128+Jun!I128+July!I128</f>
        <v>66.930000000000007</v>
      </c>
      <c r="K128" s="73"/>
      <c r="L128" s="212"/>
      <c r="M128" s="211"/>
      <c r="N128" s="211"/>
      <c r="O128" s="212"/>
    </row>
    <row r="129" spans="1:22" s="43" customFormat="1" ht="13.5">
      <c r="I129" s="52"/>
      <c r="J129" s="80"/>
      <c r="K129" s="73"/>
      <c r="L129" s="212"/>
      <c r="M129" s="211"/>
      <c r="N129" s="211"/>
      <c r="O129" s="212"/>
    </row>
    <row r="130" spans="1:22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22" s="43" customFormat="1" ht="13.5">
      <c r="B131" s="43" t="s">
        <v>53</v>
      </c>
      <c r="G131" s="43">
        <f t="shared" si="4"/>
        <v>0</v>
      </c>
      <c r="H131" s="43">
        <v>50</v>
      </c>
      <c r="I131" s="52">
        <f t="shared" si="3"/>
        <v>50</v>
      </c>
      <c r="J131" s="80">
        <f>Jan!I131+Feb!I131+Mar!I131+Apr!I131+May!I131+Jun!I131+July!I131</f>
        <v>239.98</v>
      </c>
      <c r="K131" s="73"/>
      <c r="L131" s="212"/>
      <c r="M131" s="211"/>
      <c r="N131" s="211"/>
      <c r="O131" s="212"/>
    </row>
    <row r="132" spans="1:22" s="43" customFormat="1" ht="13.5">
      <c r="I132" s="52"/>
      <c r="J132" s="80"/>
      <c r="K132" s="73"/>
      <c r="L132" s="212"/>
      <c r="M132" s="211"/>
      <c r="N132" s="211"/>
      <c r="O132" s="212"/>
    </row>
    <row r="133" spans="1:22" s="43" customFormat="1" ht="13.5">
      <c r="A133" s="49" t="s">
        <v>909</v>
      </c>
      <c r="B133" s="49">
        <f>SUM(G136:G137)</f>
        <v>1.63</v>
      </c>
      <c r="C133" s="49">
        <f>SUM(H135:H136)</f>
        <v>130</v>
      </c>
      <c r="D133" s="49">
        <f>C133-B133</f>
        <v>128.37</v>
      </c>
      <c r="I133" s="52"/>
      <c r="J133" s="80"/>
      <c r="K133" s="73"/>
      <c r="L133" s="212"/>
      <c r="M133" s="211"/>
      <c r="N133" s="211"/>
      <c r="O133" s="212"/>
    </row>
    <row r="134" spans="1:22" s="43" customFormat="1" ht="13.5">
      <c r="A134" s="49"/>
      <c r="B134" s="43" t="s">
        <v>910</v>
      </c>
      <c r="C134" s="49"/>
      <c r="D134" s="49"/>
      <c r="G134" s="43">
        <f t="shared" si="4"/>
        <v>150</v>
      </c>
      <c r="H134" s="43">
        <v>100</v>
      </c>
      <c r="I134" s="52">
        <f t="shared" ref="I134:I163" si="5">H134-G134</f>
        <v>-50</v>
      </c>
      <c r="J134" s="80">
        <f>Jan!I134+Feb!I134+Mar!I134+Apr!I134+May!I134+Jun!I134+July!I134</f>
        <v>297</v>
      </c>
      <c r="K134" s="73"/>
      <c r="L134" s="212"/>
      <c r="M134" s="211">
        <v>150</v>
      </c>
      <c r="N134" s="211"/>
      <c r="O134" s="212"/>
      <c r="Q134" s="43" t="s">
        <v>1056</v>
      </c>
    </row>
    <row r="135" spans="1:22" s="43" customFormat="1" ht="13.5">
      <c r="B135" s="43" t="s">
        <v>305</v>
      </c>
      <c r="G135" s="43">
        <f t="shared" si="4"/>
        <v>-60.649999999999977</v>
      </c>
      <c r="H135" s="43">
        <v>100</v>
      </c>
      <c r="I135" s="52">
        <f t="shared" si="5"/>
        <v>160.64999999999998</v>
      </c>
      <c r="J135" s="80">
        <f>Jan!I135+Feb!I135+Mar!I135+Apr!I135+May!I135+Jun!I135+July!I135</f>
        <v>675.86</v>
      </c>
      <c r="K135" s="73"/>
      <c r="L135" s="212">
        <f>-650+198</f>
        <v>-452</v>
      </c>
      <c r="M135" s="211">
        <f>24+12+23.48+80+41.85+23.59+78.32+25.24+67.88+14.99</f>
        <v>391.35</v>
      </c>
      <c r="N135" s="211"/>
      <c r="O135" s="212"/>
      <c r="Q135" s="43" t="s">
        <v>1040</v>
      </c>
    </row>
    <row r="136" spans="1:22" s="43" customFormat="1" ht="13.5">
      <c r="B136" s="43" t="s">
        <v>306</v>
      </c>
      <c r="G136" s="43">
        <f t="shared" si="4"/>
        <v>1.63</v>
      </c>
      <c r="H136" s="43">
        <v>30</v>
      </c>
      <c r="I136" s="52">
        <f t="shared" si="5"/>
        <v>28.37</v>
      </c>
      <c r="J136" s="80">
        <f>Jan!I136+Feb!I136+Mar!I136+Apr!I136+May!I136+Jun!I136+July!I136</f>
        <v>206.74</v>
      </c>
      <c r="K136" s="73"/>
      <c r="L136" s="212"/>
      <c r="M136" s="211">
        <f>1.63</f>
        <v>1.63</v>
      </c>
      <c r="N136" s="211"/>
      <c r="O136" s="212"/>
      <c r="S136" s="43" t="s">
        <v>1029</v>
      </c>
      <c r="U136" s="43">
        <v>650</v>
      </c>
    </row>
    <row r="137" spans="1:22" s="43" customFormat="1" ht="13.5">
      <c r="I137" s="52"/>
      <c r="J137" s="80"/>
      <c r="K137" s="73"/>
      <c r="L137" s="212"/>
      <c r="M137" s="211"/>
      <c r="N137" s="211"/>
      <c r="O137" s="212"/>
      <c r="S137" s="43" t="s">
        <v>1030</v>
      </c>
      <c r="U137" s="43">
        <v>-252</v>
      </c>
    </row>
    <row r="138" spans="1:22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  <c r="S138" s="43" t="s">
        <v>1031</v>
      </c>
      <c r="U138" s="43">
        <f>-376.36-198</f>
        <v>-574.36</v>
      </c>
      <c r="V138" s="43" t="s">
        <v>1041</v>
      </c>
    </row>
    <row r="139" spans="1:22" s="43" customFormat="1" ht="13.5">
      <c r="B139" s="43" t="s">
        <v>911</v>
      </c>
      <c r="G139" s="43">
        <f t="shared" si="4"/>
        <v>0</v>
      </c>
      <c r="H139" s="43">
        <v>10</v>
      </c>
      <c r="I139" s="52">
        <f t="shared" si="5"/>
        <v>10</v>
      </c>
      <c r="J139" s="80">
        <f>Jan!I139+Feb!I139+Mar!I139+Apr!I139+May!I139+Jun!I139+July!I139</f>
        <v>44.5</v>
      </c>
      <c r="K139" s="73"/>
      <c r="L139" s="212"/>
      <c r="M139" s="211"/>
      <c r="N139" s="211"/>
      <c r="O139" s="212"/>
      <c r="S139" s="43" t="s">
        <v>1043</v>
      </c>
      <c r="U139" s="43">
        <f>-21.75-12-27.25</f>
        <v>-61</v>
      </c>
    </row>
    <row r="140" spans="1:22" s="43" customFormat="1" ht="14.25" thickBot="1">
      <c r="I140" s="52"/>
      <c r="J140" s="80"/>
      <c r="K140" s="73"/>
      <c r="L140" s="212"/>
      <c r="M140" s="211"/>
      <c r="N140" s="211"/>
      <c r="O140" s="212"/>
      <c r="U140" s="284">
        <f>SUM(U136:U139)</f>
        <v>-237.36</v>
      </c>
      <c r="V140" s="43" t="s">
        <v>1042</v>
      </c>
    </row>
    <row r="141" spans="1:22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22" s="43" customFormat="1" ht="13.5">
      <c r="B142" s="43" t="s">
        <v>50</v>
      </c>
      <c r="G142" s="43">
        <f t="shared" si="4"/>
        <v>252</v>
      </c>
      <c r="H142" s="43">
        <v>150</v>
      </c>
      <c r="I142" s="52">
        <f t="shared" si="5"/>
        <v>-102</v>
      </c>
      <c r="J142" s="80">
        <f>Jan!I142+Feb!I142+Mar!I142+Apr!I142+May!I142+Jun!I142+July!I142</f>
        <v>288.26</v>
      </c>
      <c r="K142" s="73"/>
      <c r="L142" s="212">
        <f>152+100</f>
        <v>252</v>
      </c>
      <c r="M142" s="211"/>
      <c r="N142" s="211"/>
      <c r="O142" s="212"/>
      <c r="Q142" s="43" t="s">
        <v>1024</v>
      </c>
    </row>
    <row r="143" spans="1:22" s="43" customFormat="1" ht="13.5">
      <c r="B143" s="43" t="s">
        <v>51</v>
      </c>
      <c r="D143" s="43" t="s">
        <v>137</v>
      </c>
      <c r="G143" s="43">
        <f t="shared" si="4"/>
        <v>0</v>
      </c>
      <c r="H143" s="43">
        <v>100</v>
      </c>
      <c r="I143" s="52">
        <f t="shared" si="5"/>
        <v>100</v>
      </c>
      <c r="J143" s="80">
        <f>Jan!I143+Feb!I143+Mar!I143+Apr!I143+May!I143+Jun!I143+July!I143</f>
        <v>134.76</v>
      </c>
      <c r="K143" s="73"/>
      <c r="L143" s="212"/>
      <c r="M143" s="211"/>
      <c r="N143" s="211"/>
      <c r="O143" s="212"/>
    </row>
    <row r="144" spans="1:22" s="43" customFormat="1" ht="13.5">
      <c r="I144" s="52"/>
      <c r="J144" s="80"/>
      <c r="K144" s="73"/>
      <c r="L144" s="212"/>
      <c r="M144" s="211"/>
      <c r="N144" s="211"/>
      <c r="O144" s="212"/>
      <c r="Q144" s="43" t="s">
        <v>77</v>
      </c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4"/>
        <v>0</v>
      </c>
      <c r="H149" s="43">
        <v>100</v>
      </c>
      <c r="I149" s="52">
        <f t="shared" si="5"/>
        <v>100</v>
      </c>
      <c r="J149" s="80">
        <f>Jan!I149+Feb!I149+Mar!I149+Apr!I149+May!I149+Jun!I149+July!I149</f>
        <v>360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4"/>
        <v>0</v>
      </c>
      <c r="H150" s="43">
        <v>100</v>
      </c>
      <c r="I150" s="52">
        <f t="shared" si="5"/>
        <v>100</v>
      </c>
      <c r="J150" s="80">
        <f>Jan!I150+Feb!I150+Mar!I150+Apr!I150+May!I150+Jun!I150+July!I150</f>
        <v>700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4"/>
        <v>0</v>
      </c>
      <c r="H151" s="43">
        <v>30</v>
      </c>
      <c r="I151" s="52">
        <f t="shared" si="5"/>
        <v>30</v>
      </c>
      <c r="J151" s="80">
        <f>Jan!I151+Feb!I151+Mar!I151+Apr!I151+May!I151+Jun!I151+July!I151</f>
        <v>210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4"/>
        <v>0</v>
      </c>
      <c r="H152" s="43">
        <v>50</v>
      </c>
      <c r="I152" s="52">
        <f t="shared" si="5"/>
        <v>50</v>
      </c>
      <c r="J152" s="80">
        <f>Jan!I152+Feb!I152+Mar!I152+Apr!I152+May!I152+Jun!I152+July!I152</f>
        <v>350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80">
        <f>Jan!I153+Feb!I153+Mar!I153+Apr!I153+May!I153+Jun!I153+July!I153</f>
        <v>70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0</v>
      </c>
      <c r="H156" s="43">
        <v>30</v>
      </c>
      <c r="I156" s="52">
        <f t="shared" si="5"/>
        <v>30</v>
      </c>
      <c r="J156" s="80">
        <f>Jan!I156+Feb!I156+Mar!I156+Apr!I156+May!I156+Jun!I156+July!I156</f>
        <v>155.55000000000001</v>
      </c>
      <c r="L156" s="212"/>
      <c r="M156" s="211"/>
      <c r="N156" s="211"/>
      <c r="O156" s="212"/>
    </row>
    <row r="157" spans="1:15" ht="14.25" thickBot="1">
      <c r="A157" s="79">
        <f>SUM(G159:G160)</f>
        <v>0</v>
      </c>
      <c r="B157" s="43" t="s">
        <v>308</v>
      </c>
      <c r="C157" s="43"/>
      <c r="D157" s="43"/>
      <c r="E157" s="43"/>
      <c r="F157" s="43"/>
      <c r="G157" s="43">
        <f t="shared" si="4"/>
        <v>0</v>
      </c>
      <c r="H157" s="43">
        <v>30</v>
      </c>
      <c r="I157" s="52">
        <f t="shared" si="5"/>
        <v>30</v>
      </c>
      <c r="J157" s="80">
        <f ca="1">Jan!I157+Feb!I157+Mar!I157+Apr!I157+May!I157+Jun!I157+July!I157</f>
        <v>210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80">
        <f>Jan!I158+Feb!I158+Mar!I158+Apr!I158+May!I158+Jun!I158+July!I158</f>
        <v>210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80">
        <f>Jan!I159+Feb!I159+Mar!I159+Apr!I159+May!I159+Jun!I159+July!I159</f>
        <v>210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4"/>
        <v>0</v>
      </c>
      <c r="H160" s="43">
        <v>100</v>
      </c>
      <c r="I160" s="52">
        <f t="shared" si="5"/>
        <v>100</v>
      </c>
      <c r="J160" s="80">
        <f>Jan!I160+Feb!I160+Mar!I160+Apr!I160+May!I160+Jun!I160+July!I160</f>
        <v>-800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5"/>
        <v>100</v>
      </c>
      <c r="J163" s="80">
        <f>Jan!I163+Feb!I163+Mar!I163+Apr!I163+May!I163+Jun!I163+July!I163</f>
        <v>700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abSelected="1" topLeftCell="A38" zoomScale="84" zoomScaleNormal="84" workbookViewId="0">
      <selection activeCell="Q74" sqref="Q74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7">
      <c r="A1" s="62" t="s">
        <v>102</v>
      </c>
      <c r="B1" s="63">
        <v>2016</v>
      </c>
      <c r="C1" s="63"/>
      <c r="L1" s="64" t="s">
        <v>327</v>
      </c>
    </row>
    <row r="2" spans="1:17">
      <c r="A2" s="62" t="s">
        <v>100</v>
      </c>
      <c r="B2" s="64" t="s">
        <v>13</v>
      </c>
      <c r="C2" s="64"/>
      <c r="L2" s="56" t="s">
        <v>790</v>
      </c>
      <c r="M2" s="64"/>
    </row>
    <row r="3" spans="1:17">
      <c r="B3" s="56" t="s">
        <v>77</v>
      </c>
      <c r="L3" s="56" t="s">
        <v>799</v>
      </c>
      <c r="M3" s="64"/>
      <c r="O3" s="66"/>
    </row>
    <row r="4" spans="1:17">
      <c r="A4" s="62" t="s">
        <v>4</v>
      </c>
      <c r="B4" s="67">
        <f>SUM(G5:G8)</f>
        <v>9283.5600000000013</v>
      </c>
      <c r="C4" s="67"/>
      <c r="G4" s="56" t="s">
        <v>28</v>
      </c>
      <c r="L4" s="68" t="s">
        <v>800</v>
      </c>
      <c r="N4"/>
      <c r="O4"/>
      <c r="P4"/>
      <c r="Q4"/>
    </row>
    <row r="5" spans="1:17" ht="12.75">
      <c r="A5" s="56" t="s">
        <v>842</v>
      </c>
      <c r="B5" s="106">
        <v>4605.47</v>
      </c>
      <c r="C5" s="107">
        <v>4678.09</v>
      </c>
      <c r="G5" s="106">
        <f>SUM(B5:E5)</f>
        <v>9283.5600000000013</v>
      </c>
      <c r="H5" s="68"/>
      <c r="I5" s="68"/>
      <c r="J5" s="68"/>
      <c r="K5" s="72"/>
      <c r="L5" s="68" t="s">
        <v>801</v>
      </c>
      <c r="N5"/>
      <c r="O5"/>
      <c r="P5"/>
      <c r="Q5"/>
    </row>
    <row r="6" spans="1:17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167" t="s">
        <v>802</v>
      </c>
      <c r="N6"/>
      <c r="O6"/>
      <c r="P6"/>
      <c r="Q6"/>
    </row>
    <row r="7" spans="1:17" ht="12.75">
      <c r="A7" s="56"/>
      <c r="G7" s="106">
        <f>SUM(B7:E7)</f>
        <v>0</v>
      </c>
      <c r="H7" s="68"/>
      <c r="I7" s="68"/>
      <c r="J7" s="68"/>
      <c r="K7" s="72"/>
      <c r="L7" s="68"/>
      <c r="N7"/>
      <c r="O7"/>
      <c r="P7"/>
      <c r="Q7"/>
    </row>
    <row r="8" spans="1:17">
      <c r="G8" s="106"/>
      <c r="H8" s="68"/>
      <c r="I8" s="68"/>
      <c r="J8" s="68"/>
      <c r="K8" s="72"/>
      <c r="N8"/>
      <c r="O8"/>
      <c r="P8"/>
      <c r="Q8"/>
    </row>
    <row r="9" spans="1:17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  <c r="N9"/>
      <c r="O9"/>
      <c r="P9"/>
      <c r="Q9"/>
    </row>
    <row r="10" spans="1:17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7" s="43" customFormat="1" ht="13.5">
      <c r="A11" s="49" t="s">
        <v>141</v>
      </c>
      <c r="B11" s="160">
        <f>G11</f>
        <v>1620</v>
      </c>
      <c r="D11" s="43" t="s">
        <v>143</v>
      </c>
      <c r="E11" s="43">
        <f>G11/B4</f>
        <v>0.1745020229308584</v>
      </c>
      <c r="F11" s="159"/>
      <c r="G11" s="44">
        <f>Tithe!D13</f>
        <v>1620</v>
      </c>
      <c r="H11" s="43">
        <v>1500</v>
      </c>
      <c r="I11" s="55">
        <f>H11-G11</f>
        <v>-120</v>
      </c>
      <c r="J11" s="82">
        <f>Jan!I11+Feb!I11+Mar!I11+Apr!I11+May!I11+Jun!I11+July!I11+Aug!I11</f>
        <v>-10440</v>
      </c>
      <c r="K11" s="74"/>
    </row>
    <row r="12" spans="1:17" s="43" customFormat="1" ht="13.5">
      <c r="I12" s="55"/>
      <c r="J12" s="82"/>
      <c r="K12" s="75"/>
      <c r="L12" s="167" t="s">
        <v>328</v>
      </c>
    </row>
    <row r="13" spans="1:17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7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Jan!I14+Feb!I14+Mar!I14+Apr!I14+May!I14+Jun!I14+July!I14+Aug!I14</f>
        <v>-1400.1999999999998</v>
      </c>
      <c r="K14" s="75"/>
    </row>
    <row r="15" spans="1:17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Jan!I15+Feb!I15+Mar!I15+Apr!I15+May!I15+Jun!I15+July!I15+Aug!I15</f>
        <v>1600</v>
      </c>
      <c r="K15" s="75"/>
    </row>
    <row r="16" spans="1:17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Jan!I16+Feb!I16+Mar!I16+Apr!I16+May!I16+Jun!I16+July!I16+Aug!I16</f>
        <v>2400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Jan!I17+Feb!I17+Mar!I17+Apr!I17+May!I17+Jun!I17+July!I17+Aug!I17</f>
        <v>1600</v>
      </c>
      <c r="K17" s="75"/>
    </row>
    <row r="18" spans="1:12" s="43" customFormat="1" ht="13.5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Jan!I18+Feb!I18+Mar!I18+Apr!I18+May!I18+Jun!I18+July!I18+Aug!I18</f>
        <v>400</v>
      </c>
      <c r="K18" s="75"/>
    </row>
    <row r="19" spans="1:12" s="43" customFormat="1" ht="13.5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Jan!I19+Feb!I19+Mar!I19+Apr!I19+May!I19+Jun!I19+July!I19+Aug!I19</f>
        <v>1600</v>
      </c>
      <c r="K19" s="75"/>
    </row>
    <row r="20" spans="1:12" s="43" customFormat="1" ht="13.5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Jan!I20+Feb!I20+Mar!I20+Apr!I20+May!I20+Jun!I20+July!I20+Aug!I20</f>
        <v>2400</v>
      </c>
      <c r="K20" s="75"/>
    </row>
    <row r="21" spans="1:12" s="43" customFormat="1" ht="13.5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3.5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Jan!I22+Feb!I22+Mar!I22+Apr!I22+May!I22+Jun!I22+July!I22+Aug!I22</f>
        <v>0</v>
      </c>
      <c r="K22" s="75"/>
      <c r="L22" s="43" t="s">
        <v>791</v>
      </c>
    </row>
    <row r="23" spans="1:12" s="43" customFormat="1" ht="13.5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3.5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3.5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Jan!I25+Feb!I25+Mar!I25+Apr!I25+May!I25+Jun!I25+July!I25+Aug!I25</f>
        <v>4000</v>
      </c>
      <c r="K25" s="75"/>
    </row>
    <row r="26" spans="1:12" s="43" customFormat="1" ht="13.5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Jan!I26+Feb!I26+Mar!I26+Apr!I26+May!I26+Jun!I26+July!I26+Aug!I26</f>
        <v>2400</v>
      </c>
      <c r="K26" s="75"/>
    </row>
    <row r="27" spans="1:12" s="43" customFormat="1" ht="13.5">
      <c r="A27" s="49"/>
      <c r="F27" s="159"/>
      <c r="G27" s="57"/>
      <c r="H27" s="57"/>
      <c r="I27" s="59"/>
      <c r="J27" s="70"/>
      <c r="K27" s="70"/>
    </row>
    <row r="28" spans="1:12" s="43" customFormat="1" ht="14.25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2330</v>
      </c>
      <c r="J28" s="58">
        <f>SUM(J11:J26)</f>
        <v>4559.7999999999993</v>
      </c>
      <c r="K28" s="76"/>
    </row>
    <row r="29" spans="1:12" s="43" customFormat="1" ht="15" thickTop="1" thickBot="1">
      <c r="H29" s="47"/>
      <c r="I29" s="47"/>
      <c r="J29" s="47"/>
      <c r="K29" s="76"/>
      <c r="L29" s="49" t="s">
        <v>330</v>
      </c>
    </row>
    <row r="30" spans="1:12" s="43" customFormat="1" ht="14.25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7663.5600000000013</v>
      </c>
      <c r="H31" s="47"/>
      <c r="I31" s="47"/>
      <c r="J31" s="47"/>
      <c r="K31" s="76"/>
      <c r="L31" s="47"/>
    </row>
    <row r="32" spans="1:12" s="43" customFormat="1" ht="13.5">
      <c r="A32" s="43" t="s">
        <v>318</v>
      </c>
      <c r="B32" s="89"/>
      <c r="C32" s="45"/>
      <c r="D32" s="45"/>
      <c r="E32" s="45"/>
      <c r="F32" s="163"/>
      <c r="G32" s="165">
        <f>G46</f>
        <v>2876.19</v>
      </c>
      <c r="H32" s="47"/>
      <c r="I32" s="47"/>
      <c r="J32" s="47"/>
      <c r="K32" s="76"/>
      <c r="L32" s="47"/>
    </row>
    <row r="33" spans="1:15" s="43" customFormat="1" ht="13.5">
      <c r="A33" s="49" t="s">
        <v>359</v>
      </c>
      <c r="B33" s="49"/>
      <c r="F33" s="159"/>
      <c r="G33" s="69">
        <f>G31-G32-M42-N42</f>
        <v>4787.3700000000008</v>
      </c>
      <c r="H33" s="47"/>
      <c r="I33" s="47"/>
      <c r="J33" s="47"/>
      <c r="K33" s="76"/>
      <c r="L33" s="47"/>
    </row>
    <row r="34" spans="1:15" s="43" customFormat="1" ht="13.5">
      <c r="H34" s="47"/>
      <c r="I34" s="47"/>
      <c r="J34" s="47"/>
      <c r="K34" s="76"/>
      <c r="L34" s="47"/>
    </row>
    <row r="35" spans="1:15" s="43" customFormat="1" ht="13.5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3.5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351.26</v>
      </c>
      <c r="N41" s="43">
        <f>N46+N44+N43+N42</f>
        <v>0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  <c r="L43" s="43" t="s">
        <v>789</v>
      </c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5" s="43" customFormat="1" ht="14.25" thickBot="1">
      <c r="D46"/>
      <c r="E46" s="162"/>
      <c r="F46" s="159"/>
      <c r="G46" s="84">
        <f>SUM(G48:G163)</f>
        <v>2876.19</v>
      </c>
      <c r="H46" s="84">
        <f>SUM(H48:H163)</f>
        <v>4626.9500000000007</v>
      </c>
      <c r="I46" s="84">
        <f>H46-G46</f>
        <v>1750.7600000000007</v>
      </c>
      <c r="J46" s="84">
        <f ca="1">SUM(J48:J163)</f>
        <v>0</v>
      </c>
      <c r="K46" s="77"/>
      <c r="L46" s="207">
        <f>SUM(L49:L163)</f>
        <v>2624.9300000000003</v>
      </c>
      <c r="M46" s="208">
        <f>SUM(M49:M163)</f>
        <v>251.26</v>
      </c>
      <c r="N46" s="209">
        <f>SUM(N49:N163)</f>
        <v>0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2624.9300000000003</v>
      </c>
      <c r="C47" s="157">
        <f>C48+C61+C65</f>
        <v>797.95000000000027</v>
      </c>
      <c r="D47" s="79">
        <f>D48+D61+D65</f>
        <v>-1826.98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2624.9300000000003</v>
      </c>
      <c r="C48" s="49">
        <f>SUM(H49:H57)</f>
        <v>457.95000000000027</v>
      </c>
      <c r="D48" s="49">
        <f>SUM(I49:I57)</f>
        <v>-2166.98</v>
      </c>
      <c r="I48" s="52"/>
      <c r="J48" s="80"/>
      <c r="K48" s="73"/>
      <c r="L48" s="210"/>
      <c r="M48" s="211"/>
      <c r="N48" s="211"/>
      <c r="O48" s="212"/>
    </row>
    <row r="49" spans="1:17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Jan!I49+Feb!I49+Mar!I49+Apr!I49+May!I49+Jun!I49+July!I49+Aug!I49</f>
        <v>0</v>
      </c>
      <c r="K49" s="73"/>
      <c r="L49" s="210"/>
      <c r="M49" s="211"/>
      <c r="N49" s="211"/>
      <c r="O49" s="212"/>
    </row>
    <row r="50" spans="1:17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Jan!I50+Feb!I50+Mar!I50+Apr!I50+May!I50+Jun!I50+July!I50+Aug!I50</f>
        <v>0</v>
      </c>
      <c r="K50" s="73"/>
      <c r="L50" s="210"/>
      <c r="M50" s="211"/>
      <c r="N50" s="211"/>
      <c r="O50" s="212"/>
    </row>
    <row r="51" spans="1:17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Jan!I51+Feb!I51+Mar!I51+Apr!I51+May!I51+Jun!I51+July!I51+Aug!I51</f>
        <v>635</v>
      </c>
      <c r="K51" s="73"/>
      <c r="L51" s="210"/>
      <c r="M51" s="211"/>
      <c r="N51" s="211"/>
      <c r="O51" s="212"/>
    </row>
    <row r="52" spans="1:17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Jan!I52+Feb!I52+Mar!I52+Apr!I52+May!I52+Jun!I52+July!I52+Aug!I52</f>
        <v>800</v>
      </c>
      <c r="K52" s="73"/>
      <c r="L52" s="210"/>
      <c r="M52" s="211"/>
      <c r="N52" s="211"/>
      <c r="O52" s="212"/>
    </row>
    <row r="53" spans="1:17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Jan!I53+Feb!I53+Mar!I53+Apr!I53+May!I53+Jun!I53+July!I53+Aug!I53</f>
        <v>0</v>
      </c>
      <c r="K53" s="73"/>
      <c r="L53" s="210">
        <v>610</v>
      </c>
      <c r="M53" s="211"/>
      <c r="N53" s="211"/>
      <c r="O53" s="212"/>
    </row>
    <row r="54" spans="1:17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Jan!I54+Feb!I54+Mar!I54+Apr!I54+May!I54+Jun!I54+July!I54+Aug!I54</f>
        <v>39</v>
      </c>
      <c r="K54" s="73"/>
      <c r="L54" s="210"/>
      <c r="M54" s="211"/>
      <c r="N54" s="211"/>
      <c r="O54" s="212"/>
    </row>
    <row r="55" spans="1:17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Jan!I55+Feb!I55+Mar!I55+Apr!I55+May!I55+Jun!I55+July!I55+Aug!I55</f>
        <v>-27363.32</v>
      </c>
      <c r="K55" s="73"/>
      <c r="L55" s="212">
        <v>1636.68</v>
      </c>
      <c r="M55" s="211"/>
      <c r="N55" s="211"/>
      <c r="O55" s="212"/>
    </row>
    <row r="56" spans="1:17" s="43" customFormat="1" ht="13.5">
      <c r="A56" s="49"/>
      <c r="B56" s="43" t="s">
        <v>246</v>
      </c>
      <c r="G56" s="43">
        <f t="shared" si="2"/>
        <v>378.25</v>
      </c>
      <c r="H56" s="43">
        <v>431.27</v>
      </c>
      <c r="I56" s="52">
        <f t="shared" si="1"/>
        <v>53.019999999999982</v>
      </c>
      <c r="J56" s="80">
        <f>Jan!I56+Feb!I56+Mar!I56+Apr!I56+May!I56+Jun!I56+July!I56+Aug!I56</f>
        <v>782.51999999999987</v>
      </c>
      <c r="K56" s="73"/>
      <c r="L56" s="212">
        <v>378.25</v>
      </c>
      <c r="M56" s="211"/>
      <c r="N56" s="211"/>
      <c r="O56" s="212"/>
    </row>
    <row r="57" spans="1:17" s="43" customFormat="1" ht="13.5">
      <c r="A57" s="49"/>
      <c r="B57" s="43" t="s">
        <v>200</v>
      </c>
      <c r="G57" s="43">
        <f t="shared" si="2"/>
        <v>0</v>
      </c>
      <c r="H57" s="43">
        <v>-2500</v>
      </c>
      <c r="I57" s="52">
        <f t="shared" si="1"/>
        <v>-2500</v>
      </c>
      <c r="J57" s="80">
        <f>Jan!I57+Feb!I57+Mar!I57+Apr!I57+May!I57+Jun!I57+July!I57+Aug!I57</f>
        <v>0</v>
      </c>
      <c r="K57" s="73"/>
      <c r="L57" s="212"/>
      <c r="M57" s="211"/>
      <c r="N57" s="211"/>
      <c r="O57" s="212"/>
      <c r="Q57" s="43" t="s">
        <v>1027</v>
      </c>
    </row>
    <row r="58" spans="1:17" s="43" customFormat="1" ht="13.5">
      <c r="I58" s="52"/>
      <c r="J58" s="80"/>
      <c r="K58" s="73"/>
      <c r="L58" s="212"/>
      <c r="M58" s="211"/>
      <c r="N58" s="211"/>
      <c r="O58" s="212"/>
    </row>
    <row r="59" spans="1:17" s="43" customFormat="1" ht="13.5">
      <c r="I59" s="52"/>
      <c r="J59" s="80"/>
      <c r="K59" s="73"/>
      <c r="L59" s="212"/>
      <c r="M59" s="211"/>
      <c r="N59" s="211"/>
      <c r="O59" s="212"/>
    </row>
    <row r="60" spans="1:17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7" s="43" customFormat="1" ht="13.5">
      <c r="A61" s="49"/>
      <c r="B61" s="49">
        <f>SUM(G62:G63)</f>
        <v>0</v>
      </c>
      <c r="C61" s="49">
        <f>SUM(H62:H63)</f>
        <v>260</v>
      </c>
      <c r="D61" s="49">
        <f>C61-B61</f>
        <v>260</v>
      </c>
      <c r="I61" s="52"/>
      <c r="J61" s="80"/>
      <c r="K61" s="73"/>
      <c r="L61" s="212"/>
      <c r="M61" s="211"/>
      <c r="N61" s="211"/>
      <c r="O61" s="212"/>
    </row>
    <row r="62" spans="1:17" s="43" customFormat="1" ht="13.5">
      <c r="A62" s="49"/>
      <c r="B62" s="43" t="s">
        <v>881</v>
      </c>
      <c r="G62" s="43">
        <f t="shared" si="2"/>
        <v>0</v>
      </c>
      <c r="H62" s="43">
        <v>150</v>
      </c>
      <c r="I62" s="52">
        <f t="shared" ref="I62:I131" si="3">H62-G62</f>
        <v>150</v>
      </c>
      <c r="J62" s="80">
        <f>Jan!I62+Feb!I62+Mar!I62+Apr!I62+May!I62+Jun!I62+July!I62+Aug!I62</f>
        <v>349.46</v>
      </c>
      <c r="K62" s="73"/>
      <c r="L62" s="212"/>
      <c r="M62" s="211"/>
      <c r="N62" s="211"/>
      <c r="O62" s="212"/>
    </row>
    <row r="63" spans="1:17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 t="shared" si="3"/>
        <v>110</v>
      </c>
      <c r="J63" s="80">
        <f>Jan!I63+Feb!I63+Mar!I63+Apr!I63+May!I63+Jun!I63+July!I63+Aug!I63</f>
        <v>239.81</v>
      </c>
      <c r="K63" s="73"/>
      <c r="L63" s="212"/>
      <c r="M63" s="211"/>
      <c r="N63" s="211"/>
      <c r="O63" s="212"/>
    </row>
    <row r="64" spans="1:17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7" s="43" customFormat="1" ht="13.5">
      <c r="A65" s="49" t="s">
        <v>287</v>
      </c>
      <c r="B65" s="49">
        <f>SUM(G66:G68)</f>
        <v>0</v>
      </c>
      <c r="C65" s="49">
        <f>SUM(H66:H68)</f>
        <v>80</v>
      </c>
      <c r="D65" s="49">
        <f>C65-B65</f>
        <v>80</v>
      </c>
      <c r="I65" s="52"/>
      <c r="J65" s="80"/>
      <c r="K65" s="73"/>
      <c r="L65" s="212"/>
      <c r="M65" s="211"/>
      <c r="N65" s="211"/>
      <c r="O65" s="212"/>
    </row>
    <row r="66" spans="1:17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Jan!I66+Feb!I66+Mar!I66+Apr!I66+May!I66+Jun!I66+July!I66+Aug!I66</f>
        <v>102.75</v>
      </c>
      <c r="K66" s="73"/>
      <c r="L66" s="212"/>
      <c r="M66" s="211"/>
      <c r="N66" s="211"/>
      <c r="O66" s="212"/>
    </row>
    <row r="67" spans="1:17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Jan!I67+Feb!I67+Mar!I67+Apr!I67+May!I67+Jun!I67+July!I67+Aug!I67</f>
        <v>140.99</v>
      </c>
      <c r="K67" s="73"/>
      <c r="L67" s="212"/>
      <c r="M67" s="211"/>
      <c r="N67" s="211"/>
      <c r="O67" s="212"/>
    </row>
    <row r="68" spans="1:17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si="3"/>
        <v>30</v>
      </c>
      <c r="J68" s="80">
        <f>Jan!I68+Feb!I68+Mar!I68+Apr!I68+May!I68+Jun!I68+July!I68+Aug!I68</f>
        <v>187.25</v>
      </c>
      <c r="K68" s="73"/>
      <c r="L68" s="212"/>
      <c r="M68" s="211"/>
      <c r="N68" s="211"/>
      <c r="O68" s="212"/>
    </row>
    <row r="69" spans="1:17" s="43" customFormat="1" ht="13.5">
      <c r="I69" s="52"/>
      <c r="J69" s="80"/>
      <c r="K69" s="73"/>
      <c r="L69" s="212"/>
      <c r="M69" s="211"/>
      <c r="N69" s="211"/>
      <c r="O69" s="212"/>
    </row>
    <row r="70" spans="1:17" s="43" customFormat="1" ht="13.5">
      <c r="A70" s="49" t="s">
        <v>282</v>
      </c>
      <c r="B70" s="49">
        <f>SUM(G72:G73)</f>
        <v>154.01</v>
      </c>
      <c r="C70" s="49">
        <f>SUM(H71:H73)</f>
        <v>70</v>
      </c>
      <c r="D70" s="49">
        <f>C70-B70</f>
        <v>-84.009999999999991</v>
      </c>
      <c r="I70" s="52"/>
      <c r="J70" s="80"/>
      <c r="K70" s="73"/>
      <c r="L70" s="212"/>
      <c r="M70" s="211"/>
      <c r="N70" s="211"/>
      <c r="O70" s="212"/>
    </row>
    <row r="71" spans="1:17" s="43" customFormat="1" ht="13.5">
      <c r="B71" s="43" t="s">
        <v>283</v>
      </c>
      <c r="G71" s="43">
        <f>SUM(L71:O71)</f>
        <v>0</v>
      </c>
      <c r="H71" s="43">
        <v>25</v>
      </c>
      <c r="I71" s="52">
        <f t="shared" si="3"/>
        <v>25</v>
      </c>
      <c r="J71" s="80">
        <f>Jan!I71+Feb!I71+Mar!I71+Apr!I71+May!I71+Jun!I71+July!I71+Aug!I71</f>
        <v>-266.68000000000006</v>
      </c>
      <c r="K71" s="73"/>
      <c r="L71" s="212"/>
      <c r="M71" s="211"/>
      <c r="N71" s="211"/>
      <c r="O71" s="212"/>
    </row>
    <row r="72" spans="1:17" s="43" customFormat="1" ht="13.5">
      <c r="A72" s="49"/>
      <c r="B72" s="43" t="s">
        <v>284</v>
      </c>
      <c r="G72" s="43">
        <f t="shared" ref="G72:G75" si="4">SUM(L72:O72)</f>
        <v>0</v>
      </c>
      <c r="H72" s="43">
        <v>25</v>
      </c>
      <c r="I72" s="52">
        <f t="shared" si="3"/>
        <v>25</v>
      </c>
      <c r="J72" s="80">
        <f>Jan!I72+Feb!I72+Mar!I72+Apr!I72+May!I72+Jun!I72+July!I72+Aug!I72</f>
        <v>200</v>
      </c>
      <c r="K72" s="73"/>
      <c r="L72" s="212"/>
      <c r="M72" s="211"/>
      <c r="N72" s="211"/>
      <c r="O72" s="212"/>
    </row>
    <row r="73" spans="1:17" s="43" customFormat="1" ht="13.5">
      <c r="A73" s="49"/>
      <c r="B73" s="43" t="s">
        <v>289</v>
      </c>
      <c r="G73" s="43">
        <f t="shared" si="4"/>
        <v>154.01</v>
      </c>
      <c r="H73" s="43">
        <v>20</v>
      </c>
      <c r="I73" s="52">
        <f t="shared" si="3"/>
        <v>-134.01</v>
      </c>
      <c r="J73" s="80">
        <f>Jan!I73+Feb!I73+Mar!I73+Apr!I73+May!I73+Jun!I73+July!I73+Aug!I73</f>
        <v>-118.07</v>
      </c>
      <c r="K73" s="73"/>
      <c r="L73" s="212"/>
      <c r="M73" s="211">
        <f>83.81+70.2</f>
        <v>154.01</v>
      </c>
      <c r="N73" s="211"/>
      <c r="O73" s="212"/>
      <c r="Q73" s="43" t="s">
        <v>1084</v>
      </c>
    </row>
    <row r="74" spans="1:17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7" s="43" customFormat="1" ht="13.5">
      <c r="A75" s="49" t="s">
        <v>285</v>
      </c>
      <c r="B75" s="43" t="s">
        <v>45</v>
      </c>
      <c r="G75" s="43">
        <f t="shared" si="4"/>
        <v>30.18</v>
      </c>
      <c r="H75" s="43">
        <v>75</v>
      </c>
      <c r="I75" s="52">
        <f t="shared" si="3"/>
        <v>44.82</v>
      </c>
      <c r="J75" s="80">
        <f>Jan!I75+Feb!I75+Mar!I75+Apr!I75+May!I75+Jun!I75+July!I75+Aug!I75</f>
        <v>141.64000000000001</v>
      </c>
      <c r="K75" s="73"/>
      <c r="L75" s="212"/>
      <c r="M75" s="211">
        <f>2.2+3.65+2.45+1.85+2.8+2.94+12.44+1.85</f>
        <v>30.18</v>
      </c>
      <c r="N75" s="211"/>
      <c r="O75" s="212"/>
    </row>
    <row r="76" spans="1:17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7" s="43" customFormat="1" ht="14.25" thickBot="1">
      <c r="A77" s="89" t="s">
        <v>291</v>
      </c>
      <c r="B77" s="187">
        <f>B80+B86+B91+B100+B105+B111+B117+B130+B133+B138+B141</f>
        <v>67.070000000000007</v>
      </c>
      <c r="C77" s="187">
        <f>C80+C86+C91+C100+C105+C111+C117+C130+C133+C138+C141</f>
        <v>2849</v>
      </c>
      <c r="D77" s="187">
        <f>D80+D86+D91+D100+D105+D111+D117+D130+D133+D138+D141</f>
        <v>2731.93</v>
      </c>
      <c r="I77" s="52"/>
      <c r="J77" s="80"/>
      <c r="K77" s="73"/>
      <c r="L77" s="212"/>
      <c r="M77" s="211"/>
      <c r="N77" s="211"/>
      <c r="O77" s="212"/>
    </row>
    <row r="78" spans="1:17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7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7" s="43" customFormat="1" ht="13.5">
      <c r="A80" s="49" t="s">
        <v>885</v>
      </c>
      <c r="B80" s="49">
        <f>SUM(G81:G85)</f>
        <v>0</v>
      </c>
      <c r="C80" s="49">
        <f>SUM(H81:H84)</f>
        <v>290</v>
      </c>
      <c r="D80" s="49">
        <f>C80-B80</f>
        <v>290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0</v>
      </c>
      <c r="H81" s="43">
        <v>100</v>
      </c>
      <c r="I81" s="52">
        <f t="shared" si="3"/>
        <v>100</v>
      </c>
      <c r="J81" s="80">
        <f>Jan!I81+Feb!I81+Mar!I81+Apr!I81+May!I81+Jun!I81+July!I81+Aug!I81</f>
        <v>167.56</v>
      </c>
      <c r="K81" s="73"/>
      <c r="L81" s="212"/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0</v>
      </c>
      <c r="H82" s="43">
        <v>60</v>
      </c>
      <c r="I82" s="52">
        <f t="shared" si="3"/>
        <v>60</v>
      </c>
      <c r="J82" s="80">
        <f>Jan!I82+Feb!I82+Mar!I82+Apr!I82+May!I82+Jun!I82+July!I82+Aug!I82</f>
        <v>64.639999999999986</v>
      </c>
      <c r="K82" s="73"/>
      <c r="L82" s="212"/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0</v>
      </c>
      <c r="H83" s="43">
        <v>100</v>
      </c>
      <c r="I83" s="52">
        <f t="shared" si="3"/>
        <v>100</v>
      </c>
      <c r="J83" s="80">
        <f>Jan!I83+Feb!I83+Mar!I83+Apr!I83+May!I83+Jun!I83+July!I83+Aug!I83</f>
        <v>398.12</v>
      </c>
      <c r="K83" s="73"/>
      <c r="L83" s="212"/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0</v>
      </c>
      <c r="H84" s="43">
        <v>30</v>
      </c>
      <c r="I84" s="52">
        <f t="shared" si="3"/>
        <v>30</v>
      </c>
      <c r="J84" s="80">
        <f>Jan!I84+Feb!I84+Mar!I84+Apr!I84+May!I84+Jun!I84+July!I84+Aug!I84</f>
        <v>8.48</v>
      </c>
      <c r="K84" s="73"/>
      <c r="L84" s="212"/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Jan!I87+Feb!I87+Mar!I87+Apr!I87+May!I87+Jun!I87+July!I87+Aug!I87</f>
        <v>800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3"/>
        <v>200</v>
      </c>
      <c r="J88" s="80">
        <f>Jan!I88+Feb!I88+Mar!I88+Apr!I88+May!I88+Jun!I88+July!I88+Aug!I88</f>
        <v>1028.75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Jan!I89+Feb!I89+Mar!I89+Apr!I89+May!I89+Jun!I89+July!I89+Aug!I89</f>
        <v>288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Jan!I92+Feb!I92+Mar!I92+Apr!I92+May!I92+Jun!I92+July!I92+Aug!I92</f>
        <v>148.55000000000001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Jan!I93+Feb!I93+Mar!I93+Apr!I93+May!I93+Jun!I93+July!I93+Aug!I93</f>
        <v>40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Jan!I94+Feb!I94+Mar!I94+Apr!I94+May!I94+Jun!I94+July!I94+Aug!I94</f>
        <v>520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Jan!I95+Feb!I95+Mar!I95+Apr!I95+May!I95+Jun!I95+July!I95+Aug!I95</f>
        <v>120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Jan!I96+Feb!I96+Mar!I96+Apr!I96+May!I96+Jun!I96+July!I96+Aug!I96</f>
        <v>280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Jan!I97+Feb!I97+Mar!I97+Apr!I97+May!I97+Jun!I97+July!I97+Aug!I97</f>
        <v>208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Jan!I98+Feb!I98+Mar!I98+Apr!I98+May!I98+Jun!I98+July!I98+Aug!I98</f>
        <v>96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Jan!I101+Feb!I101+Mar!I101+Apr!I101+May!I101+Jun!I101+July!I101+Aug!I101</f>
        <v>480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3"/>
        <v>100</v>
      </c>
      <c r="J102" s="80">
        <f>Jan!I102+Feb!I102+Mar!I102+Apr!I102+May!I102+Jun!I102+July!I102+Aug!I102</f>
        <v>-429.68999999999994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Jan!I103+Feb!I103+Mar!I103+Apr!I103+May!I103+Jun!I103+July!I103+Aug!I103</f>
        <v>80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5">SUM(L106:O106)</f>
        <v>0</v>
      </c>
      <c r="H106" s="43">
        <v>100</v>
      </c>
      <c r="I106" s="52">
        <f t="shared" si="3"/>
        <v>100</v>
      </c>
      <c r="J106" s="80">
        <f>Jan!I106+Feb!I106+Mar!I106+Apr!I106+May!I106+Jun!I106+July!I106+Aug!I106</f>
        <v>587.14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5"/>
        <v>0</v>
      </c>
      <c r="H107" s="43">
        <v>25</v>
      </c>
      <c r="I107" s="52">
        <f t="shared" si="3"/>
        <v>25</v>
      </c>
      <c r="J107" s="80">
        <f>Jan!I107+Feb!I107+Mar!I107+Apr!I107+May!I107+Jun!I107+July!I107+Aug!I107</f>
        <v>-351.5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5"/>
        <v>0</v>
      </c>
      <c r="H108" s="43">
        <v>75</v>
      </c>
      <c r="I108" s="52">
        <f t="shared" si="3"/>
        <v>75</v>
      </c>
      <c r="J108" s="80">
        <f>Jan!I108+Feb!I108+Mar!I108+Apr!I108+May!I108+Jun!I108+July!I108+Aug!I108</f>
        <v>491.89</v>
      </c>
      <c r="K108" s="73"/>
      <c r="L108" s="212"/>
      <c r="M108" s="211"/>
      <c r="N108" s="211"/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5"/>
        <v>0</v>
      </c>
      <c r="H109" s="43">
        <v>25</v>
      </c>
      <c r="I109" s="52">
        <f t="shared" si="3"/>
        <v>25</v>
      </c>
      <c r="J109" s="80">
        <f>Jan!I109+Feb!I109+Mar!I109+Apr!I109+May!I109+Jun!I109+July!I109+Aug!I109</f>
        <v>92.77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5"/>
        <v>0</v>
      </c>
      <c r="H112" s="43">
        <v>150</v>
      </c>
      <c r="I112" s="52">
        <f t="shared" si="3"/>
        <v>150</v>
      </c>
      <c r="J112" s="80">
        <f>Jan!I112+Feb!I112+Mar!I112+Apr!I112+May!I112+Jun!I112+July!I112+Aug!I112</f>
        <v>-118.22000000000003</v>
      </c>
      <c r="K112" s="73"/>
      <c r="L112" s="212"/>
      <c r="M112" s="211"/>
      <c r="N112" s="211"/>
      <c r="O112" s="212"/>
    </row>
    <row r="113" spans="1:17" s="43" customFormat="1" ht="13.5">
      <c r="A113" s="49"/>
      <c r="B113" s="43" t="s">
        <v>323</v>
      </c>
      <c r="G113" s="43">
        <f t="shared" si="5"/>
        <v>0</v>
      </c>
      <c r="H113" s="43">
        <v>215</v>
      </c>
      <c r="I113" s="52">
        <f t="shared" si="3"/>
        <v>215</v>
      </c>
      <c r="J113" s="80">
        <f>Jan!I113+Feb!I113+Mar!I113+Apr!I113+May!I113+Jun!I113+July!I113+Aug!I113</f>
        <v>264.28999999999996</v>
      </c>
      <c r="K113" s="73"/>
      <c r="L113" s="212"/>
      <c r="M113" s="211"/>
      <c r="N113" s="211"/>
      <c r="O113" s="212"/>
    </row>
    <row r="114" spans="1:17" s="43" customFormat="1" ht="13.5">
      <c r="A114" s="49"/>
      <c r="B114" s="43" t="s">
        <v>317</v>
      </c>
      <c r="G114" s="43">
        <f t="shared" si="5"/>
        <v>0</v>
      </c>
      <c r="H114" s="43">
        <v>50</v>
      </c>
      <c r="I114" s="52">
        <f t="shared" si="3"/>
        <v>50</v>
      </c>
      <c r="J114" s="80">
        <f>Jan!I114+Feb!I114+Mar!I114+Apr!I114+May!I114+Jun!I114+July!I114+Aug!I114</f>
        <v>-6503.5300000000007</v>
      </c>
      <c r="K114" s="73"/>
      <c r="L114" s="212"/>
      <c r="M114" s="211"/>
      <c r="N114" s="211"/>
      <c r="O114" s="212"/>
    </row>
    <row r="115" spans="1:17" s="43" customFormat="1" ht="13.5">
      <c r="A115" s="49"/>
      <c r="B115" s="43" t="s">
        <v>907</v>
      </c>
      <c r="G115" s="43">
        <f t="shared" si="5"/>
        <v>0</v>
      </c>
      <c r="H115" s="43">
        <v>100</v>
      </c>
      <c r="I115" s="52">
        <f t="shared" si="3"/>
        <v>100</v>
      </c>
      <c r="J115" s="80">
        <f>Jan!I115+Feb!I115+Mar!I115+Apr!I115+May!I115+Jun!I115+July!I115+Aug!I115</f>
        <v>800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67.070000000000007</v>
      </c>
      <c r="C117" s="49">
        <f>SUM(H118:H128)</f>
        <v>820</v>
      </c>
      <c r="D117" s="49">
        <f>C117-B117</f>
        <v>752.93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5"/>
        <v>0</v>
      </c>
      <c r="H118" s="43">
        <v>100</v>
      </c>
      <c r="I118" s="52">
        <f t="shared" si="3"/>
        <v>100</v>
      </c>
      <c r="J118" s="80">
        <f>Jan!I118+Feb!I118+Mar!I118+Apr!I118+May!I118+Jun!I118+July!I118+Aug!I118</f>
        <v>-643</v>
      </c>
      <c r="K118" s="73"/>
      <c r="L118" s="212"/>
      <c r="M118" s="211"/>
      <c r="N118" s="211"/>
      <c r="O118" s="212"/>
    </row>
    <row r="119" spans="1:17" s="43" customFormat="1" ht="13.5">
      <c r="B119" s="43" t="s">
        <v>908</v>
      </c>
      <c r="G119" s="43">
        <f t="shared" si="5"/>
        <v>0</v>
      </c>
      <c r="H119" s="43">
        <v>100</v>
      </c>
      <c r="I119" s="52">
        <f t="shared" si="3"/>
        <v>100</v>
      </c>
      <c r="J119" s="80">
        <f>Jan!I119+Feb!I119+Mar!I119+Apr!I119+May!I119+Jun!I119+July!I119+Aug!I119</f>
        <v>180.92000000000002</v>
      </c>
      <c r="K119" s="73"/>
      <c r="L119" s="212"/>
      <c r="M119" s="211"/>
      <c r="N119" s="211"/>
      <c r="O119" s="212"/>
    </row>
    <row r="120" spans="1:17" s="43" customFormat="1" ht="14.25" thickBot="1">
      <c r="B120" s="43" t="s">
        <v>304</v>
      </c>
      <c r="G120" s="43">
        <f t="shared" si="5"/>
        <v>58.370000000000005</v>
      </c>
      <c r="H120" s="43">
        <v>500</v>
      </c>
      <c r="I120" s="52">
        <f t="shared" si="3"/>
        <v>441.63</v>
      </c>
      <c r="J120" s="80">
        <f>Jan!I120+Feb!I120+Mar!I120+Apr!I120+May!I120+Jun!I120+July!I120+Aug!I120</f>
        <v>970.99999999999989</v>
      </c>
      <c r="K120" s="73"/>
      <c r="L120" s="212"/>
      <c r="M120" s="211">
        <f>28.37+30</f>
        <v>58.370000000000005</v>
      </c>
      <c r="N120" s="211"/>
      <c r="O120" s="212"/>
    </row>
    <row r="121" spans="1:17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5"/>
        <v>0</v>
      </c>
      <c r="H122" s="43">
        <v>50</v>
      </c>
      <c r="I122" s="52">
        <f t="shared" si="3"/>
        <v>50</v>
      </c>
      <c r="J122" s="80">
        <f>Jan!I122+Feb!I122+Mar!I122+Apr!I122+May!I122+Jun!I122+July!I122+Aug!I122</f>
        <v>388.79</v>
      </c>
      <c r="K122" s="73"/>
      <c r="L122" s="212"/>
      <c r="M122" s="211"/>
      <c r="N122" s="211"/>
      <c r="O122" s="212"/>
    </row>
    <row r="123" spans="1:17" s="43" customFormat="1" ht="14.25" thickBot="1">
      <c r="B123" s="43" t="s">
        <v>43</v>
      </c>
      <c r="G123" s="43">
        <f t="shared" si="5"/>
        <v>8.6999999999999993</v>
      </c>
      <c r="H123" s="43">
        <v>50</v>
      </c>
      <c r="I123" s="52">
        <f t="shared" si="3"/>
        <v>41.3</v>
      </c>
      <c r="J123" s="80">
        <f>Jan!I123+Feb!I123+Mar!I123+Apr!I123+May!I123+Jun!I123+July!I123+Aug!I123</f>
        <v>19.629999999999995</v>
      </c>
      <c r="K123" s="73"/>
      <c r="L123" s="212"/>
      <c r="M123" s="211">
        <v>8.6999999999999993</v>
      </c>
      <c r="N123" s="211"/>
      <c r="O123" s="212"/>
    </row>
    <row r="124" spans="1:17" s="43" customFormat="1" ht="14.25" thickBot="1">
      <c r="C124" s="157" t="s">
        <v>299</v>
      </c>
      <c r="D124" s="158"/>
      <c r="E124" s="79">
        <v>8.6999999999999993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  <c r="Q126" s="105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5"/>
        <v>0</v>
      </c>
      <c r="H128" s="43">
        <v>20</v>
      </c>
      <c r="I128" s="52">
        <f t="shared" si="3"/>
        <v>20</v>
      </c>
      <c r="J128" s="80">
        <f>Jan!I128+Feb!I128+Mar!I128+Apr!I128+May!I128+Jun!I128+July!I128+Aug!I128</f>
        <v>86.93</v>
      </c>
      <c r="K128" s="73"/>
      <c r="L128" s="212"/>
      <c r="M128" s="211"/>
      <c r="N128" s="211"/>
      <c r="O128" s="212"/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5"/>
        <v>0</v>
      </c>
      <c r="H131" s="43">
        <v>50</v>
      </c>
      <c r="I131" s="52">
        <f t="shared" si="3"/>
        <v>50</v>
      </c>
      <c r="J131" s="80">
        <f>Jan!I131+Feb!I131+Mar!I131+Apr!I131+May!I131+Jun!I131+July!I131+Aug!I131</f>
        <v>289.98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5"/>
        <v>0</v>
      </c>
      <c r="H134" s="43">
        <v>100</v>
      </c>
      <c r="I134" s="52">
        <f t="shared" ref="I134:I163" si="6">H134-G134</f>
        <v>100</v>
      </c>
      <c r="J134" s="80">
        <f>Jan!I134+Feb!I134+Mar!I134+Apr!I134+May!I134+Jun!I134+July!I134+Aug!I134</f>
        <v>397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5"/>
        <v>0</v>
      </c>
      <c r="H135" s="43">
        <v>100</v>
      </c>
      <c r="I135" s="52">
        <f t="shared" si="6"/>
        <v>100</v>
      </c>
      <c r="J135" s="80">
        <f>Jan!I135+Feb!I135+Mar!I135+Apr!I135+May!I135+Jun!I135+July!I135+Aug!I135</f>
        <v>775.86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5"/>
        <v>0</v>
      </c>
      <c r="H136" s="43">
        <v>30</v>
      </c>
      <c r="I136" s="52">
        <f t="shared" si="6"/>
        <v>30</v>
      </c>
      <c r="J136" s="80">
        <f>Jan!I136+Feb!I136+Mar!I136+Apr!I136+May!I136+Jun!I136+July!I136+Aug!I136</f>
        <v>236.74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5"/>
        <v>0</v>
      </c>
      <c r="H139" s="43">
        <v>10</v>
      </c>
      <c r="I139" s="52">
        <f t="shared" si="6"/>
        <v>10</v>
      </c>
      <c r="J139" s="80">
        <f>Jan!I139+Feb!I139+Mar!I139+Apr!I139+May!I139+Jun!I139+July!I139+Aug!I139</f>
        <v>54.5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5"/>
        <v>0</v>
      </c>
      <c r="H142" s="43">
        <v>150</v>
      </c>
      <c r="I142" s="52">
        <f t="shared" si="6"/>
        <v>150</v>
      </c>
      <c r="J142" s="80">
        <f>Jan!I142+Feb!I142+Mar!I142+Apr!I142+May!I142+Jun!I142+July!I142+Aug!I142</f>
        <v>438.26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5"/>
        <v>0</v>
      </c>
      <c r="H143" s="43">
        <v>100</v>
      </c>
      <c r="I143" s="52">
        <f t="shared" si="6"/>
        <v>100</v>
      </c>
      <c r="J143" s="80">
        <f>Jan!I143+Feb!I143+Mar!I143+Apr!I143+May!I143+Jun!I143+July!I143+Aug!I143</f>
        <v>234.76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5"/>
        <v>0</v>
      </c>
      <c r="H149" s="43">
        <v>100</v>
      </c>
      <c r="I149" s="52">
        <f t="shared" si="6"/>
        <v>100</v>
      </c>
      <c r="J149" s="80">
        <f>Jan!I149+Feb!I149+Mar!I149+Apr!I149+May!I149+Jun!I149+July!I149+Aug!I149</f>
        <v>460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5"/>
        <v>0</v>
      </c>
      <c r="H150" s="43">
        <v>100</v>
      </c>
      <c r="I150" s="52">
        <f t="shared" si="6"/>
        <v>100</v>
      </c>
      <c r="J150" s="80">
        <f>Jan!I150+Feb!I150+Mar!I150+Apr!I150+May!I150+Jun!I150+July!I150+Aug!I150</f>
        <v>800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5"/>
        <v>0</v>
      </c>
      <c r="H151" s="43">
        <v>30</v>
      </c>
      <c r="I151" s="52">
        <f t="shared" si="6"/>
        <v>30</v>
      </c>
      <c r="J151" s="80">
        <f>Jan!I151+Feb!I151+Mar!I151+Apr!I151+May!I151+Jun!I151+July!I151+Aug!I151</f>
        <v>240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5"/>
        <v>0</v>
      </c>
      <c r="H152" s="43">
        <v>50</v>
      </c>
      <c r="I152" s="52">
        <f t="shared" si="6"/>
        <v>50</v>
      </c>
      <c r="J152" s="80">
        <f>Jan!I152+Feb!I152+Mar!I152+Apr!I152+May!I152+Jun!I152+July!I152+Aug!I152</f>
        <v>400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5"/>
        <v>0</v>
      </c>
      <c r="H153" s="43">
        <v>10</v>
      </c>
      <c r="I153" s="52">
        <f t="shared" si="6"/>
        <v>10</v>
      </c>
      <c r="J153" s="80">
        <f>Jan!I153+Feb!I153+Mar!I153+Apr!I153+May!I153+Jun!I153+July!I153+Aug!I153</f>
        <v>80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5"/>
        <v>0</v>
      </c>
      <c r="H156" s="43">
        <v>30</v>
      </c>
      <c r="I156" s="52">
        <f t="shared" si="6"/>
        <v>30</v>
      </c>
      <c r="J156" s="80">
        <f>Jan!I156+Feb!I156+Mar!I156+Apr!I156+May!I156+Jun!I156+July!I156+Aug!I156</f>
        <v>185.55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5"/>
        <v>0</v>
      </c>
      <c r="H157" s="43">
        <v>30</v>
      </c>
      <c r="I157" s="52">
        <f t="shared" si="6"/>
        <v>30</v>
      </c>
      <c r="J157" s="80">
        <f ca="1">Jan!I157+Feb!I157+Mar!I157+Apr!I157+May!I157+Jun!I157+July!I157+Aug!I157</f>
        <v>240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5"/>
        <v>0</v>
      </c>
      <c r="H158" s="43">
        <v>30</v>
      </c>
      <c r="I158" s="52">
        <f t="shared" si="6"/>
        <v>30</v>
      </c>
      <c r="J158" s="80">
        <f>Jan!I158+Feb!I158+Mar!I158+Apr!I158+May!I158+Jun!I158+July!I158+Aug!I158</f>
        <v>240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5"/>
        <v>0</v>
      </c>
      <c r="H159" s="43">
        <v>30</v>
      </c>
      <c r="I159" s="52">
        <f t="shared" si="6"/>
        <v>30</v>
      </c>
      <c r="J159" s="80">
        <f>Jan!I159+Feb!I159+Mar!I159+Apr!I159+May!I159+Jun!I159+July!I159+Aug!I159</f>
        <v>240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5"/>
        <v>0</v>
      </c>
      <c r="H160" s="43">
        <v>100</v>
      </c>
      <c r="I160" s="52">
        <f t="shared" si="6"/>
        <v>100</v>
      </c>
      <c r="J160" s="80">
        <f>Jan!I160+Feb!I160+Mar!I160+Apr!I160+May!I160+Jun!I160+July!I160+Aug!I160</f>
        <v>-700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6"/>
        <v>100</v>
      </c>
      <c r="J163" s="80">
        <f>Jan!I163+Feb!I163+Mar!I163+Apr!I163+May!I163+Jun!I163+July!I163+Aug!I163</f>
        <v>800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B35" zoomScale="95" zoomScaleNormal="95" workbookViewId="0">
      <selection activeCell="R30" sqref="R30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14</v>
      </c>
      <c r="C2" s="64"/>
      <c r="M2" s="64"/>
    </row>
    <row r="3" spans="1:16">
      <c r="B3" s="56" t="s">
        <v>77</v>
      </c>
      <c r="M3" s="64"/>
      <c r="O3"/>
    </row>
    <row r="4" spans="1:16">
      <c r="A4" s="62" t="s">
        <v>4</v>
      </c>
      <c r="B4" s="67">
        <f>SUM(G5:G8)</f>
        <v>0</v>
      </c>
      <c r="C4" s="67"/>
      <c r="G4" s="56" t="s">
        <v>28</v>
      </c>
      <c r="L4" s="68"/>
      <c r="M4" s="64"/>
      <c r="O4"/>
    </row>
    <row r="5" spans="1:16" ht="12.75">
      <c r="A5" s="56" t="s">
        <v>842</v>
      </c>
      <c r="B5" s="106"/>
      <c r="C5" s="107"/>
      <c r="G5" s="106">
        <f>SUM(B5:E5)</f>
        <v>0</v>
      </c>
      <c r="H5" s="68"/>
      <c r="I5" s="68"/>
      <c r="J5" s="68"/>
      <c r="K5" s="72"/>
      <c r="L5" s="68"/>
      <c r="M5" s="64"/>
      <c r="O5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/>
    </row>
    <row r="8" spans="1:16">
      <c r="G8" s="106"/>
      <c r="H8" s="68"/>
      <c r="I8" s="68"/>
      <c r="J8" s="68"/>
      <c r="K8" s="72"/>
      <c r="O8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1720</v>
      </c>
      <c r="D11" s="43" t="s">
        <v>143</v>
      </c>
      <c r="E11" s="43" t="e">
        <f>G11/B4</f>
        <v>#DIV/0!</v>
      </c>
      <c r="F11" s="159"/>
      <c r="G11" s="44">
        <f>Tithe!D14</f>
        <v>1720</v>
      </c>
      <c r="H11" s="43">
        <v>1500</v>
      </c>
      <c r="I11" s="55">
        <f>H11-G11</f>
        <v>-220</v>
      </c>
      <c r="J11" s="82">
        <f>Jan!I11+Feb!I11+Mar!I11+Apr!I11+May!I11+Jun!I11+July!I11+Aug!I11+Sep!I11</f>
        <v>-10660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Jan!I14+Feb!I14+Mar!I14+Apr!I14+May!I14+Jun!I14+July!I14+Aug!I14+Sep!I14</f>
        <v>-1000.1999999999998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Jan!I15+Feb!I15+Mar!I15+Apr!I15+May!I15+Jun!I15+July!I15+Aug!I15+Sep!I15</f>
        <v>1800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Jan!I16+Feb!I16+Mar!I16+Apr!I16+May!I16+Jun!I16+July!I16+Aug!I16+Sep!I16</f>
        <v>2700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Jan!I17+Feb!I17+Mar!I17+Apr!I17+May!I17+Jun!I17+July!I17+Aug!I17+Sep!I17</f>
        <v>1800</v>
      </c>
      <c r="K17" s="75"/>
    </row>
    <row r="18" spans="1:12" s="43" customFormat="1" ht="13.5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Jan!I18+Feb!I18+Mar!I18+Apr!I18+May!I18+Jun!I18+July!I18+Aug!I18+Sep!I18</f>
        <v>450</v>
      </c>
      <c r="K18" s="75"/>
    </row>
    <row r="19" spans="1:12" s="43" customFormat="1" ht="13.5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Jan!I19+Feb!I19+Mar!I19+Apr!I19+May!I19+Jun!I19+July!I19+Aug!I19+Sep!I19</f>
        <v>1800</v>
      </c>
      <c r="K19" s="75"/>
    </row>
    <row r="20" spans="1:12" s="43" customFormat="1" ht="13.5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Jan!I20+Feb!I20+Mar!I20+Apr!I20+May!I20+Jun!I20+July!I20+Aug!I20+Sep!I20</f>
        <v>2700</v>
      </c>
      <c r="K20" s="75"/>
    </row>
    <row r="21" spans="1:12" s="43" customFormat="1" ht="13.5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3.5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Jan!I22+Feb!I22+Mar!I22+Apr!I22+May!I22+Jun!I22+July!I22+Aug!I22+Sep!I22</f>
        <v>0</v>
      </c>
      <c r="K22" s="75"/>
      <c r="L22" s="43" t="s">
        <v>1028</v>
      </c>
    </row>
    <row r="23" spans="1:12" s="43" customFormat="1" ht="13.5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3.5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3.5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Jan!I25+Feb!I25+Mar!I25+Apr!I25+May!I25+Jun!I25+July!I25+Aug!I25+Sep!I25</f>
        <v>4500</v>
      </c>
      <c r="K25" s="75"/>
    </row>
    <row r="26" spans="1:12" s="43" customFormat="1" ht="13.5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Jan!I26+Feb!I26+Mar!I26+Apr!I26+May!I26+Jun!I26+July!I26+Aug!I26+Sep!I26</f>
        <v>2700</v>
      </c>
      <c r="K26" s="75"/>
    </row>
    <row r="27" spans="1:12" s="43" customFormat="1" ht="13.5">
      <c r="A27" s="49"/>
      <c r="F27" s="159"/>
      <c r="G27" s="57"/>
      <c r="H27" s="57"/>
      <c r="I27" s="59"/>
      <c r="J27" s="70"/>
      <c r="K27" s="70"/>
    </row>
    <row r="28" spans="1:12" s="43" customFormat="1" ht="14.25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2230</v>
      </c>
      <c r="J28" s="58">
        <f>SUM(J11:J26)</f>
        <v>6789.7999999999993</v>
      </c>
      <c r="K28" s="76"/>
    </row>
    <row r="29" spans="1:12" s="43" customFormat="1" ht="15" thickTop="1" thickBot="1">
      <c r="H29" s="47"/>
      <c r="I29" s="47"/>
      <c r="J29" s="47"/>
      <c r="K29" s="76"/>
      <c r="L29" s="49" t="s">
        <v>330</v>
      </c>
    </row>
    <row r="30" spans="1:12" s="43" customFormat="1" ht="14.25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-1720</v>
      </c>
      <c r="H31" s="47"/>
      <c r="I31" s="47"/>
      <c r="J31" s="47"/>
      <c r="K31" s="76"/>
      <c r="L31" s="47"/>
    </row>
    <row r="32" spans="1:12" s="43" customFormat="1" ht="13.5">
      <c r="A32" s="43" t="s">
        <v>318</v>
      </c>
      <c r="B32" s="89"/>
      <c r="C32" s="45"/>
      <c r="D32" s="45"/>
      <c r="E32" s="45"/>
      <c r="F32" s="163"/>
      <c r="G32" s="165">
        <f>G46</f>
        <v>177.95000000000027</v>
      </c>
      <c r="H32" s="47"/>
      <c r="I32" s="47"/>
      <c r="J32" s="47"/>
      <c r="K32" s="76"/>
      <c r="L32" s="47"/>
    </row>
    <row r="33" spans="1:17" s="43" customFormat="1" ht="13.5">
      <c r="A33" s="49" t="s">
        <v>359</v>
      </c>
      <c r="B33" s="49"/>
      <c r="F33" s="159"/>
      <c r="G33" s="69">
        <f>G31-G32-M42-N42</f>
        <v>-1897.9500000000003</v>
      </c>
      <c r="H33" s="47"/>
      <c r="I33" s="47"/>
      <c r="J33" s="47"/>
      <c r="K33" s="76"/>
      <c r="L33" s="47"/>
    </row>
    <row r="34" spans="1:17" s="43" customFormat="1" ht="13.5">
      <c r="H34" s="47"/>
      <c r="I34" s="47"/>
      <c r="J34" s="47"/>
      <c r="K34" s="76"/>
      <c r="L34" s="47"/>
    </row>
    <row r="35" spans="1:17" s="43" customFormat="1" ht="13.5">
      <c r="A35" s="49"/>
      <c r="B35" s="49"/>
      <c r="F35" s="159"/>
      <c r="G35" s="113"/>
      <c r="H35" s="47"/>
      <c r="I35" s="47"/>
      <c r="J35" s="47"/>
      <c r="K35" s="76"/>
      <c r="L35" s="47"/>
    </row>
    <row r="36" spans="1:17" s="43" customFormat="1" ht="13.5">
      <c r="A36" s="49"/>
      <c r="B36" s="49"/>
      <c r="F36" s="159"/>
      <c r="G36" s="69"/>
      <c r="H36" s="47"/>
      <c r="I36" s="47"/>
      <c r="J36" s="47"/>
      <c r="K36" s="76"/>
      <c r="L36" s="47"/>
    </row>
    <row r="37" spans="1:17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7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7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7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7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100</v>
      </c>
      <c r="N41" s="43">
        <f>N46+N44+N43+N42</f>
        <v>0</v>
      </c>
      <c r="O41" s="43">
        <f>O46+O44+O43+O42</f>
        <v>0</v>
      </c>
    </row>
    <row r="42" spans="1:17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  <c r="Q42" s="43">
        <f>N40-N41</f>
        <v>0</v>
      </c>
    </row>
    <row r="43" spans="1:17" s="43" customFormat="1" ht="13.5">
      <c r="B43" s="49"/>
      <c r="F43" s="159"/>
      <c r="I43" s="52"/>
      <c r="J43" s="80" t="s">
        <v>146</v>
      </c>
      <c r="K43" s="73"/>
    </row>
    <row r="44" spans="1:17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7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7" s="43" customFormat="1" ht="14.25" thickBot="1">
      <c r="D46"/>
      <c r="E46" s="162"/>
      <c r="F46" s="159"/>
      <c r="G46" s="84">
        <f>SUM(G48:G158)</f>
        <v>177.95000000000027</v>
      </c>
      <c r="H46" s="84">
        <f>SUM(H48:H159)</f>
        <v>4426.9500000000007</v>
      </c>
      <c r="I46" s="84">
        <f>H46-G46</f>
        <v>4249</v>
      </c>
      <c r="J46" s="84">
        <f ca="1">SUM(J48:J163)</f>
        <v>0</v>
      </c>
      <c r="K46" s="77"/>
      <c r="L46" s="207">
        <f>SUM(L49:L163)</f>
        <v>177.95000000000027</v>
      </c>
      <c r="M46" s="208">
        <f>SUM(M49:M163)</f>
        <v>0</v>
      </c>
      <c r="N46" s="209">
        <f>SUM(N49:N163)</f>
        <v>0</v>
      </c>
      <c r="O46" s="209">
        <f>SUM(O49:O163)</f>
        <v>0</v>
      </c>
    </row>
    <row r="47" spans="1:17" s="43" customFormat="1" ht="14.25" thickBot="1">
      <c r="A47" s="89" t="s">
        <v>292</v>
      </c>
      <c r="B47" s="157">
        <f>B48+B61+B65</f>
        <v>177.95000000000027</v>
      </c>
      <c r="C47" s="157">
        <f>C48+C61+C65</f>
        <v>797.95000000000027</v>
      </c>
      <c r="D47" s="79">
        <f>D48+D61+D65</f>
        <v>620</v>
      </c>
      <c r="I47" s="52"/>
      <c r="J47" s="80"/>
      <c r="K47" s="73"/>
      <c r="L47" s="210"/>
      <c r="M47" s="211"/>
      <c r="N47" s="211"/>
      <c r="O47" s="212"/>
    </row>
    <row r="48" spans="1:17" s="43" customFormat="1" ht="13.5">
      <c r="A48" s="49" t="s">
        <v>278</v>
      </c>
      <c r="B48" s="49">
        <f>SUM(G49:G57)</f>
        <v>177.95000000000027</v>
      </c>
      <c r="C48" s="49">
        <f>SUM(H49:H57)</f>
        <v>457.95000000000027</v>
      </c>
      <c r="D48" s="49">
        <f>SUM(I49:I57)</f>
        <v>280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Jan!I49+Feb!I49+Mar!I49+Apr!I49+May!I49+Jun!I49+July!I49+Aug!I49+Sep!I49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Jan!I50+Feb!I50+Mar!I50+Apr!I50+May!I50+Jun!I50+July!I50+Aug!I50+Sep!I50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Jan!I51+Feb!I51+Mar!I51+Apr!I51+May!I51+Jun!I51+July!I51+Aug!I51+Sep!I51</f>
        <v>735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Jan!I52+Feb!I52+Mar!I52+Apr!I52+May!I52+Jun!I52+July!I52+Aug!I52+Sep!I52</f>
        <v>900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Jan!I53+Feb!I53+Mar!I53+Apr!I53+May!I53+Jun!I53+July!I53+Aug!I53+Sep!I53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Jan!I54+Feb!I54+Mar!I54+Apr!I54+May!I54+Jun!I54+July!I54+Aug!I54+Sep!I54</f>
        <v>119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Jan!I55+Feb!I55+Mar!I55+Apr!I55+May!I55+Jun!I55+July!I55+Aug!I55+Sep!I55</f>
        <v>-27363.32</v>
      </c>
      <c r="K55" s="73"/>
      <c r="L55" s="212"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Jan!I56+Feb!I56+Mar!I56+Apr!I56+May!I56+Jun!I56+July!I56+Aug!I56+Sep!I56</f>
        <v>782.51999999999987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Jan!I57+Feb!I57+Mar!I57+Apr!I57+May!I57+Jun!I57+July!I57+Aug!I57+Sep!I57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0</v>
      </c>
      <c r="C61" s="49">
        <f>SUM(H62:H63)</f>
        <v>260</v>
      </c>
      <c r="D61" s="49">
        <f>C61-B61</f>
        <v>260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0</v>
      </c>
      <c r="H62" s="43">
        <v>150</v>
      </c>
      <c r="I62" s="52">
        <f t="shared" ref="I62:I131" si="3">H62-G62</f>
        <v>150</v>
      </c>
      <c r="J62" s="80">
        <f>Jan!I62+Feb!I62+Mar!I62+Apr!I62+May!I62+Jun!I62+July!I62+Aug!I62+Sep!I62</f>
        <v>499.46</v>
      </c>
      <c r="K62" s="73"/>
      <c r="L62" s="212"/>
      <c r="M62" s="211"/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 t="shared" si="3"/>
        <v>110</v>
      </c>
      <c r="J63" s="80">
        <f>Jan!I63+Feb!I63+Mar!I63+Apr!I63+May!I63+Jun!I63+July!I63+Aug!I63+Sep!I63</f>
        <v>349.81</v>
      </c>
      <c r="K63" s="73"/>
      <c r="L63" s="212"/>
      <c r="M63" s="211"/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0</v>
      </c>
      <c r="C65" s="49">
        <f>SUM(H66:H68)</f>
        <v>80</v>
      </c>
      <c r="D65" s="49">
        <f>C65-B65</f>
        <v>80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Jan!I66+Feb!I66+Mar!I66+Apr!I66+May!I66+Jun!I66+July!I66+Aug!I66+Sep!I66</f>
        <v>132.75</v>
      </c>
      <c r="K66" s="73"/>
      <c r="L66" s="212"/>
      <c r="M66" s="211"/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Jan!I67+Feb!I67+Mar!I67+Apr!I67+May!I67+Jun!I67+July!I67+Aug!I67+Sep!I67</f>
        <v>160.99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si="3"/>
        <v>30</v>
      </c>
      <c r="J68" s="80">
        <f>Jan!I68+Feb!I68+Mar!I68+Apr!I68+May!I68+Jun!I68+July!I68+Aug!I68+Sep!I68</f>
        <v>217.25</v>
      </c>
      <c r="K68" s="73"/>
      <c r="L68" s="212"/>
      <c r="M68" s="211"/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>SUM(L71:O71)</f>
        <v>0</v>
      </c>
      <c r="H71" s="43">
        <v>25</v>
      </c>
      <c r="I71" s="52">
        <f t="shared" si="3"/>
        <v>25</v>
      </c>
      <c r="J71" s="80">
        <f>Jan!I71+Feb!I71+Mar!I71+Apr!I71+May!I71+Jun!I71+July!I71+Aug!I71+Sep!I71</f>
        <v>-241.68000000000006</v>
      </c>
      <c r="K71" s="73"/>
      <c r="L71" s="212"/>
      <c r="M71" s="211"/>
      <c r="N71" s="211"/>
      <c r="O71" s="212"/>
    </row>
    <row r="72" spans="1:15" s="43" customFormat="1" ht="13.5">
      <c r="A72" s="49"/>
      <c r="B72" s="43" t="s">
        <v>284</v>
      </c>
      <c r="G72" s="43">
        <f t="shared" ref="G72:G75" si="4">SUM(L72:O72)</f>
        <v>0</v>
      </c>
      <c r="H72" s="43">
        <v>25</v>
      </c>
      <c r="I72" s="52">
        <f t="shared" si="3"/>
        <v>25</v>
      </c>
      <c r="J72" s="80">
        <f>Jan!I72+Feb!I72+Mar!I72+Apr!I72+May!I72+Jun!I72+July!I72+Aug!I72+Sep!I72</f>
        <v>225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4"/>
        <v>0</v>
      </c>
      <c r="H73" s="43">
        <v>20</v>
      </c>
      <c r="I73" s="52">
        <f t="shared" si="3"/>
        <v>20</v>
      </c>
      <c r="J73" s="80">
        <f>Jan!I73+Feb!I73+Mar!I73+Apr!I73+May!I73+Jun!I73+July!I73+Aug!I73+Sep!I73</f>
        <v>-98.07</v>
      </c>
      <c r="K73" s="73"/>
      <c r="L73" s="212"/>
      <c r="M73" s="211"/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4"/>
        <v>0</v>
      </c>
      <c r="H75" s="43">
        <v>75</v>
      </c>
      <c r="I75" s="52">
        <f t="shared" si="3"/>
        <v>75</v>
      </c>
      <c r="J75" s="80">
        <f>Jan!I75+Feb!I75+Mar!I75+Apr!I75+May!I75+Jun!I75+July!I75+Aug!I75+Sep!I75</f>
        <v>216.64000000000001</v>
      </c>
      <c r="K75" s="73"/>
      <c r="L75" s="212"/>
      <c r="M75" s="211"/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0</v>
      </c>
      <c r="C77" s="187">
        <f>C80+C86+C91+C100+C105+C111+C117+C130+C133+C138+C141</f>
        <v>2849</v>
      </c>
      <c r="D77" s="187">
        <f>D80+D86+D91+D100+D105+D111+D117+D130+D133+D138+D141</f>
        <v>2799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0</v>
      </c>
      <c r="C80" s="49">
        <f>SUM(H81:H84)</f>
        <v>290</v>
      </c>
      <c r="D80" s="49">
        <f>C80-B80</f>
        <v>290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0</v>
      </c>
      <c r="H81" s="43">
        <v>100</v>
      </c>
      <c r="I81" s="52">
        <f t="shared" si="3"/>
        <v>100</v>
      </c>
      <c r="J81" s="80">
        <f>Jan!I81+Feb!I81+Mar!I81+Apr!I81+May!I81+Jun!I81+July!I81+Aug!I81+Sep!I81</f>
        <v>267.56</v>
      </c>
      <c r="K81" s="73"/>
      <c r="L81" s="212"/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0</v>
      </c>
      <c r="H82" s="43">
        <v>60</v>
      </c>
      <c r="I82" s="52">
        <f t="shared" si="3"/>
        <v>60</v>
      </c>
      <c r="J82" s="80">
        <f>Jan!I82+Feb!I82+Mar!I82+Apr!I82+May!I82+Jun!I82+July!I82+Aug!I82+Sep!I82</f>
        <v>124.63999999999999</v>
      </c>
      <c r="K82" s="73"/>
      <c r="L82" s="212"/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0</v>
      </c>
      <c r="H83" s="43">
        <v>100</v>
      </c>
      <c r="I83" s="52">
        <f t="shared" si="3"/>
        <v>100</v>
      </c>
      <c r="J83" s="80">
        <f>Jan!I83+Feb!I83+Mar!I83+Apr!I83+May!I83+Jun!I83+July!I83+Aug!I83+Sep!I83</f>
        <v>498.12</v>
      </c>
      <c r="K83" s="73"/>
      <c r="L83" s="212"/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0</v>
      </c>
      <c r="H84" s="43">
        <v>30</v>
      </c>
      <c r="I84" s="52">
        <f t="shared" si="3"/>
        <v>30</v>
      </c>
      <c r="J84" s="80">
        <f>Jan!I84+Feb!I84+Mar!I84+Apr!I84+May!I84+Jun!I84+July!I84+Aug!I84+Sep!I84</f>
        <v>38.480000000000004</v>
      </c>
      <c r="K84" s="73"/>
      <c r="L84" s="212"/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Jan!I87+Feb!I87+Mar!I87+Apr!I87+May!I87+Jun!I87+July!I87+Aug!I87+Sep!I87</f>
        <v>900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3"/>
        <v>200</v>
      </c>
      <c r="J88" s="80">
        <f>Jan!I88+Feb!I88+Mar!I88+Apr!I88+May!I88+Jun!I88+July!I88+Aug!I88+Sep!I88</f>
        <v>1228.75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Jan!I89+Feb!I89+Mar!I89+Apr!I89+May!I89+Jun!I89+July!I89+Aug!I89+Sep!I89</f>
        <v>324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Jan!I92+Feb!I92+Mar!I92+Apr!I92+May!I92+Jun!I92+July!I92+Aug!I92+Sep!I92</f>
        <v>168.55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Jan!I93+Feb!I93+Mar!I93+Apr!I93+May!I93+Jun!I93+July!I93+Aug!I93+Sep!I93</f>
        <v>45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Jan!I94+Feb!I94+Mar!I94+Apr!I94+May!I94+Jun!I94+July!I94+Aug!I94+Sep!I94</f>
        <v>585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Jan!I95+Feb!I95+Mar!I95+Apr!I95+May!I95+Jun!I95+July!I95+Aug!I95+Sep!I95</f>
        <v>135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Jan!I96+Feb!I96+Mar!I96+Apr!I96+May!I96+Jun!I96+July!I96+Aug!I96+Sep!I96</f>
        <v>315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Jan!I97+Feb!I97+Mar!I97+Apr!I97+May!I97+Jun!I97+July!I97+Aug!I97+Sep!I97</f>
        <v>234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Jan!I98+Feb!I98+Mar!I98+Apr!I98+May!I98+Jun!I98+July!I98+Aug!I98+Sep!I98</f>
        <v>108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Jan!I101+Feb!I101+Mar!I101+Apr!I101+May!I101+Jun!I101+July!I101+Aug!I101+Sep!I101</f>
        <v>540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3"/>
        <v>100</v>
      </c>
      <c r="J102" s="80">
        <f>Jan!I102+Feb!I102+Mar!I102+Apr!I102+May!I102+Jun!I102+July!I102+Aug!I102+Sep!I102</f>
        <v>-329.68999999999994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Jan!I103+Feb!I103+Mar!I103+Apr!I103+May!I103+Jun!I103+July!I103+Aug!I103+Sep!I103</f>
        <v>90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5">SUM(L106:O106)</f>
        <v>0</v>
      </c>
      <c r="H106" s="43">
        <v>100</v>
      </c>
      <c r="I106" s="52">
        <f t="shared" si="3"/>
        <v>100</v>
      </c>
      <c r="J106" s="80">
        <f>Jan!I106+Feb!I106+Mar!I106+Apr!I106+May!I106+Jun!I106+July!I106+Aug!I106+Sep!I106</f>
        <v>687.14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5"/>
        <v>0</v>
      </c>
      <c r="H107" s="43">
        <v>25</v>
      </c>
      <c r="I107" s="52">
        <f t="shared" si="3"/>
        <v>25</v>
      </c>
      <c r="J107" s="80">
        <f>Jan!I107+Feb!I107+Mar!I107+Apr!I107+May!I107+Jun!I107+July!I107+Aug!I107+Sep!I107</f>
        <v>-326.5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5"/>
        <v>0</v>
      </c>
      <c r="H108" s="43">
        <v>75</v>
      </c>
      <c r="I108" s="52">
        <f t="shared" si="3"/>
        <v>75</v>
      </c>
      <c r="J108" s="80">
        <f>Jan!I108+Feb!I108+Mar!I108+Apr!I108+May!I108+Jun!I108+July!I108+Aug!I108+Sep!I108</f>
        <v>566.89</v>
      </c>
      <c r="K108" s="73"/>
      <c r="L108" s="212"/>
      <c r="M108" s="211"/>
      <c r="N108" s="211"/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5"/>
        <v>0</v>
      </c>
      <c r="H109" s="43">
        <v>25</v>
      </c>
      <c r="I109" s="52">
        <f t="shared" si="3"/>
        <v>25</v>
      </c>
      <c r="J109" s="80">
        <f>Jan!I109+Feb!I109+Mar!I109+Apr!I109+May!I109+Jun!I109+July!I109+Aug!I109+Sep!I109</f>
        <v>117.77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5"/>
        <v>0</v>
      </c>
      <c r="H112" s="43">
        <v>150</v>
      </c>
      <c r="I112" s="52">
        <f t="shared" si="3"/>
        <v>150</v>
      </c>
      <c r="J112" s="80">
        <f>Jan!I112+Feb!I112+Mar!I112+Apr!I112+May!I112+Jun!I112+July!I112+Aug!I112+Sep!I112</f>
        <v>31.779999999999973</v>
      </c>
      <c r="K112" s="73"/>
      <c r="L112" s="212"/>
      <c r="M112" s="211"/>
      <c r="N112" s="211"/>
      <c r="O112" s="212"/>
    </row>
    <row r="113" spans="1:17" s="43" customFormat="1" ht="13.5">
      <c r="A113" s="49"/>
      <c r="B113" s="43" t="s">
        <v>323</v>
      </c>
      <c r="G113" s="43">
        <f t="shared" si="5"/>
        <v>0</v>
      </c>
      <c r="H113" s="43">
        <v>215</v>
      </c>
      <c r="I113" s="52">
        <f t="shared" si="3"/>
        <v>215</v>
      </c>
      <c r="J113" s="80">
        <f>Jan!I113+Feb!I113+Mar!I113+Apr!I113+May!I113+Jun!I113+July!I113+Aug!I113+Sep!I113</f>
        <v>479.28999999999996</v>
      </c>
      <c r="K113" s="73"/>
      <c r="L113" s="212"/>
      <c r="M113" s="211"/>
      <c r="N113" s="211"/>
      <c r="O113" s="212"/>
    </row>
    <row r="114" spans="1:17" s="43" customFormat="1" ht="13.5">
      <c r="A114" s="49"/>
      <c r="B114" s="43" t="s">
        <v>317</v>
      </c>
      <c r="G114" s="43">
        <f t="shared" si="5"/>
        <v>0</v>
      </c>
      <c r="H114" s="43">
        <v>50</v>
      </c>
      <c r="I114" s="52">
        <f t="shared" si="3"/>
        <v>50</v>
      </c>
      <c r="J114" s="80">
        <f>Jan!I114+Feb!I114+Mar!I114+Apr!I114+May!I114+Jun!I114+July!I114+Aug!I114+Sep!I114</f>
        <v>-6453.5300000000007</v>
      </c>
      <c r="K114" s="73"/>
      <c r="L114" s="212"/>
      <c r="M114" s="211"/>
      <c r="N114" s="211"/>
      <c r="O114" s="212"/>
    </row>
    <row r="115" spans="1:17" s="43" customFormat="1" ht="13.5">
      <c r="A115" s="49"/>
      <c r="B115" s="43" t="s">
        <v>907</v>
      </c>
      <c r="G115" s="43">
        <f t="shared" si="5"/>
        <v>0</v>
      </c>
      <c r="H115" s="43">
        <v>100</v>
      </c>
      <c r="I115" s="52">
        <f t="shared" si="3"/>
        <v>100</v>
      </c>
      <c r="J115" s="80">
        <f>Jan!I115+Feb!I115+Mar!I115+Apr!I115+May!I115+Jun!I115+July!I115+Aug!I115+Sep!I115</f>
        <v>900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0</v>
      </c>
      <c r="C117" s="49">
        <f>SUM(H118:H128)</f>
        <v>820</v>
      </c>
      <c r="D117" s="49">
        <f>C117-B117</f>
        <v>820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5"/>
        <v>0</v>
      </c>
      <c r="H118" s="43">
        <v>100</v>
      </c>
      <c r="I118" s="52">
        <f t="shared" si="3"/>
        <v>100</v>
      </c>
      <c r="J118" s="80">
        <f>Jan!I118+Feb!I118+Mar!I118+Apr!I118+May!I118+Jun!I118+July!I118+Aug!I118+Sep!I118</f>
        <v>-543</v>
      </c>
      <c r="K118" s="73"/>
      <c r="L118" s="212"/>
      <c r="M118" s="211"/>
      <c r="N118" s="211"/>
      <c r="O118" s="212"/>
    </row>
    <row r="119" spans="1:17" s="43" customFormat="1" ht="13.5">
      <c r="B119" s="43" t="s">
        <v>908</v>
      </c>
      <c r="G119" s="43">
        <f t="shared" si="5"/>
        <v>0</v>
      </c>
      <c r="H119" s="43">
        <v>100</v>
      </c>
      <c r="I119" s="52">
        <f t="shared" si="3"/>
        <v>100</v>
      </c>
      <c r="J119" s="80">
        <f>Jan!I119+Feb!I119+Mar!I119+Apr!I119+May!I119+Jun!I119+July!I119+Aug!I119+Sep!I119</f>
        <v>280.92</v>
      </c>
      <c r="K119" s="73"/>
      <c r="L119" s="212"/>
      <c r="M119" s="211"/>
      <c r="N119" s="211"/>
      <c r="O119" s="212"/>
    </row>
    <row r="120" spans="1:17" s="43" customFormat="1" ht="14.25" thickBot="1">
      <c r="B120" s="43" t="s">
        <v>304</v>
      </c>
      <c r="G120" s="43">
        <f t="shared" si="5"/>
        <v>0</v>
      </c>
      <c r="H120" s="43">
        <v>500</v>
      </c>
      <c r="I120" s="52">
        <f t="shared" si="3"/>
        <v>500</v>
      </c>
      <c r="J120" s="80">
        <f>Jan!I120+Feb!I120+Mar!I120+Apr!I120+May!I120+Jun!I120+July!I120+Aug!I120+Sep!I120</f>
        <v>1471</v>
      </c>
      <c r="K120" s="73"/>
      <c r="L120" s="212"/>
      <c r="M120" s="211"/>
      <c r="N120" s="211"/>
      <c r="O120" s="212"/>
    </row>
    <row r="121" spans="1:17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5"/>
        <v>0</v>
      </c>
      <c r="H122" s="43">
        <v>50</v>
      </c>
      <c r="I122" s="52">
        <f t="shared" si="3"/>
        <v>50</v>
      </c>
      <c r="J122" s="80">
        <f>Jan!I122+Feb!I122+Mar!I122+Apr!I122+May!I122+Jun!I122+July!I122+Aug!I122+Sep!I122</f>
        <v>438.79</v>
      </c>
      <c r="K122" s="73"/>
      <c r="L122" s="212"/>
      <c r="M122" s="211"/>
      <c r="N122" s="211"/>
      <c r="O122" s="212"/>
    </row>
    <row r="123" spans="1:17" s="43" customFormat="1" ht="14.25" thickBot="1">
      <c r="B123" s="43" t="s">
        <v>43</v>
      </c>
      <c r="G123" s="43">
        <f t="shared" si="5"/>
        <v>0</v>
      </c>
      <c r="H123" s="43">
        <v>50</v>
      </c>
      <c r="I123" s="52">
        <f t="shared" si="3"/>
        <v>50</v>
      </c>
      <c r="J123" s="80">
        <f>Jan!I123+Feb!I123+Mar!I123+Apr!I123+May!I123+Jun!I123+July!I123+Aug!I123+Sep!I123</f>
        <v>69.63</v>
      </c>
      <c r="K123" s="73"/>
      <c r="L123" s="212"/>
      <c r="M123" s="211"/>
      <c r="N123" s="211"/>
      <c r="O123" s="212"/>
    </row>
    <row r="124" spans="1:17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  <c r="Q126" s="105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5"/>
        <v>0</v>
      </c>
      <c r="H128" s="43">
        <v>20</v>
      </c>
      <c r="I128" s="52">
        <f t="shared" si="3"/>
        <v>20</v>
      </c>
      <c r="J128" s="80">
        <f>Jan!I128+Feb!I128+Mar!I128+Apr!I128+May!I128+Jun!I128+July!I128+Aug!I128+Sep!I128</f>
        <v>106.93</v>
      </c>
      <c r="K128" s="73"/>
      <c r="L128" s="212"/>
      <c r="M128" s="211"/>
      <c r="N128" s="211"/>
      <c r="O128" s="212"/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5"/>
        <v>0</v>
      </c>
      <c r="H131" s="43">
        <v>50</v>
      </c>
      <c r="I131" s="52">
        <f t="shared" si="3"/>
        <v>50</v>
      </c>
      <c r="J131" s="80">
        <f>Jan!I131+Feb!I131+Mar!I131+Apr!I131+May!I131+Jun!I131+July!I131+Aug!I131+Sep!I131</f>
        <v>339.98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5"/>
        <v>0</v>
      </c>
      <c r="H134" s="43">
        <v>100</v>
      </c>
      <c r="I134" s="52">
        <f t="shared" ref="I134:I163" si="6">H134-G134</f>
        <v>100</v>
      </c>
      <c r="J134" s="80">
        <f>Jan!I134+Feb!I134+Mar!I134+Apr!I134+May!I134+Jun!I134+July!I134+Aug!I134+Sep!I134</f>
        <v>497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5"/>
        <v>0</v>
      </c>
      <c r="H135" s="43">
        <v>100</v>
      </c>
      <c r="I135" s="52">
        <f t="shared" si="6"/>
        <v>100</v>
      </c>
      <c r="J135" s="80">
        <f>Jan!I135+Feb!I135+Mar!I135+Apr!I135+May!I135+Jun!I135+July!I135+Aug!I135+Sep!I135</f>
        <v>875.86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5"/>
        <v>0</v>
      </c>
      <c r="H136" s="43">
        <v>30</v>
      </c>
      <c r="I136" s="52">
        <f t="shared" si="6"/>
        <v>30</v>
      </c>
      <c r="J136" s="80">
        <f>Jan!I136+Feb!I136+Mar!I136+Apr!I136+May!I136+Jun!I136+July!I136+Aug!I136+Sep!I136</f>
        <v>266.74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5"/>
        <v>0</v>
      </c>
      <c r="H139" s="43">
        <v>10</v>
      </c>
      <c r="I139" s="52">
        <f t="shared" si="6"/>
        <v>10</v>
      </c>
      <c r="J139" s="80">
        <f>Jan!I139+Feb!I139+Mar!I139+Apr!I139+May!I139+Jun!I139+July!I139+Aug!I139+Sep!I139</f>
        <v>64.5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5"/>
        <v>0</v>
      </c>
      <c r="H142" s="43">
        <v>150</v>
      </c>
      <c r="I142" s="52">
        <f t="shared" si="6"/>
        <v>150</v>
      </c>
      <c r="J142" s="80">
        <f>Jan!I142+Feb!I142+Mar!I142+Apr!I142+May!I142+Jun!I142+July!I142+Aug!I142+Sep!I142</f>
        <v>588.26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5"/>
        <v>0</v>
      </c>
      <c r="H143" s="43">
        <v>100</v>
      </c>
      <c r="I143" s="52">
        <f t="shared" si="6"/>
        <v>100</v>
      </c>
      <c r="J143" s="80">
        <f>Jan!I143+Feb!I143+Mar!I143+Apr!I143+May!I143+Jun!I143+July!I143+Aug!I143+Sep!I143</f>
        <v>334.76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5"/>
        <v>0</v>
      </c>
      <c r="H149" s="43">
        <v>100</v>
      </c>
      <c r="I149" s="52">
        <f t="shared" si="6"/>
        <v>100</v>
      </c>
      <c r="J149" s="80">
        <f>Jan!I149+Feb!I149+Mar!I149+Apr!I149+May!I149+Jun!I149+July!I149+Aug!I149+Sep!I149</f>
        <v>560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5"/>
        <v>0</v>
      </c>
      <c r="H150" s="43">
        <v>100</v>
      </c>
      <c r="I150" s="52">
        <f t="shared" si="6"/>
        <v>100</v>
      </c>
      <c r="J150" s="80">
        <f>Jan!I150+Feb!I150+Mar!I150+Apr!I150+May!I150+Jun!I150+July!I150+Aug!I150+Sep!I150</f>
        <v>900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5"/>
        <v>0</v>
      </c>
      <c r="H151" s="43">
        <v>30</v>
      </c>
      <c r="I151" s="52">
        <f t="shared" si="6"/>
        <v>30</v>
      </c>
      <c r="J151" s="80">
        <f>Jan!I151+Feb!I151+Mar!I151+Apr!I151+May!I151+Jun!I151+July!I151+Aug!I151+Sep!I151</f>
        <v>270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5"/>
        <v>0</v>
      </c>
      <c r="H152" s="43">
        <v>50</v>
      </c>
      <c r="I152" s="52">
        <f t="shared" si="6"/>
        <v>50</v>
      </c>
      <c r="J152" s="80">
        <f>Jan!I152+Feb!I152+Mar!I152+Apr!I152+May!I152+Jun!I152+July!I152+Aug!I152+Sep!I152</f>
        <v>450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5"/>
        <v>0</v>
      </c>
      <c r="H153" s="43">
        <v>10</v>
      </c>
      <c r="I153" s="52">
        <f t="shared" si="6"/>
        <v>10</v>
      </c>
      <c r="J153" s="80">
        <f>Jan!I153+Feb!I153+Mar!I153+Apr!I153+May!I153+Jun!I153+July!I153+Aug!I153+Sep!I153</f>
        <v>90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5"/>
        <v>0</v>
      </c>
      <c r="H156" s="43">
        <v>30</v>
      </c>
      <c r="I156" s="52">
        <f t="shared" si="6"/>
        <v>30</v>
      </c>
      <c r="J156" s="80">
        <f>Jan!I156+Feb!I156+Mar!I156+Apr!I156+May!I156+Jun!I156+July!I156+Aug!I156+Sep!I156</f>
        <v>215.55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5"/>
        <v>0</v>
      </c>
      <c r="H157" s="43">
        <v>30</v>
      </c>
      <c r="I157" s="52">
        <f t="shared" si="6"/>
        <v>30</v>
      </c>
      <c r="J157" s="80">
        <f ca="1">Jan!I157+Feb!I157+Mar!I157+Apr!I157+May!I157+Jun!I157+July!I157+Aug!I157+Sep!I157</f>
        <v>270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5"/>
        <v>0</v>
      </c>
      <c r="H158" s="43">
        <v>30</v>
      </c>
      <c r="I158" s="52">
        <f t="shared" si="6"/>
        <v>30</v>
      </c>
      <c r="J158" s="80">
        <f>Jan!I158+Feb!I158+Mar!I158+Apr!I158+May!I158+Jun!I158+July!I158+Aug!I158+Sep!I158</f>
        <v>270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5"/>
        <v>0</v>
      </c>
      <c r="H159" s="43">
        <v>30</v>
      </c>
      <c r="I159" s="52">
        <f t="shared" si="6"/>
        <v>30</v>
      </c>
      <c r="J159" s="80">
        <f>Jan!I159+Feb!I159+Mar!I159+Apr!I159+May!I159+Jun!I159+July!I159+Aug!I159+Sep!I159</f>
        <v>270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5"/>
        <v>0</v>
      </c>
      <c r="H160" s="43">
        <v>100</v>
      </c>
      <c r="I160" s="52">
        <f t="shared" si="6"/>
        <v>100</v>
      </c>
      <c r="J160" s="80">
        <f>Jan!I160+Feb!I160+Mar!I160+Apr!I160+May!I160+Jun!I160+July!I160+Aug!I160+Sep!I160</f>
        <v>-600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6"/>
        <v>100</v>
      </c>
      <c r="J163" s="80">
        <f>Jan!I163+Feb!I163+Mar!I163+Apr!I163+May!I163+Jun!I163+July!I163+Aug!I163+Sep!I163</f>
        <v>900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A97" zoomScale="84" zoomScaleNormal="84" workbookViewId="0">
      <selection activeCell="G108" sqref="G108:G109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15</v>
      </c>
      <c r="C2" s="64"/>
      <c r="M2" s="64" t="s">
        <v>822</v>
      </c>
    </row>
    <row r="3" spans="1:16">
      <c r="B3" s="56" t="s">
        <v>77</v>
      </c>
      <c r="M3" s="64" t="s">
        <v>828</v>
      </c>
      <c r="O3" s="66"/>
    </row>
    <row r="4" spans="1:16">
      <c r="A4" s="62" t="s">
        <v>4</v>
      </c>
      <c r="B4" s="67">
        <f>SUM(G5:G8)</f>
        <v>0</v>
      </c>
      <c r="C4" s="67"/>
      <c r="G4" s="56" t="s">
        <v>28</v>
      </c>
      <c r="L4" s="68"/>
      <c r="M4" s="64" t="s">
        <v>820</v>
      </c>
      <c r="O4" s="66"/>
    </row>
    <row r="5" spans="1:16" ht="12.75">
      <c r="A5" s="56" t="s">
        <v>842</v>
      </c>
      <c r="B5" s="106"/>
      <c r="C5" s="107"/>
      <c r="G5" s="106">
        <f>SUM(B5:E5)</f>
        <v>0</v>
      </c>
      <c r="H5" s="68"/>
      <c r="I5" s="68"/>
      <c r="J5" s="68"/>
      <c r="K5" s="72"/>
      <c r="L5" s="68"/>
      <c r="M5" s="64" t="s">
        <v>821</v>
      </c>
      <c r="O5" s="66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1520</v>
      </c>
      <c r="D11" s="43" t="s">
        <v>143</v>
      </c>
      <c r="E11" s="43" t="e">
        <f>G11/B4</f>
        <v>#DIV/0!</v>
      </c>
      <c r="F11" s="159"/>
      <c r="G11" s="44">
        <f>Tithe!D15</f>
        <v>1520</v>
      </c>
      <c r="H11" s="43">
        <v>1500</v>
      </c>
      <c r="I11" s="55">
        <f>H11-G11</f>
        <v>-20</v>
      </c>
      <c r="J11" s="82">
        <f>Jan!I11+Feb!I11+Mar!I11+Apr!I11+May!I11+Jun!I11+July!I11+Aug!I11+Sep!I11+Oct!I11</f>
        <v>-10680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Jan!I14+Feb!I14+Mar!I14+Apr!I14+May!I14+Jun!I14+July!I14+Aug!I14+Sep!I14+Oct!I14</f>
        <v>-600.19999999999982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Jan!I15+Feb!I15+Mar!I15+Apr!I15+May!I15+Jun!I15+July!I15+Aug!I15+Sep!I15+Oct!I15</f>
        <v>2000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Jan!I16+Feb!I16+Mar!I16+Apr!I16+May!I16+Jun!I16+July!I16+Aug!I16+Sep!I16+Oct!I16</f>
        <v>3000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Jan!I17+Feb!I17+Mar!I17+Apr!I17+May!I17+Jun!I17+July!I17+Aug!I17+Sep!I17+Oct!I17</f>
        <v>2000</v>
      </c>
      <c r="K17" s="75"/>
    </row>
    <row r="18" spans="1:12" s="43" customFormat="1" ht="13.5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Jan!I18+Feb!I18+Mar!I18+Apr!I18+May!I18+Jun!I18+July!I18+Aug!I18+Sep!I18+Oct!I18</f>
        <v>500</v>
      </c>
      <c r="K18" s="75"/>
    </row>
    <row r="19" spans="1:12" s="43" customFormat="1" ht="13.5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Jan!I19+Feb!I19+Mar!I19+Apr!I19+May!I19+Jun!I19+July!I19+Aug!I19+Sep!I19+Oct!I19</f>
        <v>2000</v>
      </c>
      <c r="K19" s="75"/>
    </row>
    <row r="20" spans="1:12" s="43" customFormat="1" ht="13.5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Jan!I20+Feb!I20+Mar!I20+Apr!I20+May!I20+Jun!I20+July!I20+Aug!I20+Sep!I20+Oct!I20</f>
        <v>3000</v>
      </c>
      <c r="K20" s="75"/>
    </row>
    <row r="21" spans="1:12" s="43" customFormat="1" ht="13.5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3.5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Jan!I22+Feb!I22+Mar!I22+Apr!I22+May!I22+Jun!I22+July!I22+Aug!I22+Sep!I22+Oct!I22</f>
        <v>0</v>
      </c>
      <c r="K22" s="75"/>
    </row>
    <row r="23" spans="1:12" s="43" customFormat="1" ht="13.5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3.5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3.5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Jan!I25+Feb!I25+Mar!I25+Apr!I25+May!I25+Jun!I25+July!I25+Aug!I25+Sep!I25+Oct!I25</f>
        <v>5000</v>
      </c>
      <c r="K25" s="75"/>
    </row>
    <row r="26" spans="1:12" s="43" customFormat="1" ht="13.5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Jan!I26+Feb!I26+Mar!I26+Apr!I26+May!I26+Jun!I26+July!I26+Aug!I26+Sep!I26+Oct!I26</f>
        <v>3000</v>
      </c>
      <c r="K26" s="75"/>
    </row>
    <row r="27" spans="1:12" s="43" customFormat="1" ht="13.5">
      <c r="A27" s="49"/>
      <c r="F27" s="159"/>
      <c r="G27" s="57"/>
      <c r="H27" s="57"/>
      <c r="I27" s="59"/>
      <c r="J27" s="70"/>
      <c r="K27" s="70"/>
    </row>
    <row r="28" spans="1:12" s="43" customFormat="1" ht="14.25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2430</v>
      </c>
      <c r="J28" s="58">
        <f>SUM(J11:J26)</f>
        <v>9219.7999999999993</v>
      </c>
      <c r="K28" s="76"/>
    </row>
    <row r="29" spans="1:12" s="43" customFormat="1" ht="15" thickTop="1" thickBot="1">
      <c r="H29" s="47"/>
      <c r="I29" s="47"/>
      <c r="J29" s="47"/>
      <c r="K29" s="76"/>
      <c r="L29" s="49" t="s">
        <v>330</v>
      </c>
    </row>
    <row r="30" spans="1:12" s="43" customFormat="1" ht="14.25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-1520</v>
      </c>
      <c r="H31" s="47"/>
      <c r="I31" s="47"/>
      <c r="J31" s="47"/>
      <c r="K31" s="76"/>
      <c r="L31" s="47"/>
    </row>
    <row r="32" spans="1:12" s="43" customFormat="1" ht="13.5">
      <c r="A32" s="43" t="s">
        <v>318</v>
      </c>
      <c r="B32" s="89"/>
      <c r="C32" s="45"/>
      <c r="D32" s="45"/>
      <c r="E32" s="45"/>
      <c r="F32" s="163"/>
      <c r="G32" s="165">
        <f>G46</f>
        <v>177.95000000000027</v>
      </c>
      <c r="H32" s="47"/>
      <c r="I32" s="47"/>
      <c r="J32" s="47"/>
      <c r="K32" s="76"/>
      <c r="L32" s="47"/>
    </row>
    <row r="33" spans="1:15" s="43" customFormat="1" ht="13.5">
      <c r="A33" s="49" t="s">
        <v>359</v>
      </c>
      <c r="B33" s="49"/>
      <c r="F33" s="159"/>
      <c r="G33" s="69">
        <f>G31-G32-M42-N42</f>
        <v>-1697.9500000000003</v>
      </c>
      <c r="H33" s="47"/>
      <c r="I33" s="47"/>
      <c r="J33" s="47"/>
      <c r="K33" s="76"/>
      <c r="L33" s="47"/>
    </row>
    <row r="34" spans="1:15" s="43" customFormat="1" ht="13.5">
      <c r="H34" s="47"/>
      <c r="I34" s="47"/>
      <c r="J34" s="47"/>
      <c r="K34" s="76"/>
      <c r="L34" s="47"/>
    </row>
    <row r="35" spans="1:15" s="43" customFormat="1" ht="13.5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3.5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100</v>
      </c>
      <c r="N41" s="43">
        <f>N46+N44+N43+N42</f>
        <v>0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5" s="43" customFormat="1" ht="14.25" thickBot="1">
      <c r="D46"/>
      <c r="E46" s="162"/>
      <c r="F46" s="159"/>
      <c r="G46" s="84">
        <f>SUM(G48:G158)</f>
        <v>177.95000000000027</v>
      </c>
      <c r="H46" s="84">
        <f>SUM(H48:H159)</f>
        <v>4426.9500000000007</v>
      </c>
      <c r="I46" s="84">
        <f>H46-G46</f>
        <v>4249</v>
      </c>
      <c r="J46" s="84">
        <f ca="1">SUM(J48:J163)</f>
        <v>26594.110000000004</v>
      </c>
      <c r="K46" s="77"/>
      <c r="L46" s="207">
        <f>SUM(L49:L163)</f>
        <v>177.95000000000027</v>
      </c>
      <c r="M46" s="208">
        <f>SUM(M49:M163)</f>
        <v>0</v>
      </c>
      <c r="N46" s="209">
        <f>SUM(N49:N163)</f>
        <v>0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177.95000000000027</v>
      </c>
      <c r="C47" s="157">
        <f>C48+C61+C65</f>
        <v>797.95000000000027</v>
      </c>
      <c r="D47" s="79">
        <f>D48+D61+D65</f>
        <v>620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177.95000000000027</v>
      </c>
      <c r="C48" s="49">
        <f>SUM(H49:H57)</f>
        <v>457.95000000000027</v>
      </c>
      <c r="D48" s="49">
        <f>SUM(I49:I57)</f>
        <v>280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Jan!I49+Feb!I49+Mar!I49+Apr!I49+May!I49+Jun!I49+July!I49+Aug!I49+Sep!I49+Oct!I49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Jan!I50+Feb!I50+Mar!I50+Apr!I50+May!I50+Jun!I50+July!I50+Aug!I50+Sep!I50+Oct!I50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Jan!I51+Feb!I51+Mar!I51+Apr!I51+May!I51+Jun!I51+July!I51+Aug!I51+Sep!I51+Oct!I51</f>
        <v>835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Jan!I52+Feb!I52+Mar!I52+Apr!I52+May!I52+Jun!I52+July!I52+Aug!I52+Sep!I52+Oct!I52</f>
        <v>1000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Jan!I53+Feb!I53+Mar!I53+Apr!I53+May!I53+Jun!I53+July!I53+Aug!I53+Sep!I53+Oct!I53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Jan!I54+Feb!I54+Mar!I54+Apr!I54+May!I54+Jun!I54+July!I54+Aug!I54+Sep!I54+Oct!I54</f>
        <v>199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Jan!I55+Feb!I55+Mar!I55+Apr!I55+May!I55+Jun!I55+July!I55+Aug!I55+Sep!I55+Oct!I55</f>
        <v>-27363.32</v>
      </c>
      <c r="K55" s="73"/>
      <c r="L55" s="212"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Jan!I56+Feb!I56+Mar!I56+Apr!I56+May!I56+Jun!I56+July!I56+Aug!I56+Sep!I56+Oct!I56</f>
        <v>782.51999999999987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Jan!I57+Feb!I57+Mar!I57+Apr!I57+May!I57+Jun!I57+July!I57+Aug!I57+Sep!I57+Oct!I57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0</v>
      </c>
      <c r="C61" s="49">
        <f>SUM(H62:H63)</f>
        <v>260</v>
      </c>
      <c r="D61" s="49">
        <f>C61-B61</f>
        <v>260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0</v>
      </c>
      <c r="H62" s="43">
        <v>150</v>
      </c>
      <c r="I62" s="52">
        <f t="shared" ref="I62:I131" si="3">H62-G62</f>
        <v>150</v>
      </c>
      <c r="J62" s="80">
        <f>Jan!I62+Feb!I62+Mar!I62+Apr!I62+May!I62+Jun!I62+July!I62+Aug!I62+Sep!I62+Oct!I62</f>
        <v>649.46</v>
      </c>
      <c r="K62" s="73"/>
      <c r="L62" s="212"/>
      <c r="M62" s="211"/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 t="shared" si="3"/>
        <v>110</v>
      </c>
      <c r="J63" s="80">
        <f>Jan!I63+Feb!I63+Mar!I63+Apr!I63+May!I63+Jun!I63+July!I63+Aug!I63+Sep!I63+Oct!I63</f>
        <v>459.81</v>
      </c>
      <c r="K63" s="73"/>
      <c r="L63" s="212"/>
      <c r="M63" s="211"/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0</v>
      </c>
      <c r="C65" s="49">
        <f>SUM(H66:H68)</f>
        <v>80</v>
      </c>
      <c r="D65" s="49">
        <f>C65-B65</f>
        <v>80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Jan!I66+Feb!I66+Mar!I66+Apr!I66+May!I66+Jun!I66+July!I66+Aug!I66+Sep!I66+Oct!I66</f>
        <v>162.75</v>
      </c>
      <c r="K66" s="73"/>
      <c r="L66" s="212"/>
      <c r="M66" s="211"/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Jan!I67+Feb!I67+Mar!I67+Apr!I67+May!I67+Jun!I67+July!I67+Aug!I67+Sep!I67+Oct!I67</f>
        <v>180.99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si="3"/>
        <v>30</v>
      </c>
      <c r="J68" s="80">
        <f>Jan!I68+Feb!I68+Mar!I68+Apr!I68+May!I68+Jun!I68+July!I68+Aug!I68+Sep!I68+Oct!I68</f>
        <v>247.25</v>
      </c>
      <c r="K68" s="73"/>
      <c r="L68" s="212"/>
      <c r="M68" s="211"/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>SUM(L71:O71)</f>
        <v>0</v>
      </c>
      <c r="H71" s="43">
        <v>25</v>
      </c>
      <c r="I71" s="52">
        <f t="shared" si="3"/>
        <v>25</v>
      </c>
      <c r="J71" s="80">
        <f>Jan!I71+Feb!I71+Mar!I71+Apr!I71+May!I71+Jun!I71+July!I71+Aug!I71+Sep!I71+Oct!I71</f>
        <v>-216.68000000000006</v>
      </c>
      <c r="K71" s="73"/>
      <c r="L71" s="212"/>
      <c r="M71" s="211"/>
      <c r="N71" s="211"/>
      <c r="O71" s="212"/>
    </row>
    <row r="72" spans="1:15" s="43" customFormat="1" ht="13.5">
      <c r="A72" s="49"/>
      <c r="B72" s="43" t="s">
        <v>284</v>
      </c>
      <c r="G72" s="43">
        <f t="shared" ref="G72:G75" si="4">SUM(L72:O72)</f>
        <v>0</v>
      </c>
      <c r="H72" s="43">
        <v>25</v>
      </c>
      <c r="I72" s="52">
        <f t="shared" si="3"/>
        <v>25</v>
      </c>
      <c r="J72" s="80">
        <f>Jan!I72+Feb!I72+Mar!I72+Apr!I72+May!I72+Jun!I72+July!I72+Aug!I72+Sep!I72+Oct!I72</f>
        <v>250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4"/>
        <v>0</v>
      </c>
      <c r="H73" s="43">
        <v>20</v>
      </c>
      <c r="I73" s="52">
        <f t="shared" si="3"/>
        <v>20</v>
      </c>
      <c r="J73" s="80">
        <f>Jan!I73+Feb!I73+Mar!I73+Apr!I73+May!I73+Jun!I73+July!I73+Aug!I73+Sep!I73+Oct!I73</f>
        <v>-78.069999999999993</v>
      </c>
      <c r="K73" s="73"/>
      <c r="L73" s="212"/>
      <c r="M73" s="211"/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4"/>
        <v>0</v>
      </c>
      <c r="H75" s="43">
        <v>75</v>
      </c>
      <c r="I75" s="52">
        <f t="shared" si="3"/>
        <v>75</v>
      </c>
      <c r="J75" s="80">
        <f>Jan!I75+Feb!I75+Mar!I75+Apr!I75+May!I75+Jun!I75+July!I75+Aug!I75+Sep!I75+Oct!I75</f>
        <v>291.64</v>
      </c>
      <c r="K75" s="73"/>
      <c r="L75" s="212"/>
      <c r="M75" s="211"/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0</v>
      </c>
      <c r="C77" s="187">
        <f>C80+C86+C91+C100+C105+C111+C117+C130+C133+C138+C141</f>
        <v>2849</v>
      </c>
      <c r="D77" s="187">
        <f>D80+D86+D91+D100+D105+D111+D117+D130+D133+D138+D141</f>
        <v>2799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0</v>
      </c>
      <c r="C80" s="49">
        <f>SUM(H81:H84)</f>
        <v>290</v>
      </c>
      <c r="D80" s="49">
        <f>C80-B80</f>
        <v>290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0</v>
      </c>
      <c r="H81" s="43">
        <v>100</v>
      </c>
      <c r="I81" s="52">
        <f t="shared" si="3"/>
        <v>100</v>
      </c>
      <c r="J81" s="80">
        <f>Jan!I81+Feb!I81+Mar!I81+Apr!I81+May!I81+Jun!I81+July!I81+Aug!I81+Sep!I81+Oct!I81</f>
        <v>367.56</v>
      </c>
      <c r="K81" s="73"/>
      <c r="L81" s="212"/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0</v>
      </c>
      <c r="H82" s="43">
        <v>60</v>
      </c>
      <c r="I82" s="52">
        <f t="shared" si="3"/>
        <v>60</v>
      </c>
      <c r="J82" s="80">
        <f>Jan!I82+Feb!I82+Mar!I82+Apr!I82+May!I82+Jun!I82+July!I82+Aug!I82+Sep!I82+Oct!I82</f>
        <v>184.64</v>
      </c>
      <c r="K82" s="73"/>
      <c r="L82" s="212"/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0</v>
      </c>
      <c r="H83" s="43">
        <v>100</v>
      </c>
      <c r="I83" s="52">
        <f t="shared" si="3"/>
        <v>100</v>
      </c>
      <c r="J83" s="80">
        <f>Jan!I83+Feb!I83+Mar!I83+Apr!I83+May!I83+Jun!I83+July!I83+Aug!I83+Sep!I83+Oct!I83</f>
        <v>598.12</v>
      </c>
      <c r="K83" s="73"/>
      <c r="L83" s="212"/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0</v>
      </c>
      <c r="H84" s="43">
        <v>30</v>
      </c>
      <c r="I84" s="52">
        <f t="shared" si="3"/>
        <v>30</v>
      </c>
      <c r="J84" s="80">
        <f>Jan!I84+Feb!I84+Mar!I84+Apr!I84+May!I84+Jun!I84+July!I84+Aug!I84+Sep!I84+Oct!I84</f>
        <v>68.48</v>
      </c>
      <c r="K84" s="73"/>
      <c r="L84" s="212"/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Jan!I87+Feb!I87+Mar!I87+Apr!I87+May!I87+Jun!I87+July!I87+Aug!I87+Sep!I87+Oct!I87</f>
        <v>1000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3"/>
        <v>200</v>
      </c>
      <c r="J88" s="80">
        <f>Jan!I88+Feb!I88+Mar!I88+Apr!I88+May!I88+Jun!I88+July!I88+Aug!I88+Sep!I88+Oct!I88</f>
        <v>1428.75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Jan!I89+Feb!I89+Mar!I89+Apr!I89+May!I89+Jun!I89+July!I89+Aug!I89+Sep!I89+Oct!I89</f>
        <v>360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Jan!I92+Feb!I92+Mar!I92+Apr!I92+May!I92+Jun!I92+July!I92+Aug!I92+Sep!I92+Oct!I92</f>
        <v>188.55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Jan!I93+Feb!I93+Mar!I93+Apr!I93+May!I93+Jun!I93+July!I93+Aug!I93+Sep!I93+Oct!I93</f>
        <v>50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Jan!I94+Feb!I94+Mar!I94+Apr!I94+May!I94+Jun!I94+July!I94+Aug!I94+Sep!I94+Oct!I94</f>
        <v>650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Jan!I95+Feb!I95+Mar!I95+Apr!I95+May!I95+Jun!I95+July!I95+Aug!I95+Sep!I95+Oct!I95</f>
        <v>150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Jan!I96+Feb!I96+Mar!I96+Apr!I96+May!I96+Jun!I96+July!I96+Aug!I96+Sep!I96+Oct!I96</f>
        <v>350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Jan!I97+Feb!I97+Mar!I97+Apr!I97+May!I97+Jun!I97+July!I97+Aug!I97+Sep!I97+Oct!I97</f>
        <v>260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Jan!I98+Feb!I98+Mar!I98+Apr!I98+May!I98+Jun!I98+July!I98+Aug!I98+Sep!I98+Oct!I98</f>
        <v>120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Jan!I101+Feb!I101+Mar!I101+Apr!I101+May!I101+Jun!I101+July!I101+Aug!I101+Sep!I101+Oct!I101</f>
        <v>600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3"/>
        <v>100</v>
      </c>
      <c r="J102" s="80">
        <f>Jan!I102+Feb!I102+Mar!I102+Apr!I102+May!I102+Jun!I102+July!I102+Aug!I102+Sep!I102+Oct!I102</f>
        <v>-229.68999999999994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Jan!I103+Feb!I103+Mar!I103+Apr!I103+May!I103+Jun!I103+July!I103+Aug!I103+Sep!I103+Oct!I103</f>
        <v>100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5">SUM(L106:O106)</f>
        <v>0</v>
      </c>
      <c r="H106" s="43">
        <v>100</v>
      </c>
      <c r="I106" s="52">
        <f t="shared" si="3"/>
        <v>100</v>
      </c>
      <c r="J106" s="80">
        <f>Jan!I106+Feb!I106+Mar!I106+Apr!I106+May!I106+Jun!I106+July!I106+Aug!I106+Sep!I106+Oct!I106</f>
        <v>787.14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5"/>
        <v>0</v>
      </c>
      <c r="H107" s="43">
        <v>25</v>
      </c>
      <c r="I107" s="52">
        <f t="shared" si="3"/>
        <v>25</v>
      </c>
      <c r="J107" s="80">
        <f>Jan!I107+Feb!I107+Mar!I107+Apr!I107+May!I107+Jun!I107+July!I107+Aug!I107+Sep!I107+Oct!I107</f>
        <v>-301.5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5"/>
        <v>0</v>
      </c>
      <c r="H108" s="43">
        <v>75</v>
      </c>
      <c r="I108" s="52">
        <f t="shared" si="3"/>
        <v>75</v>
      </c>
      <c r="J108" s="80">
        <f>Jan!I108+Feb!I108+Mar!I108+Apr!I108+May!I108+Jun!I108+July!I108+Aug!I108+Sep!I108+Oct!I108</f>
        <v>641.89</v>
      </c>
      <c r="K108" s="73"/>
      <c r="L108" s="212"/>
      <c r="M108" s="211"/>
      <c r="N108" s="211"/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5"/>
        <v>0</v>
      </c>
      <c r="H109" s="43">
        <v>25</v>
      </c>
      <c r="I109" s="52">
        <f t="shared" si="3"/>
        <v>25</v>
      </c>
      <c r="J109" s="80">
        <f>Jan!I109+Feb!I109+Mar!I109+Apr!I109+May!I109+Jun!I109+July!I109+Aug!I109+Sep!I109+Oct!I109</f>
        <v>142.76999999999998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5"/>
        <v>0</v>
      </c>
      <c r="H112" s="43">
        <v>150</v>
      </c>
      <c r="I112" s="52">
        <f t="shared" si="3"/>
        <v>150</v>
      </c>
      <c r="J112" s="80">
        <f>Jan!I112+Feb!I112+Mar!I112+Apr!I112+May!I112+Jun!I112+July!I112+Aug!I112+Sep!I112+Oct!I112</f>
        <v>181.77999999999997</v>
      </c>
      <c r="K112" s="73"/>
      <c r="L112" s="212"/>
      <c r="M112" s="211"/>
      <c r="N112" s="211"/>
      <c r="O112" s="212"/>
    </row>
    <row r="113" spans="1:17" s="43" customFormat="1" ht="13.5">
      <c r="A113" s="49"/>
      <c r="B113" s="43" t="s">
        <v>323</v>
      </c>
      <c r="G113" s="43">
        <f t="shared" si="5"/>
        <v>0</v>
      </c>
      <c r="H113" s="43">
        <v>215</v>
      </c>
      <c r="I113" s="52">
        <f t="shared" si="3"/>
        <v>215</v>
      </c>
      <c r="J113" s="80">
        <f>Jan!I113+Feb!I113+Mar!I113+Apr!I113+May!I113+Jun!I113+July!I113+Aug!I113+Sep!I113+Oct!I113</f>
        <v>694.29</v>
      </c>
      <c r="K113" s="73"/>
      <c r="L113" s="212"/>
      <c r="M113" s="211"/>
      <c r="N113" s="211"/>
      <c r="O113" s="212"/>
    </row>
    <row r="114" spans="1:17" s="43" customFormat="1" ht="13.5">
      <c r="A114" s="49"/>
      <c r="B114" s="43" t="s">
        <v>317</v>
      </c>
      <c r="G114" s="43">
        <f t="shared" si="5"/>
        <v>0</v>
      </c>
      <c r="H114" s="43">
        <v>50</v>
      </c>
      <c r="I114" s="52">
        <f t="shared" si="3"/>
        <v>50</v>
      </c>
      <c r="J114" s="80">
        <f>Jan!I114+Feb!I114+Mar!I114+Apr!I114+May!I114+Jun!I114+July!I114+Aug!I114+Sep!I114+Oct!I114</f>
        <v>-6403.5300000000007</v>
      </c>
      <c r="K114" s="73"/>
      <c r="L114" s="212"/>
      <c r="M114" s="211"/>
      <c r="N114" s="211"/>
      <c r="O114" s="212"/>
    </row>
    <row r="115" spans="1:17" s="43" customFormat="1" ht="13.5">
      <c r="A115" s="49"/>
      <c r="B115" s="43" t="s">
        <v>907</v>
      </c>
      <c r="G115" s="43">
        <f t="shared" si="5"/>
        <v>0</v>
      </c>
      <c r="H115" s="43">
        <v>100</v>
      </c>
      <c r="I115" s="52">
        <f t="shared" si="3"/>
        <v>100</v>
      </c>
      <c r="J115" s="80">
        <f>Jan!I115+Feb!I115+Mar!I115+Apr!I115+May!I115+Jun!I115+July!I115+Aug!I115+Sep!I115+Oct!I115</f>
        <v>1000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0</v>
      </c>
      <c r="C117" s="49">
        <f>SUM(H118:H128)</f>
        <v>820</v>
      </c>
      <c r="D117" s="49">
        <f>C117-B117</f>
        <v>820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5"/>
        <v>0</v>
      </c>
      <c r="H118" s="43">
        <v>100</v>
      </c>
      <c r="I118" s="52">
        <f t="shared" si="3"/>
        <v>100</v>
      </c>
      <c r="J118" s="80">
        <f>Jan!I118+Feb!I118+Mar!I118+Apr!I118+May!I118+Jun!I118+July!I118+Aug!I118+Sep!I118+Oct!I118</f>
        <v>-443</v>
      </c>
      <c r="K118" s="73"/>
      <c r="L118" s="212"/>
      <c r="M118" s="211"/>
      <c r="N118" s="211"/>
      <c r="O118" s="212"/>
    </row>
    <row r="119" spans="1:17" s="43" customFormat="1" ht="13.5">
      <c r="B119" s="43" t="s">
        <v>908</v>
      </c>
      <c r="G119" s="43">
        <f t="shared" si="5"/>
        <v>0</v>
      </c>
      <c r="H119" s="43">
        <v>100</v>
      </c>
      <c r="I119" s="52">
        <f t="shared" si="3"/>
        <v>100</v>
      </c>
      <c r="J119" s="80">
        <f>Jan!I119+Feb!I119+Mar!I119+Apr!I119+May!I119+Jun!I119+July!I119+Aug!I119+Sep!I119+Oct!I119</f>
        <v>380.92</v>
      </c>
      <c r="K119" s="73"/>
      <c r="L119" s="212"/>
      <c r="M119" s="211"/>
      <c r="N119" s="211"/>
      <c r="O119" s="212"/>
    </row>
    <row r="120" spans="1:17" s="43" customFormat="1" ht="14.25" thickBot="1">
      <c r="B120" s="43" t="s">
        <v>304</v>
      </c>
      <c r="G120" s="43">
        <f t="shared" si="5"/>
        <v>0</v>
      </c>
      <c r="H120" s="43">
        <v>500</v>
      </c>
      <c r="I120" s="52">
        <f t="shared" si="3"/>
        <v>500</v>
      </c>
      <c r="J120" s="80">
        <f>Jan!I120+Feb!I120+Mar!I120+Apr!I120+May!I120+Jun!I120+July!I120+Aug!I120+Sep!I120+Oct!I120</f>
        <v>1971</v>
      </c>
      <c r="K120" s="73"/>
      <c r="L120" s="212"/>
      <c r="M120" s="211"/>
      <c r="N120" s="211"/>
      <c r="O120" s="212"/>
    </row>
    <row r="121" spans="1:17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5"/>
        <v>0</v>
      </c>
      <c r="H122" s="43">
        <v>50</v>
      </c>
      <c r="I122" s="52">
        <f t="shared" si="3"/>
        <v>50</v>
      </c>
      <c r="J122" s="80">
        <f>Jan!I122+Feb!I122+Mar!I122+Apr!I122+May!I122+Jun!I122+July!I122+Aug!I122+Sep!I122+Oct!I122</f>
        <v>488.79</v>
      </c>
      <c r="K122" s="73"/>
      <c r="L122" s="212"/>
      <c r="M122" s="211"/>
      <c r="N122" s="211"/>
      <c r="O122" s="212"/>
    </row>
    <row r="123" spans="1:17" s="43" customFormat="1" ht="14.25" thickBot="1">
      <c r="B123" s="43" t="s">
        <v>43</v>
      </c>
      <c r="G123" s="43">
        <f t="shared" si="5"/>
        <v>0</v>
      </c>
      <c r="H123" s="43">
        <v>50</v>
      </c>
      <c r="I123" s="52">
        <f t="shared" si="3"/>
        <v>50</v>
      </c>
      <c r="J123" s="80">
        <f>Jan!I123+Feb!I123+Mar!I123+Apr!I123+May!I123+Jun!I123+July!I123+Aug!I123+Sep!I123+Oct!I123</f>
        <v>119.63</v>
      </c>
      <c r="K123" s="73"/>
      <c r="L123" s="212"/>
      <c r="M123" s="211"/>
      <c r="N123" s="211"/>
      <c r="O123" s="212"/>
    </row>
    <row r="124" spans="1:17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  <c r="Q126" s="105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5"/>
        <v>0</v>
      </c>
      <c r="H128" s="43">
        <v>20</v>
      </c>
      <c r="I128" s="52">
        <f t="shared" si="3"/>
        <v>20</v>
      </c>
      <c r="J128" s="80">
        <f>Jan!I128+Feb!I128+Mar!I128+Apr!I128+May!I128+Jun!I128+July!I128+Aug!I128+Sep!I128+Oct!I128</f>
        <v>126.93</v>
      </c>
      <c r="K128" s="73"/>
      <c r="L128" s="212"/>
      <c r="M128" s="211"/>
      <c r="N128" s="211"/>
      <c r="O128" s="212"/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5"/>
        <v>0</v>
      </c>
      <c r="H131" s="43">
        <v>50</v>
      </c>
      <c r="I131" s="52">
        <f t="shared" si="3"/>
        <v>50</v>
      </c>
      <c r="J131" s="80">
        <f>Jan!I131+Feb!I131+Mar!I131+Apr!I131+May!I131+Jun!I131+July!I131+Aug!I131+Sep!I131+Oct!I131</f>
        <v>389.98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5"/>
        <v>0</v>
      </c>
      <c r="H134" s="43">
        <v>100</v>
      </c>
      <c r="I134" s="52">
        <f t="shared" ref="I134:I163" si="6">H134-G134</f>
        <v>100</v>
      </c>
      <c r="J134" s="80">
        <f>Jan!I134+Feb!I134+Mar!I134+Apr!I134+May!I134+Jun!I134+July!I134+Aug!I134+Sep!I134+Oct!I134</f>
        <v>597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5"/>
        <v>0</v>
      </c>
      <c r="H135" s="43">
        <v>100</v>
      </c>
      <c r="I135" s="52">
        <f t="shared" si="6"/>
        <v>100</v>
      </c>
      <c r="J135" s="80">
        <f>Jan!I135+Feb!I135+Mar!I135+Apr!I135+May!I135+Jun!I135+July!I135+Aug!I135+Sep!I135+Oct!I135</f>
        <v>975.86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5"/>
        <v>0</v>
      </c>
      <c r="H136" s="43">
        <v>30</v>
      </c>
      <c r="I136" s="52">
        <f t="shared" si="6"/>
        <v>30</v>
      </c>
      <c r="J136" s="80">
        <f>Jan!I136+Feb!I136+Mar!I136+Apr!I136+May!I136+Jun!I136+July!I136+Aug!I136+Sep!I136+Oct!I136</f>
        <v>296.74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5"/>
        <v>0</v>
      </c>
      <c r="H139" s="43">
        <v>10</v>
      </c>
      <c r="I139" s="52">
        <f t="shared" si="6"/>
        <v>10</v>
      </c>
      <c r="J139" s="80">
        <f>Jan!I139+Feb!I139+Mar!I139+Apr!I139+May!I139+Jun!I139+July!I139+Aug!I139+Sep!I139+Oct!I139</f>
        <v>74.5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5"/>
        <v>0</v>
      </c>
      <c r="H142" s="43">
        <v>150</v>
      </c>
      <c r="I142" s="52">
        <f t="shared" si="6"/>
        <v>150</v>
      </c>
      <c r="J142" s="80">
        <f>Jan!I142+Feb!I142+Mar!I142+Apr!I142+May!I142+Jun!I142+July!I142+Aug!I142+Sep!I142+Oct!I142</f>
        <v>738.26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5"/>
        <v>0</v>
      </c>
      <c r="H143" s="43">
        <v>100</v>
      </c>
      <c r="I143" s="52">
        <f t="shared" si="6"/>
        <v>100</v>
      </c>
      <c r="J143" s="80">
        <f>Jan!I143+Feb!I143+Mar!I143+Apr!I143+May!I143+Jun!I143+July!I143+Aug!I143+Sep!I143+Oct!I143</f>
        <v>434.76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5"/>
        <v>0</v>
      </c>
      <c r="H149" s="43">
        <v>100</v>
      </c>
      <c r="I149" s="52">
        <f t="shared" si="6"/>
        <v>100</v>
      </c>
      <c r="J149" s="80">
        <f>Jan!I149+Feb!I149+Mar!I149+Apr!I149+May!I149+Jun!I149+July!I149+Aug!I149+Sep!I149+Oct!I149</f>
        <v>660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5"/>
        <v>0</v>
      </c>
      <c r="H150" s="43">
        <v>100</v>
      </c>
      <c r="I150" s="52">
        <f t="shared" si="6"/>
        <v>100</v>
      </c>
      <c r="J150" s="80">
        <f>Jan!I150+Feb!I150+Mar!I150+Apr!I150+May!I150+Jun!I150+July!I150+Aug!I150+Sep!I150+Oct!I150</f>
        <v>1000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5"/>
        <v>0</v>
      </c>
      <c r="H151" s="43">
        <v>30</v>
      </c>
      <c r="I151" s="52">
        <f t="shared" si="6"/>
        <v>30</v>
      </c>
      <c r="J151" s="80">
        <f>Jan!I151+Feb!I151+Mar!I151+Apr!I151+May!I151+Jun!I151+July!I151+Aug!I151+Sep!I151+Oct!I151</f>
        <v>300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5"/>
        <v>0</v>
      </c>
      <c r="H152" s="43">
        <v>50</v>
      </c>
      <c r="I152" s="52">
        <f t="shared" si="6"/>
        <v>50</v>
      </c>
      <c r="J152" s="80">
        <f>Jan!I152+Feb!I152+Mar!I152+Apr!I152+May!I152+Jun!I152+July!I152+Aug!I152+Sep!I152+Oct!I152</f>
        <v>500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5"/>
        <v>0</v>
      </c>
      <c r="H153" s="43">
        <v>10</v>
      </c>
      <c r="I153" s="52">
        <f t="shared" si="6"/>
        <v>10</v>
      </c>
      <c r="J153" s="80">
        <f>Jan!I153+Feb!I153+Mar!I153+Apr!I153+May!I153+Jun!I153+July!I153+Aug!I153+Sep!I153+Oct!I153</f>
        <v>100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5"/>
        <v>0</v>
      </c>
      <c r="H156" s="43">
        <v>30</v>
      </c>
      <c r="I156" s="52">
        <f t="shared" si="6"/>
        <v>30</v>
      </c>
      <c r="J156" s="80">
        <f>Jan!I156+Feb!I156+Mar!I156+Apr!I156+May!I156+Jun!I156+July!I156+Aug!I156+Sep!I156+Oct!I156</f>
        <v>245.55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5"/>
        <v>0</v>
      </c>
      <c r="H157" s="43">
        <v>30</v>
      </c>
      <c r="I157" s="52">
        <f t="shared" si="6"/>
        <v>30</v>
      </c>
      <c r="J157" s="80">
        <f ca="1">Jan!I157+Feb!I157+Mar!I157+Apr!I157+May!I157+Jun!I157+July!I157+Aug!I157+Sep!I157+Oct!I157</f>
        <v>300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5"/>
        <v>0</v>
      </c>
      <c r="H158" s="43">
        <v>30</v>
      </c>
      <c r="I158" s="52">
        <f t="shared" si="6"/>
        <v>30</v>
      </c>
      <c r="J158" s="80">
        <f>Jan!I158+Feb!I158+Mar!I158+Apr!I158+May!I158+Jun!I158+July!I158+Aug!I158+Sep!I158+Oct!I158</f>
        <v>300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5"/>
        <v>0</v>
      </c>
      <c r="H159" s="43">
        <v>30</v>
      </c>
      <c r="I159" s="52">
        <f t="shared" si="6"/>
        <v>30</v>
      </c>
      <c r="J159" s="80">
        <f>Jan!I159+Feb!I159+Mar!I159+Apr!I159+May!I159+Jun!I159+July!I159+Aug!I159+Sep!I159+Oct!I159</f>
        <v>300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5"/>
        <v>0</v>
      </c>
      <c r="H160" s="43">
        <v>100</v>
      </c>
      <c r="I160" s="52">
        <f t="shared" si="6"/>
        <v>100</v>
      </c>
      <c r="J160" s="80">
        <f>Jan!I160+Feb!I160+Mar!I160+Apr!I160+May!I160+Jun!I160+July!I160+Aug!I160+Sep!I160+Oct!I160</f>
        <v>-500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6"/>
        <v>100</v>
      </c>
      <c r="J163" s="80">
        <f>Jan!I163+Feb!I163+Mar!I163+Apr!I163+May!I163+Jun!I163+July!I163+Aug!I163+Sep!I163+Oct!I163</f>
        <v>1000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101" zoomScale="84" zoomScaleNormal="84" workbookViewId="0">
      <selection activeCell="G108" sqref="G108:G109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16</v>
      </c>
      <c r="C2" s="64"/>
      <c r="M2" s="64"/>
    </row>
    <row r="3" spans="1:16">
      <c r="B3" s="56" t="s">
        <v>77</v>
      </c>
      <c r="M3" s="64"/>
      <c r="O3" s="66"/>
    </row>
    <row r="4" spans="1:16">
      <c r="A4" s="62" t="s">
        <v>4</v>
      </c>
      <c r="B4" s="67">
        <f>SUM(G5:G8)</f>
        <v>0</v>
      </c>
      <c r="C4" s="67"/>
      <c r="G4" s="56" t="s">
        <v>28</v>
      </c>
      <c r="L4" s="68"/>
      <c r="M4" s="64"/>
      <c r="O4" s="66"/>
    </row>
    <row r="5" spans="1:16" ht="12.75">
      <c r="A5" s="56" t="s">
        <v>842</v>
      </c>
      <c r="B5" s="106"/>
      <c r="C5" s="107"/>
      <c r="G5" s="106">
        <f>SUM(B5:E5)</f>
        <v>0</v>
      </c>
      <c r="H5" s="68"/>
      <c r="I5" s="68"/>
      <c r="J5" s="68"/>
      <c r="K5" s="72"/>
      <c r="L5" s="68"/>
      <c r="O5" s="66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2620</v>
      </c>
      <c r="D11" s="43" t="s">
        <v>143</v>
      </c>
      <c r="E11" s="43" t="e">
        <f>G11/B4</f>
        <v>#DIV/0!</v>
      </c>
      <c r="F11" s="159"/>
      <c r="G11" s="44">
        <f>Tithe!D16</f>
        <v>2620</v>
      </c>
      <c r="H11" s="43">
        <v>1500</v>
      </c>
      <c r="I11" s="55">
        <f>H11-G11</f>
        <v>-1120</v>
      </c>
      <c r="J11" s="82">
        <f>Jan!I11+Feb!I11+Mar!I11+Apr!I11+May!I11+Jun!I11+July!I11+Aug!I11+Sep!I11+Oct!I11+Nov!I11</f>
        <v>-11800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Jan!I14+Feb!I14+Mar!I14+Apr!I14+May!I14+Jun!I14+July!I14+Aug!I14+Sep!I14+Oct!I14+Nov!I14</f>
        <v>-200.19999999999982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Jan!I15+Feb!I15+Mar!I15+Apr!I15+May!I15+Jun!I15+July!I15+Aug!I15+Sep!I15+Oct!I15+Nov!I15</f>
        <v>2200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Jan!I16+Feb!I16+Mar!I16+Apr!I16+May!I16+Jun!I16+July!I16+Aug!I16+Sep!I16+Oct!I16+Nov!I16</f>
        <v>3300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Jan!I17+Feb!I17+Mar!I17+Apr!I17+May!I17+Jun!I17+July!I17+Aug!I17+Sep!I17+Oct!I17+Nov!I17</f>
        <v>2200</v>
      </c>
      <c r="K17" s="75"/>
    </row>
    <row r="18" spans="1:12" s="43" customFormat="1" ht="13.5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Jan!I18+Feb!I18+Mar!I18+Apr!I18+May!I18+Jun!I18+July!I18+Aug!I18+Sep!I18+Oct!I18+Nov!I18</f>
        <v>550</v>
      </c>
      <c r="K18" s="75"/>
    </row>
    <row r="19" spans="1:12" s="43" customFormat="1" ht="13.5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Jan!I19+Feb!I19+Mar!I19+Apr!I19+May!I19+Jun!I19+July!I19+Aug!I19+Sep!I19+Oct!I19+Nov!I19</f>
        <v>2200</v>
      </c>
      <c r="K19" s="75"/>
    </row>
    <row r="20" spans="1:12" s="43" customFormat="1" ht="13.5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Jan!I20+Feb!I20+Mar!I20+Apr!I20+May!I20+Jun!I20+July!I20+Aug!I20+Sep!I20+Oct!I20+Nov!I20</f>
        <v>3300</v>
      </c>
      <c r="K20" s="75"/>
    </row>
    <row r="21" spans="1:12" s="43" customFormat="1" ht="13.5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3.5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Jan!I22+Feb!I22+Mar!I22+Apr!I22+May!I22+Jun!I22+July!I22+Aug!I22+Sep!I22+Oct!I22+Nov!I22</f>
        <v>0</v>
      </c>
      <c r="K22" s="75"/>
    </row>
    <row r="23" spans="1:12" s="43" customFormat="1" ht="13.5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3.5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3.5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Jan!I25+Feb!I25+Mar!I25+Apr!I25+May!I25+Jun!I25+July!I25+Aug!I25+Sep!I25+Oct!I25+Nov!I25</f>
        <v>5500</v>
      </c>
      <c r="K25" s="75"/>
    </row>
    <row r="26" spans="1:12" s="43" customFormat="1" ht="13.5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Jan!I26+Feb!I26+Mar!I26+Apr!I26+May!I26+Jun!I26+July!I26+Aug!I26+Sep!I26+Oct!I26+Nov!I26</f>
        <v>3300</v>
      </c>
      <c r="K26" s="75"/>
    </row>
    <row r="27" spans="1:12" s="43" customFormat="1" ht="13.5">
      <c r="A27" s="49"/>
      <c r="F27" s="159"/>
      <c r="G27" s="57"/>
      <c r="H27" s="57"/>
      <c r="I27" s="59"/>
      <c r="J27" s="70"/>
      <c r="K27" s="70"/>
    </row>
    <row r="28" spans="1:12" s="43" customFormat="1" ht="14.25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1330</v>
      </c>
      <c r="J28" s="58">
        <f>SUM(J11:J26)</f>
        <v>10549.8</v>
      </c>
      <c r="K28" s="76"/>
    </row>
    <row r="29" spans="1:12" s="43" customFormat="1" ht="15" thickTop="1" thickBot="1">
      <c r="H29" s="47"/>
      <c r="I29" s="47"/>
      <c r="J29" s="47"/>
      <c r="K29" s="76"/>
      <c r="L29" s="49" t="s">
        <v>330</v>
      </c>
    </row>
    <row r="30" spans="1:12" s="43" customFormat="1" ht="14.25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-2620</v>
      </c>
      <c r="H31" s="47"/>
      <c r="I31" s="47"/>
      <c r="J31" s="47"/>
      <c r="K31" s="76"/>
      <c r="L31" s="47"/>
    </row>
    <row r="32" spans="1:12" s="43" customFormat="1" ht="13.5">
      <c r="A32" s="43" t="s">
        <v>318</v>
      </c>
      <c r="B32" s="89"/>
      <c r="C32" s="45"/>
      <c r="D32" s="45"/>
      <c r="E32" s="45"/>
      <c r="F32" s="163"/>
      <c r="G32" s="165">
        <f>G46</f>
        <v>177.95000000000027</v>
      </c>
      <c r="H32" s="47"/>
      <c r="I32" s="47"/>
      <c r="J32" s="47"/>
      <c r="K32" s="76"/>
      <c r="L32" s="47"/>
    </row>
    <row r="33" spans="1:15" s="43" customFormat="1" ht="13.5">
      <c r="A33" s="49" t="s">
        <v>359</v>
      </c>
      <c r="B33" s="49"/>
      <c r="F33" s="159"/>
      <c r="G33" s="69">
        <f>G31-G32-M42-N42</f>
        <v>-2797.9500000000003</v>
      </c>
      <c r="H33" s="47"/>
      <c r="I33" s="47"/>
      <c r="J33" s="47"/>
      <c r="K33" s="76"/>
      <c r="L33" s="47"/>
    </row>
    <row r="34" spans="1:15" s="43" customFormat="1" ht="13.5">
      <c r="H34" s="47"/>
      <c r="I34" s="47"/>
      <c r="J34" s="47"/>
      <c r="K34" s="76"/>
      <c r="L34" s="47"/>
    </row>
    <row r="35" spans="1:15" s="43" customFormat="1" ht="13.5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3.5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100</v>
      </c>
      <c r="N41" s="43">
        <f>N46+N44+N43+N42</f>
        <v>0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5" s="43" customFormat="1" ht="14.25" thickBot="1">
      <c r="D46"/>
      <c r="E46" s="162"/>
      <c r="F46" s="159"/>
      <c r="G46" s="84">
        <f>SUM(G48:G163)</f>
        <v>177.95000000000027</v>
      </c>
      <c r="H46" s="84">
        <f>SUM(H48:H163)</f>
        <v>4626.9500000000007</v>
      </c>
      <c r="I46" s="84">
        <f>H46-G46</f>
        <v>4449</v>
      </c>
      <c r="J46" s="84" t="e">
        <f ca="1">SUM(J48:J163)</f>
        <v>#REF!</v>
      </c>
      <c r="K46" s="77"/>
      <c r="L46" s="207">
        <f>SUM(L49:L163)</f>
        <v>177.95000000000027</v>
      </c>
      <c r="M46" s="208">
        <f>SUM(M49:M163)</f>
        <v>0</v>
      </c>
      <c r="N46" s="209">
        <f>SUM(N49:N163)</f>
        <v>0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177.95000000000027</v>
      </c>
      <c r="C47" s="157">
        <f>C48+C61+C65</f>
        <v>797.95000000000027</v>
      </c>
      <c r="D47" s="79">
        <f>D48+D61+D65</f>
        <v>620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177.95000000000027</v>
      </c>
      <c r="C48" s="49">
        <f>SUM(H49:H57)</f>
        <v>457.95000000000027</v>
      </c>
      <c r="D48" s="49">
        <f>SUM(I49:I57)</f>
        <v>280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Jan!I49+Feb!I49+Mar!I49+Apr!I49+May!I49+Jun!I49+July!I49+Aug!I49+Sep!I49+Oct!I49+Nov!I49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Jan!I50+Feb!I50+Mar!I50+Apr!I50+May!I50+Jun!I50+July!I50+Aug!I50+Sep!I50+Oct!I50+Nov!I50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Jan!I51+Feb!I51+Mar!I51+Apr!I51+May!I51+Jun!I51+July!I51+Aug!I51+Sep!I51+Oct!I51+Nov!I51</f>
        <v>935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Jan!I52+Feb!I52+Mar!I52+Apr!I52+May!I52+Jun!I52+July!I52+Aug!I52+Sep!I52+Oct!I52+Nov!I52</f>
        <v>1100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Jan!I53+Feb!I53+Mar!I53+Apr!I53+May!I53+Jun!I53+July!I53+Aug!I53+Sep!I53+Oct!I53+Nov!I53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Jan!I54+Feb!I54+Mar!I54+Apr!I54+May!I54+Jun!I54+July!I54+Aug!I54+Sep!I54+Oct!I54+Nov!I54</f>
        <v>279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Jan!I55+Feb!I55+Mar!I55+Apr!I55+May!I55+Jun!I55+July!I55+Aug!I55+Sep!I55+Oct!I55+Nov!I55</f>
        <v>-27363.32</v>
      </c>
      <c r="K55" s="73"/>
      <c r="L55" s="212"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Jan!I56+Feb!I56+Mar!I56+Apr!I56+May!I56+Jun!I56+July!I56+Aug!I56+Sep!I56+Oct!I56+Nov!I56</f>
        <v>782.51999999999987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Jan!I57+Feb!I57+Mar!I57+Apr!I57+May!I57+Jun!I57+July!I57+Aug!I57+Sep!I57+Oct!I57+Nov!I57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0</v>
      </c>
      <c r="C61" s="49">
        <f>SUM(H62:H63)</f>
        <v>260</v>
      </c>
      <c r="D61" s="49">
        <f>C61-B61</f>
        <v>260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0</v>
      </c>
      <c r="H62" s="43">
        <v>150</v>
      </c>
      <c r="I62" s="52">
        <f t="shared" ref="I62:I67" si="3">H62-G62</f>
        <v>150</v>
      </c>
      <c r="J62" s="80">
        <f>Jan!I62+Feb!I62+Mar!I62+Apr!I62+May!I62+Jun!I62+July!I62+Aug!I62+Sep!I62+Oct!I62+Nov!I62</f>
        <v>799.46</v>
      </c>
      <c r="K62" s="73"/>
      <c r="L62" s="212"/>
      <c r="M62" s="211"/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 t="shared" si="3"/>
        <v>110</v>
      </c>
      <c r="J63" s="80">
        <f>Jan!I63+Feb!I63+Mar!I63+Apr!I63+May!I63+Jun!I63+July!I63+Aug!I63+Sep!I63+Oct!I63+Nov!I63</f>
        <v>569.80999999999995</v>
      </c>
      <c r="K63" s="73"/>
      <c r="L63" s="212"/>
      <c r="M63" s="211"/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0</v>
      </c>
      <c r="C65" s="49">
        <f>SUM(H66:H68)</f>
        <v>80</v>
      </c>
      <c r="D65" s="49">
        <f>C65-B65</f>
        <v>80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Jan!I66+Feb!I66+Mar!I66+Apr!I66+May!I66+Jun!I66+July!I66+Aug!I66+Sep!I66+Oct!I66+Nov!I66</f>
        <v>192.75</v>
      </c>
      <c r="K66" s="73"/>
      <c r="L66" s="212"/>
      <c r="M66" s="211"/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Jan!I67+Feb!I67+Mar!I67+Apr!I67+May!I67+Jun!I67+July!I67+Aug!I67+Sep!I67+Oct!I67+Nov!I67</f>
        <v>200.99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ref="I68:I131" si="4">H68-G68</f>
        <v>30</v>
      </c>
      <c r="J68" s="80">
        <f>Jan!I68+Feb!I68+Mar!I68+Apr!I68+May!I68+Jun!I68+July!I68+Aug!I68+Sep!I68+Oct!I68+Nov!I68</f>
        <v>277.25</v>
      </c>
      <c r="K68" s="73"/>
      <c r="L68" s="212"/>
      <c r="M68" s="211"/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>SUM(L71:O71)</f>
        <v>0</v>
      </c>
      <c r="H71" s="43">
        <v>25</v>
      </c>
      <c r="I71" s="52">
        <f t="shared" si="4"/>
        <v>25</v>
      </c>
      <c r="J71" s="80">
        <f>Jan!I71+Feb!I71+Mar!I71+Apr!I71+May!I71+Jun!I71+July!I71+Aug!I71+Sep!I71+Oct!I71+Nov!I71</f>
        <v>-191.68000000000006</v>
      </c>
      <c r="K71" s="73"/>
      <c r="L71" s="212"/>
      <c r="M71" s="211"/>
      <c r="N71" s="211"/>
      <c r="O71" s="212"/>
    </row>
    <row r="72" spans="1:15" s="43" customFormat="1" ht="13.5">
      <c r="A72" s="49"/>
      <c r="B72" s="43" t="s">
        <v>284</v>
      </c>
      <c r="G72" s="43">
        <f t="shared" ref="G72:G75" si="5">SUM(L72:O72)</f>
        <v>0</v>
      </c>
      <c r="H72" s="43">
        <v>25</v>
      </c>
      <c r="I72" s="52">
        <f t="shared" si="4"/>
        <v>25</v>
      </c>
      <c r="J72" s="80">
        <f>Jan!I72+Feb!I72+Mar!I72+Apr!I72+May!I72+Jun!I72+July!I72+Aug!I72+Sep!I72+Oct!I72+Nov!I72</f>
        <v>275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5"/>
        <v>0</v>
      </c>
      <c r="H73" s="43">
        <v>20</v>
      </c>
      <c r="I73" s="52">
        <f t="shared" si="4"/>
        <v>20</v>
      </c>
      <c r="J73" s="80">
        <f>Jan!I73+Feb!I73+Mar!I73+Apr!I73+May!I73+Jun!I73+July!I73+Aug!I73+Sep!I73+Oct!I73+Nov!I73</f>
        <v>-58.069999999999993</v>
      </c>
      <c r="K73" s="73"/>
      <c r="L73" s="212"/>
      <c r="M73" s="211"/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5"/>
        <v>0</v>
      </c>
      <c r="H75" s="43">
        <v>75</v>
      </c>
      <c r="I75" s="52">
        <f t="shared" si="4"/>
        <v>75</v>
      </c>
      <c r="J75" s="80">
        <f>Jan!I75+Feb!I75+Mar!I75+Apr!I75+May!I75+Jun!I75+July!I75+Aug!I75+Sep!I75+Oct!I75+Nov!I75</f>
        <v>366.64</v>
      </c>
      <c r="K75" s="73"/>
      <c r="L75" s="212"/>
      <c r="M75" s="211"/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0</v>
      </c>
      <c r="C77" s="187">
        <f>C80+C86+C91+C100+C105+C111+C117+C130+C133+C138+C141</f>
        <v>2849</v>
      </c>
      <c r="D77" s="187">
        <f>D80+D86+D91+D100+D105+D111+D117+D130+D133+D138+D141</f>
        <v>2799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0</v>
      </c>
      <c r="C80" s="49">
        <f>SUM(H81:H84)</f>
        <v>290</v>
      </c>
      <c r="D80" s="49">
        <f>C80-B80</f>
        <v>290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0</v>
      </c>
      <c r="H81" s="43">
        <v>100</v>
      </c>
      <c r="I81" s="52">
        <f t="shared" si="4"/>
        <v>100</v>
      </c>
      <c r="J81" s="80">
        <f>Jan!I81+Feb!I81+Mar!I81+Apr!I81+May!I81+Jun!I81+July!I81+Aug!I81+Sep!I81+Oct!I81+Nov!I81</f>
        <v>467.56</v>
      </c>
      <c r="K81" s="73"/>
      <c r="L81" s="212"/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0</v>
      </c>
      <c r="H82" s="43">
        <v>60</v>
      </c>
      <c r="I82" s="52">
        <f t="shared" si="4"/>
        <v>60</v>
      </c>
      <c r="J82" s="80">
        <f>Jan!I82+Feb!I82+Mar!I82+Apr!I82+May!I82+Jun!I82+July!I82+Aug!I82+Sep!I82+Oct!I82+Nov!I82</f>
        <v>244.64</v>
      </c>
      <c r="K82" s="73"/>
      <c r="L82" s="212"/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0</v>
      </c>
      <c r="H83" s="43">
        <v>100</v>
      </c>
      <c r="I83" s="52">
        <f t="shared" si="4"/>
        <v>100</v>
      </c>
      <c r="J83" s="80">
        <f>Jan!I83+Feb!I83+Mar!I83+Apr!I83+May!I83+Jun!I83+July!I83+Aug!I83+Sep!I83+Oct!I83+Nov!I83</f>
        <v>698.12</v>
      </c>
      <c r="K83" s="73"/>
      <c r="L83" s="212"/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0</v>
      </c>
      <c r="H84" s="43">
        <v>30</v>
      </c>
      <c r="I84" s="52">
        <f t="shared" si="4"/>
        <v>30</v>
      </c>
      <c r="J84" s="80">
        <f>Jan!I84+Feb!I84+Mar!I84+Apr!I84+May!I84+Jun!I84+July!I84+Aug!I84+Sep!I84+Oct!I84+Nov!I84</f>
        <v>98.48</v>
      </c>
      <c r="K84" s="73"/>
      <c r="L84" s="212"/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4"/>
        <v>100</v>
      </c>
      <c r="J87" s="80">
        <f>Jan!I87+Feb!I87+Mar!I87+Apr!I87+May!I87+Jun!I87+July!I87+Aug!I87+Sep!I87+Oct!I87+Nov!I87</f>
        <v>1100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4"/>
        <v>200</v>
      </c>
      <c r="J88" s="80">
        <f>Jan!I88+Feb!I88+Mar!I88+Apr!I88+May!I88+Jun!I88+July!I88+Aug!I88+Sep!I88+Oct!I88+Nov!I88</f>
        <v>1628.75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4"/>
        <v>36</v>
      </c>
      <c r="J89" s="80">
        <f>Jan!I89+Feb!I89+Mar!I89+Apr!I89+May!I89+Jun!I89+July!I89+Aug!I89+Sep!I89+Oct!I89+Nov!I89</f>
        <v>396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4"/>
        <v>20</v>
      </c>
      <c r="J92" s="80">
        <f>Jan!I92+Feb!I92+Mar!I92+Apr!I92+May!I92+Jun!I92+July!I92+Aug!I92+Sep!I92+Oct!I92+Nov!I92</f>
        <v>208.55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4"/>
        <v>5</v>
      </c>
      <c r="J93" s="80">
        <f>Jan!I93+Feb!I93+Mar!I93+Apr!I93+May!I93+Jun!I93+July!I93+Aug!I93+Sep!I93+Oct!I93+Nov!I93</f>
        <v>55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4"/>
        <v>65</v>
      </c>
      <c r="J94" s="80">
        <f>Jan!I94+Feb!I94+Mar!I94+Apr!I94+May!I94+Jun!I94+July!I94+Aug!I94+Sep!I94+Oct!I94+Nov!I94</f>
        <v>715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4"/>
        <v>15</v>
      </c>
      <c r="J95" s="80">
        <f>Jan!I95+Feb!I95+Mar!I95+Apr!I95+May!I95+Jun!I95+July!I95+Aug!I95+Sep!I95+Oct!I95+Nov!I95</f>
        <v>165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4"/>
        <v>35</v>
      </c>
      <c r="J96" s="80">
        <f>Jan!I96+Feb!I96+Mar!I96+Apr!I96+May!I96+Jun!I96+July!I96+Aug!I96+Sep!I96+Oct!I96+Nov!I96</f>
        <v>385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4"/>
        <v>26</v>
      </c>
      <c r="J97" s="80">
        <f>Jan!I97+Feb!I97+Mar!I97+Apr!I97+May!I97+Jun!I97+July!I97+Aug!I97+Sep!I97+Oct!I97+Nov!I97</f>
        <v>286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4"/>
        <v>12</v>
      </c>
      <c r="J98" s="80">
        <f>Jan!I98+Feb!I98+Mar!I98+Apr!I98+May!I98+Jun!I98+July!I98+Aug!I98+Sep!I98+Oct!I98+Nov!I98</f>
        <v>132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4"/>
        <v>60</v>
      </c>
      <c r="J101" s="80">
        <f>Jan!I101+Feb!I101+Mar!I101+Apr!I101+May!I101+Jun!I101+July!I101+Aug!I101+Sep!I101+Oct!I101+Nov!I101</f>
        <v>660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4"/>
        <v>100</v>
      </c>
      <c r="J102" s="80">
        <f>Jan!I102+Feb!I102+Mar!I102+Apr!I102+May!I102+Jun!I102+July!I102+Aug!I102+Sep!I102+Oct!I102+Nov!I102</f>
        <v>-129.68999999999994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4"/>
        <v>10</v>
      </c>
      <c r="J103" s="80">
        <f>Jan!I103+Feb!I103+Mar!I103+Apr!I103+May!I103+Jun!I103+July!I103+Aug!I103+Sep!I103+Oct!I103+Nov!I103</f>
        <v>110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6">SUM(L106:O106)</f>
        <v>0</v>
      </c>
      <c r="H106" s="43">
        <v>100</v>
      </c>
      <c r="I106" s="52">
        <f t="shared" si="4"/>
        <v>100</v>
      </c>
      <c r="J106" s="80">
        <f>Jan!I106+Feb!I106+Mar!I106+Apr!I106+May!I106+Jun!I106+July!I106+Aug!I106+Sep!I106+Oct!I106+Nov!I106</f>
        <v>887.14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6"/>
        <v>0</v>
      </c>
      <c r="H107" s="43">
        <v>25</v>
      </c>
      <c r="I107" s="52">
        <f t="shared" si="4"/>
        <v>25</v>
      </c>
      <c r="J107" s="80">
        <f>Jan!I107+Feb!I107+Mar!I107+Apr!I107+May!I107+Jun!I107+July!I107+Aug!I107+Sep!I107+Oct!I107+Nov!I107</f>
        <v>-276.5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6"/>
        <v>0</v>
      </c>
      <c r="H108" s="43">
        <v>75</v>
      </c>
      <c r="I108" s="52">
        <f t="shared" si="4"/>
        <v>75</v>
      </c>
      <c r="J108" s="80">
        <f>Jan!I108+Feb!I108+Mar!I108+Apr!I108+May!I108+Jun!I108+July!I108+Aug!I108+Sep!I108+Oct!I108+Nov!I108</f>
        <v>716.89</v>
      </c>
      <c r="K108" s="73"/>
      <c r="L108" s="212"/>
      <c r="M108" s="211"/>
      <c r="N108" s="211"/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6"/>
        <v>0</v>
      </c>
      <c r="H109" s="43">
        <v>25</v>
      </c>
      <c r="I109" s="52">
        <f t="shared" si="4"/>
        <v>25</v>
      </c>
      <c r="J109" s="80">
        <f>Jan!I109+Feb!I109+Mar!I109+Apr!I109+May!I109+Jun!I109+July!I109+Aug!I109+Sep!I109+Oct!I109+Nov!I109</f>
        <v>167.76999999999998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6"/>
        <v>0</v>
      </c>
      <c r="H112" s="43">
        <v>150</v>
      </c>
      <c r="I112" s="52">
        <f t="shared" si="4"/>
        <v>150</v>
      </c>
      <c r="J112" s="80">
        <f>Jan!I112+Feb!I112+Mar!I112+Apr!I112+May!I112+Jun!I112+July!I112+Aug!I112+Sep!I112+Oct!I112+Nov!I112</f>
        <v>331.78</v>
      </c>
      <c r="K112" s="73"/>
      <c r="L112" s="212"/>
      <c r="M112" s="211"/>
      <c r="N112" s="211"/>
      <c r="O112" s="212"/>
    </row>
    <row r="113" spans="1:15" s="43" customFormat="1" ht="13.5">
      <c r="A113" s="49"/>
      <c r="B113" s="43" t="s">
        <v>323</v>
      </c>
      <c r="G113" s="43">
        <f t="shared" si="6"/>
        <v>0</v>
      </c>
      <c r="H113" s="43">
        <v>215</v>
      </c>
      <c r="I113" s="52">
        <f t="shared" si="4"/>
        <v>215</v>
      </c>
      <c r="J113" s="80">
        <f>Jan!I113+Feb!I113+Mar!I113+Apr!I113+May!I113+Jun!I113+July!I113+Aug!I113+Sep!I113+Oct!I113+Nov!I113</f>
        <v>909.29</v>
      </c>
      <c r="K113" s="73"/>
      <c r="L113" s="212"/>
      <c r="M113" s="211"/>
      <c r="N113" s="211"/>
      <c r="O113" s="212"/>
    </row>
    <row r="114" spans="1:15" s="43" customFormat="1" ht="13.5">
      <c r="A114" s="49"/>
      <c r="B114" s="43" t="s">
        <v>317</v>
      </c>
      <c r="G114" s="43">
        <f t="shared" si="6"/>
        <v>0</v>
      </c>
      <c r="H114" s="43">
        <v>50</v>
      </c>
      <c r="I114" s="52">
        <f t="shared" si="4"/>
        <v>50</v>
      </c>
      <c r="J114" s="80">
        <f>Jan!I114+Feb!I114+Mar!I114+Apr!I114+May!I114+Jun!I114+July!I114+Aug!I114+Sep!I114+Oct!I114+Nov!I114</f>
        <v>-6353.5300000000007</v>
      </c>
      <c r="K114" s="73"/>
      <c r="L114" s="212"/>
      <c r="M114" s="211"/>
      <c r="N114" s="211"/>
      <c r="O114" s="212"/>
    </row>
    <row r="115" spans="1:15" s="43" customFormat="1" ht="13.5">
      <c r="A115" s="49"/>
      <c r="B115" s="43" t="s">
        <v>907</v>
      </c>
      <c r="G115" s="43">
        <f t="shared" si="6"/>
        <v>0</v>
      </c>
      <c r="H115" s="43">
        <v>100</v>
      </c>
      <c r="I115" s="52">
        <f t="shared" si="4"/>
        <v>100</v>
      </c>
      <c r="J115" s="80">
        <f>Jan!I115+Feb!I115+Mar!I115+Apr!I115+May!I115+Jun!I115+July!I115+Aug!I115+Sep!I115+Oct!I115+Nov!I115</f>
        <v>1100</v>
      </c>
      <c r="K115" s="73"/>
      <c r="L115" s="212"/>
      <c r="M115" s="211"/>
      <c r="N115" s="211"/>
      <c r="O115" s="212"/>
    </row>
    <row r="116" spans="1:15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5" s="43" customFormat="1" ht="13.5">
      <c r="A117" s="49" t="s">
        <v>41</v>
      </c>
      <c r="B117" s="49">
        <f>SUM(G119:G129)</f>
        <v>0</v>
      </c>
      <c r="C117" s="49">
        <f>SUM(H118:H128)</f>
        <v>820</v>
      </c>
      <c r="D117" s="49">
        <f>C117-B117</f>
        <v>820</v>
      </c>
      <c r="I117" s="52"/>
      <c r="J117" s="80"/>
      <c r="K117" s="73"/>
      <c r="L117" s="212"/>
      <c r="M117" s="211"/>
      <c r="N117" s="211"/>
      <c r="O117" s="212"/>
    </row>
    <row r="118" spans="1:15" s="43" customFormat="1" ht="13.5">
      <c r="B118" s="43" t="s">
        <v>42</v>
      </c>
      <c r="G118" s="43">
        <f t="shared" si="6"/>
        <v>0</v>
      </c>
      <c r="H118" s="43">
        <v>100</v>
      </c>
      <c r="I118" s="52">
        <f t="shared" si="4"/>
        <v>100</v>
      </c>
      <c r="J118" s="80">
        <f>Jan!I118+Feb!I118+Mar!I118+Apr!I118+May!I118+Jun!I118+July!I118+Aug!I118+Sep!I118+Oct!I118+Nov!I118</f>
        <v>-343</v>
      </c>
      <c r="K118" s="73"/>
      <c r="L118" s="212"/>
      <c r="M118" s="211"/>
      <c r="N118" s="211"/>
      <c r="O118" s="212"/>
    </row>
    <row r="119" spans="1:15" s="43" customFormat="1" ht="13.5">
      <c r="B119" s="43" t="s">
        <v>908</v>
      </c>
      <c r="G119" s="43">
        <f t="shared" si="6"/>
        <v>0</v>
      </c>
      <c r="H119" s="43">
        <v>100</v>
      </c>
      <c r="I119" s="52">
        <f t="shared" si="4"/>
        <v>100</v>
      </c>
      <c r="J119" s="80">
        <f>Jan!I119+Feb!I119+Mar!I119+Apr!I119+May!I119+Jun!I119+July!I119+Aug!I119+Sep!I119+Oct!I119+Nov!I119</f>
        <v>480.92</v>
      </c>
      <c r="K119" s="73"/>
      <c r="L119" s="212"/>
      <c r="M119" s="211"/>
      <c r="N119" s="211"/>
      <c r="O119" s="212"/>
    </row>
    <row r="120" spans="1:15" s="43" customFormat="1" ht="14.25" thickBot="1">
      <c r="B120" s="43" t="s">
        <v>304</v>
      </c>
      <c r="G120" s="43">
        <f t="shared" si="6"/>
        <v>0</v>
      </c>
      <c r="H120" s="43">
        <v>500</v>
      </c>
      <c r="I120" s="52">
        <f t="shared" si="4"/>
        <v>500</v>
      </c>
      <c r="J120" s="80">
        <f>Jan!I120+Feb!I120+Mar!I120+Apr!I120+May!I120+Jun!I120+July!I120+Aug!I120+Sep!I120+Oct!I120+Nov!I120</f>
        <v>2471</v>
      </c>
      <c r="K120" s="73"/>
      <c r="L120" s="212"/>
      <c r="M120" s="211"/>
      <c r="N120" s="211"/>
      <c r="O120" s="212"/>
    </row>
    <row r="121" spans="1:15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5" s="43" customFormat="1" ht="13.5">
      <c r="B122" s="43" t="s">
        <v>164</v>
      </c>
      <c r="G122" s="43">
        <f t="shared" si="6"/>
        <v>0</v>
      </c>
      <c r="H122" s="43">
        <v>50</v>
      </c>
      <c r="I122" s="52">
        <f t="shared" si="4"/>
        <v>50</v>
      </c>
      <c r="J122" s="80">
        <f>Jan!I122+Feb!I122+Mar!I122+Apr!I122+May!I122+Jun!I122+July!I122+Aug!I122+Sep!I122+Oct!I122+Nov!I122</f>
        <v>538.79</v>
      </c>
      <c r="K122" s="73"/>
      <c r="L122" s="212"/>
      <c r="M122" s="211"/>
      <c r="N122" s="211"/>
      <c r="O122" s="212"/>
    </row>
    <row r="123" spans="1:15" s="43" customFormat="1" ht="14.25" thickBot="1">
      <c r="B123" s="43" t="s">
        <v>43</v>
      </c>
      <c r="G123" s="43">
        <f t="shared" si="6"/>
        <v>0</v>
      </c>
      <c r="H123" s="43">
        <v>50</v>
      </c>
      <c r="I123" s="52">
        <f t="shared" si="4"/>
        <v>50</v>
      </c>
      <c r="J123" s="80">
        <f>Jan!I123+Feb!I123+Mar!I123+Apr!I123+May!I123+Jun!I123+July!I123+Aug!I123+Sep!I123+Oct!I123+Nov!I123</f>
        <v>169.63</v>
      </c>
      <c r="K123" s="73"/>
      <c r="L123" s="212"/>
      <c r="M123" s="211"/>
      <c r="N123" s="211"/>
      <c r="O123" s="212"/>
    </row>
    <row r="124" spans="1:15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5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5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</row>
    <row r="127" spans="1:15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5" s="43" customFormat="1" ht="13.5">
      <c r="B128" s="43" t="s">
        <v>303</v>
      </c>
      <c r="G128" s="43">
        <f t="shared" si="6"/>
        <v>0</v>
      </c>
      <c r="H128" s="43">
        <v>20</v>
      </c>
      <c r="I128" s="52">
        <f t="shared" si="4"/>
        <v>20</v>
      </c>
      <c r="J128" s="80">
        <f>Jan!I128+Feb!I128+Mar!I128+Apr!I128+May!I128+Jun!I128+July!I128+Aug!I128+Sep!I128+Oct!I128+Nov!I128</f>
        <v>146.93</v>
      </c>
      <c r="K128" s="73"/>
      <c r="L128" s="212"/>
      <c r="M128" s="211"/>
      <c r="N128" s="211"/>
      <c r="O128" s="212"/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6"/>
        <v>0</v>
      </c>
      <c r="H131" s="43">
        <v>50</v>
      </c>
      <c r="I131" s="52">
        <f t="shared" si="4"/>
        <v>50</v>
      </c>
      <c r="J131" s="80">
        <f>Jan!I131+Feb!I131+Mar!I131+Apr!I131+May!I131+Jun!I131+July!I131+Aug!I131+Sep!I131+Oct!I131+Nov!I131</f>
        <v>439.98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6"/>
        <v>0</v>
      </c>
      <c r="H134" s="43">
        <v>100</v>
      </c>
      <c r="I134" s="52">
        <f t="shared" ref="I134:I163" si="7">H134-G134</f>
        <v>100</v>
      </c>
      <c r="J134" s="80">
        <f>Jan!I134+Feb!I134+Mar!I134+Apr!I134+May!I134+Jun!I134+July!I134+Aug!I134+Sep!I134+Oct!I134+Nov!I134</f>
        <v>697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6"/>
        <v>0</v>
      </c>
      <c r="H135" s="43">
        <v>100</v>
      </c>
      <c r="I135" s="52">
        <f t="shared" si="7"/>
        <v>100</v>
      </c>
      <c r="J135" s="80">
        <f>Jan!I135+Feb!I135+Mar!I135+Apr!I135+May!I135+Jun!I135+July!I135+Aug!I135+Sep!I135+Oct!I135+Nov!I135</f>
        <v>1075.8600000000001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6"/>
        <v>0</v>
      </c>
      <c r="H136" s="43">
        <v>30</v>
      </c>
      <c r="I136" s="52">
        <f t="shared" si="7"/>
        <v>30</v>
      </c>
      <c r="J136" s="80">
        <f>Jan!I136+Feb!I136+Mar!I136+Apr!I136+May!I136+Jun!I136+July!I136+Aug!I136+Sep!I136+Oct!I136+Nov!I136</f>
        <v>326.74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6"/>
        <v>0</v>
      </c>
      <c r="H139" s="43">
        <v>10</v>
      </c>
      <c r="I139" s="52">
        <f t="shared" si="7"/>
        <v>10</v>
      </c>
      <c r="J139" s="80">
        <f>Jan!I139+Feb!I139+Mar!I139+Apr!I139+May!I139+Jun!I139+July!I139+Aug!I139+Sep!I139+Oct!I139+Nov!I139</f>
        <v>84.5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6"/>
        <v>0</v>
      </c>
      <c r="H142" s="43">
        <v>150</v>
      </c>
      <c r="I142" s="52">
        <f t="shared" si="7"/>
        <v>150</v>
      </c>
      <c r="J142" s="80">
        <f>Jan!I142+Feb!I142+Mar!I142+Apr!I142+May!I142+Jun!I142+July!I142+Aug!I142+Sep!I142+Oct!I142+Nov!I142</f>
        <v>888.26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6"/>
        <v>0</v>
      </c>
      <c r="H143" s="43">
        <v>100</v>
      </c>
      <c r="I143" s="52">
        <f t="shared" si="7"/>
        <v>100</v>
      </c>
      <c r="J143" s="80">
        <f>Jan!I143+Feb!I143+Mar!I143+Apr!I143+May!I143+Jun!I143+July!I143+Aug!I143+Sep!I143+Oct!I143+Nov!I143</f>
        <v>534.76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6"/>
        <v>0</v>
      </c>
      <c r="H149" s="43">
        <v>100</v>
      </c>
      <c r="I149" s="52">
        <f t="shared" si="7"/>
        <v>100</v>
      </c>
      <c r="J149" s="80">
        <f>Jan!I149+Feb!I149+Mar!I149+Apr!I149+May!I149+Jun!I149+July!I149+Aug!I149+Sep!I149+Oct!I149+Nov!I149</f>
        <v>760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6"/>
        <v>0</v>
      </c>
      <c r="H150" s="43">
        <v>100</v>
      </c>
      <c r="I150" s="52">
        <f t="shared" si="7"/>
        <v>100</v>
      </c>
      <c r="J150" s="80">
        <f>Jan!I150+Feb!I150+Mar!I150+Apr!I150+May!I150+Jun!I150+July!I150+Aug!I150+Sep!I150+Oct!I150+Nov!I150</f>
        <v>1100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6"/>
        <v>0</v>
      </c>
      <c r="H151" s="43">
        <v>30</v>
      </c>
      <c r="I151" s="52">
        <f t="shared" si="7"/>
        <v>30</v>
      </c>
      <c r="J151" s="80">
        <f>Jan!I151+Feb!I151+Mar!I151+Apr!I151+May!I151+Jun!I151+July!I151+Aug!I151+Sep!I151+Oct!I151+Nov!I151</f>
        <v>330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6"/>
        <v>0</v>
      </c>
      <c r="H152" s="43">
        <v>50</v>
      </c>
      <c r="I152" s="52">
        <f t="shared" si="7"/>
        <v>50</v>
      </c>
      <c r="J152" s="80">
        <f>Jan!I152+Feb!I152+Mar!I152+Apr!I152+May!I152+Jun!I152+July!I152+Aug!I152+Sep!I152+Oct!I152+Nov!I152</f>
        <v>550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6"/>
        <v>0</v>
      </c>
      <c r="H153" s="43">
        <v>10</v>
      </c>
      <c r="I153" s="52">
        <f t="shared" si="7"/>
        <v>10</v>
      </c>
      <c r="J153" s="80">
        <f>Jan!I153+Feb!I153+Mar!I153+Apr!I153+May!I153+Jun!I153+July!I153+Aug!I153+Sep!I153+Oct!I153+Nov!I153</f>
        <v>110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6"/>
        <v>0</v>
      </c>
      <c r="H156" s="43">
        <v>30</v>
      </c>
      <c r="I156" s="52">
        <f t="shared" si="7"/>
        <v>30</v>
      </c>
      <c r="J156" s="80">
        <f>Jan!I156+Feb!I156+Mar!I156+Apr!I156+May!I156+Jun!I156+July!I156+Aug!I156+Sep!I156+Oct!I156+Nov!I156</f>
        <v>275.55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6"/>
        <v>0</v>
      </c>
      <c r="H157" s="43">
        <v>30</v>
      </c>
      <c r="I157" s="52">
        <f t="shared" si="7"/>
        <v>30</v>
      </c>
      <c r="J157" s="80">
        <f ca="1">Jan!I157+Feb!I157+Mar!I157+Apr!I157+May!I157+Jun!I157+July!I157+Aug!I157+Sep!I157+Oct!I157+Nov!I157</f>
        <v>330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6"/>
        <v>0</v>
      </c>
      <c r="H158" s="43">
        <v>30</v>
      </c>
      <c r="I158" s="52">
        <f t="shared" si="7"/>
        <v>30</v>
      </c>
      <c r="J158" s="80">
        <f>Jan!I158+Feb!I158+Mar!I158+Apr!I158+May!I158+Jun!I158+July!I158+Aug!I158+Sep!I158+Oct!I158+Nov!I158</f>
        <v>330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6"/>
        <v>0</v>
      </c>
      <c r="H159" s="43">
        <v>30</v>
      </c>
      <c r="I159" s="52">
        <f t="shared" si="7"/>
        <v>30</v>
      </c>
      <c r="J159" s="80">
        <f>Jan!I159+Feb!I159+Mar!I159+Apr!I159+May!I159+Jun!I159+July!I159+Aug!I159+Sep!I159+Oct!I159+Nov!I159</f>
        <v>330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6"/>
        <v>0</v>
      </c>
      <c r="H160" s="43">
        <v>100</v>
      </c>
      <c r="I160" s="52">
        <f t="shared" si="7"/>
        <v>100</v>
      </c>
      <c r="J160" s="80">
        <f>Jan!I160+Feb!I160+Mar!I160+Apr!I160+May!I160+Jun!I160+July!I160+Aug!I160+Sep!I160+Oct!I160+Nov!I160</f>
        <v>-400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7"/>
        <v>100</v>
      </c>
      <c r="J163" s="80">
        <f>Jan!I163+Feb!I163+Mar!I163+Apr!I163+May!I163+Jun!I163+July!I163+Aug!I163+Sep!I163+Oct!I163+Nov!I163</f>
        <v>1100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A95" zoomScale="84" zoomScaleNormal="84" workbookViewId="0">
      <selection activeCell="G108" sqref="G108:G109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17</v>
      </c>
      <c r="C2" s="64"/>
      <c r="M2" s="64" t="s">
        <v>321</v>
      </c>
    </row>
    <row r="3" spans="1:16">
      <c r="B3" s="56" t="s">
        <v>77</v>
      </c>
      <c r="M3" s="64" t="s">
        <v>320</v>
      </c>
      <c r="O3" s="66"/>
    </row>
    <row r="4" spans="1:16">
      <c r="A4" s="62" t="s">
        <v>4</v>
      </c>
      <c r="B4" s="67">
        <f>SUM(G5:G8)</f>
        <v>0</v>
      </c>
      <c r="C4" s="67"/>
      <c r="G4" s="56" t="s">
        <v>28</v>
      </c>
      <c r="L4" s="68"/>
      <c r="M4" s="64" t="s">
        <v>537</v>
      </c>
      <c r="O4" s="66"/>
    </row>
    <row r="5" spans="1:16" ht="12.75">
      <c r="A5" s="56" t="s">
        <v>842</v>
      </c>
      <c r="B5" s="106"/>
      <c r="C5" s="107"/>
      <c r="G5" s="106">
        <f>SUM(B5:E5)</f>
        <v>0</v>
      </c>
      <c r="H5" s="68"/>
      <c r="I5" s="68"/>
      <c r="J5" s="68"/>
      <c r="K5" s="72"/>
      <c r="L5" s="68"/>
      <c r="O5" s="66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6720</v>
      </c>
      <c r="D11" s="43" t="s">
        <v>143</v>
      </c>
      <c r="E11" s="43" t="e">
        <f>G11/B4</f>
        <v>#DIV/0!</v>
      </c>
      <c r="F11" s="159"/>
      <c r="G11" s="44">
        <f>Tithe!D17</f>
        <v>6720</v>
      </c>
      <c r="H11" s="43">
        <v>1500</v>
      </c>
      <c r="I11" s="55">
        <f>H11-G11</f>
        <v>-5220</v>
      </c>
      <c r="J11" s="82">
        <f>Jan!I11+Feb!I11+Mar!I11+Apr!I11+May!I11+Jun!I11+July!I11+Aug!I11+Sep!I11+Oct!I11+Nov!I11+Dec!I11</f>
        <v>-17020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Jan!I14+Feb!I14+Mar!I14+Apr!I14+May!I14+Jun!I14+July!I14+Aug!I14+Sep!I14+Oct!I14+Nov!I14+Dec!I14</f>
        <v>199.80000000000018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Jan!I15+Feb!I15+Mar!I15+Apr!I15+May!I15+Jun!I15+July!I15+Aug!I15+Sep!I15+Oct!I15+Nov!I15+Dec!I15</f>
        <v>2400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Jan!I16+Feb!I16+Mar!I16+Apr!I16+May!I16+Jun!I16+July!I16+Aug!I16+Sep!I16+Oct!I16+Nov!I16+Dec!I16</f>
        <v>3600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Jan!I17+Feb!I17+Mar!I17+Apr!I17+May!I17+Jun!I17+July!I17+Aug!I17+Sep!I17+Oct!I17+Nov!I17+Dec!I17</f>
        <v>2400</v>
      </c>
      <c r="K17" s="75"/>
    </row>
    <row r="18" spans="1:12" s="43" customFormat="1" ht="13.5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Jan!I18+Feb!I18+Mar!I18+Apr!I18+May!I18+Jun!I18+July!I18+Aug!I18+Sep!I18+Oct!I18+Nov!I18+Dec!I18</f>
        <v>600</v>
      </c>
      <c r="K18" s="75"/>
    </row>
    <row r="19" spans="1:12" s="43" customFormat="1" ht="13.5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Jan!I19+Feb!I19+Mar!I19+Apr!I19+May!I19+Jun!I19+July!I19+Aug!I19+Sep!I19+Oct!I19+Nov!I19+Dec!I19</f>
        <v>2400</v>
      </c>
      <c r="K19" s="75"/>
    </row>
    <row r="20" spans="1:12" s="43" customFormat="1" ht="13.5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Jan!I20+Feb!I20+Mar!I20+Apr!I20+May!I20+Jun!I20+July!I20+Aug!I20+Sep!I20+Oct!I20+Nov!I20+Dec!I20</f>
        <v>3600</v>
      </c>
      <c r="K20" s="75"/>
    </row>
    <row r="21" spans="1:12" s="43" customFormat="1" ht="13.5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3.5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Jan!I22+Feb!I22+Mar!I22+Apr!I22+May!I22+Jun!I22+July!I22+Aug!I22+Sep!I22+Oct!I22+Nov!I22+Dec!I22</f>
        <v>0</v>
      </c>
      <c r="K22" s="75"/>
    </row>
    <row r="23" spans="1:12" s="43" customFormat="1" ht="13.5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3.5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3.5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Jan!I25+Feb!I25+Mar!I25+Apr!I25+May!I25+Jun!I25+July!I25+Aug!I25+Sep!I25+Oct!I25+Nov!I25+Dec!I25</f>
        <v>6000</v>
      </c>
      <c r="K25" s="75"/>
    </row>
    <row r="26" spans="1:12" s="43" customFormat="1" ht="13.5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Jan!I26+Feb!I26+Mar!I26+Apr!I26+May!I26+Jun!I26+July!I26+Aug!I26+Sep!I26+Oct!I26+Nov!I26+Dec!I26</f>
        <v>3600</v>
      </c>
      <c r="K26" s="75"/>
    </row>
    <row r="27" spans="1:12" s="43" customFormat="1" ht="13.5">
      <c r="A27" s="49"/>
      <c r="F27" s="159"/>
      <c r="G27" s="57"/>
      <c r="H27" s="57"/>
      <c r="I27" s="59"/>
      <c r="J27" s="70"/>
      <c r="K27" s="70"/>
    </row>
    <row r="28" spans="1:12" s="43" customFormat="1" ht="14.25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-2770</v>
      </c>
      <c r="J28" s="58">
        <f>SUM(J11:J26)</f>
        <v>7779.7999999999993</v>
      </c>
      <c r="K28" s="76"/>
    </row>
    <row r="29" spans="1:12" s="43" customFormat="1" ht="15" thickTop="1" thickBot="1">
      <c r="H29" s="47"/>
      <c r="I29" s="47"/>
      <c r="J29" s="47"/>
      <c r="K29" s="76"/>
      <c r="L29" s="49" t="s">
        <v>330</v>
      </c>
    </row>
    <row r="30" spans="1:12" s="43" customFormat="1" ht="14.25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-6720</v>
      </c>
      <c r="H31" s="47"/>
      <c r="I31" s="47"/>
      <c r="J31" s="47"/>
      <c r="K31" s="76"/>
      <c r="L31" s="47"/>
    </row>
    <row r="32" spans="1:12" s="43" customFormat="1" ht="13.5">
      <c r="A32" s="43" t="s">
        <v>318</v>
      </c>
      <c r="B32" s="89"/>
      <c r="C32" s="45"/>
      <c r="D32" s="45"/>
      <c r="E32" s="45"/>
      <c r="F32" s="163"/>
      <c r="G32" s="165">
        <f>G46</f>
        <v>177.95000000000027</v>
      </c>
      <c r="H32" s="47"/>
      <c r="I32" s="47"/>
      <c r="J32" s="47"/>
      <c r="K32" s="76"/>
      <c r="L32" s="47"/>
    </row>
    <row r="33" spans="1:15" s="43" customFormat="1" ht="13.5">
      <c r="A33" s="49" t="s">
        <v>359</v>
      </c>
      <c r="B33" s="49"/>
      <c r="F33" s="159"/>
      <c r="G33" s="69">
        <f>G31-G32-M42-N42</f>
        <v>-6897.9500000000007</v>
      </c>
      <c r="H33" s="47"/>
      <c r="I33" s="47"/>
      <c r="J33" s="47"/>
      <c r="K33" s="76"/>
      <c r="L33" s="47"/>
    </row>
    <row r="34" spans="1:15" s="43" customFormat="1" ht="13.5">
      <c r="H34" s="47"/>
      <c r="I34" s="47"/>
      <c r="J34" s="47"/>
      <c r="K34" s="76"/>
      <c r="L34" s="47"/>
    </row>
    <row r="35" spans="1:15" s="43" customFormat="1" ht="13.5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3.5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/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100</v>
      </c>
      <c r="N41" s="43">
        <f>N46+N44+N43+N42</f>
        <v>0</v>
      </c>
      <c r="O41" s="43">
        <f>O46+O44+O43+O42</f>
        <v>0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15" s="43" customFormat="1" ht="14.25" thickBot="1">
      <c r="D46"/>
      <c r="E46" s="162"/>
      <c r="F46" s="159"/>
      <c r="G46" s="84">
        <f>SUM(G48:G163)</f>
        <v>177.95000000000027</v>
      </c>
      <c r="H46" s="84">
        <f>SUM(H48:H163)</f>
        <v>4626.9500000000007</v>
      </c>
      <c r="I46" s="84">
        <f>H46-G46</f>
        <v>4449</v>
      </c>
      <c r="J46" s="84" t="e">
        <f ca="1">SUM(J48:J163)</f>
        <v>#REF!</v>
      </c>
      <c r="K46" s="77"/>
      <c r="L46" s="207">
        <f>SUM(L49:L163)</f>
        <v>177.95000000000027</v>
      </c>
      <c r="M46" s="208">
        <f>SUM(M49:M163)</f>
        <v>0</v>
      </c>
      <c r="N46" s="209">
        <f>SUM(N49:N163)</f>
        <v>0</v>
      </c>
      <c r="O46" s="209">
        <f>SUM(O49:O163)</f>
        <v>0</v>
      </c>
    </row>
    <row r="47" spans="1:15" s="43" customFormat="1" ht="14.25" thickBot="1">
      <c r="A47" s="89" t="s">
        <v>292</v>
      </c>
      <c r="B47" s="157">
        <f>B48+B61+B65</f>
        <v>177.95000000000027</v>
      </c>
      <c r="C47" s="157">
        <f>C48+C61+C65</f>
        <v>797.95000000000027</v>
      </c>
      <c r="D47" s="79">
        <f>D48+D61+D65</f>
        <v>620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177.95000000000027</v>
      </c>
      <c r="C48" s="49">
        <f>SUM(H49:H57)</f>
        <v>457.95000000000027</v>
      </c>
      <c r="D48" s="49">
        <f>SUM(I49:I57)</f>
        <v>280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Jan!I49+Feb!I49+Mar!I49+Apr!I49+May!I49+Jun!I49+July!I49+Aug!I49+Sep!I49+Oct!I49+Nov!I49+Dec!I49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Jan!I50+Feb!I50+Mar!I50+Apr!I50+May!I50+Jun!I50+July!I50+Aug!I50+Sep!I50+Oct!I50+Nov!I50+Dec!I50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Jan!I51+Feb!I51+Mar!I51+Apr!I51+May!I51+Jun!I51+July!I51+Aug!I51+Sep!I51+Oct!I51+Nov!I51+Dec!I51</f>
        <v>1035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Jan!I52+Feb!I52+Mar!I52+Apr!I52+May!I52+Jun!I52+July!I52+Aug!I52+Sep!I52+Oct!I52+Nov!I52+Dec!I52</f>
        <v>1200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Jan!I53+Feb!I53+Mar!I53+Apr!I53+May!I53+Jun!I53+July!I53+Aug!I53+Sep!I53+Oct!I53+Nov!I53+Dec!I53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Jan!I54+Feb!I54+Mar!I54+Apr!I54+May!I54+Jun!I54+July!I54+Aug!I54+Sep!I54+Oct!I54+Nov!I54+Dec!I54</f>
        <v>359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Jan!I55+Feb!I55+Mar!I55+Apr!I55+May!I55+Jun!I55+July!I55+Aug!I55+Sep!I55+Oct!I55+Nov!I55+Dec!I55</f>
        <v>-27363.32</v>
      </c>
      <c r="K55" s="73"/>
      <c r="L55" s="212"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Jan!I56+Feb!I56+Mar!I56+Apr!I56+May!I56+Jun!I56+July!I56+Aug!I56+Sep!I56+Oct!I56+Nov!I56+Dec!I56</f>
        <v>782.51999999999987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Jan!I57+Feb!I57+Mar!I57+Apr!I57+May!I57+Jun!I57+July!I57+Aug!I57+Sep!I57+Oct!I57+Nov!I57+Dec!I57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0</v>
      </c>
      <c r="C61" s="49">
        <f>SUM(H62:H63)</f>
        <v>260</v>
      </c>
      <c r="D61" s="49">
        <f>C61-B61</f>
        <v>260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0</v>
      </c>
      <c r="H62" s="43">
        <v>150</v>
      </c>
      <c r="I62" s="52">
        <f t="shared" ref="I62:I67" si="3">H62-G62</f>
        <v>150</v>
      </c>
      <c r="J62" s="80">
        <f>Jan!I62+Feb!I62+Mar!I62+Apr!I62+May!I62+Jun!I62+July!I62+Aug!I62+Sep!I62+Oct!I62+Nov!I62+Dec!I62</f>
        <v>949.46</v>
      </c>
      <c r="K62" s="73"/>
      <c r="L62" s="212"/>
      <c r="M62" s="211"/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 t="shared" si="3"/>
        <v>110</v>
      </c>
      <c r="J63" s="80">
        <f>Jan!I63+Feb!I63+Mar!I63+Apr!I63+May!I63+Jun!I63+July!I63+Aug!I63+Sep!I63+Oct!I63+Nov!I63+Dec!I63</f>
        <v>679.81</v>
      </c>
      <c r="K63" s="73"/>
      <c r="L63" s="212"/>
      <c r="M63" s="211"/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0</v>
      </c>
      <c r="C65" s="49">
        <f>SUM(H66:H68)</f>
        <v>80</v>
      </c>
      <c r="D65" s="49">
        <f>C65-B65</f>
        <v>80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0</v>
      </c>
      <c r="H66" s="43">
        <v>30</v>
      </c>
      <c r="I66" s="52">
        <f t="shared" si="3"/>
        <v>30</v>
      </c>
      <c r="J66" s="80">
        <f>Jan!I66+Feb!I66+Mar!I66+Apr!I66+May!I66+Jun!I66+July!I66+Aug!I66+Sep!I66+Oct!I66+Nov!I66+Dec!I66</f>
        <v>222.75</v>
      </c>
      <c r="K66" s="73"/>
      <c r="L66" s="212"/>
      <c r="M66" s="211"/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Jan!I67+Feb!I67+Mar!I67+Apr!I67+May!I67+Jun!I67+July!I67+Aug!I67+Sep!I67+Oct!I67+Nov!I67+Dec!I67</f>
        <v>220.99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ref="I68:I131" si="4">H68-G68</f>
        <v>30</v>
      </c>
      <c r="J68" s="80">
        <f>Jan!I68+Feb!I68+Mar!I68+Apr!I68+May!I68+Jun!I68+July!I68+Aug!I68+Sep!I68+Oct!I68+Nov!I68+Dec!I68</f>
        <v>307.25</v>
      </c>
      <c r="K68" s="73"/>
      <c r="L68" s="212"/>
      <c r="M68" s="211"/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>SUM(L71:O71)</f>
        <v>0</v>
      </c>
      <c r="H71" s="43">
        <v>25</v>
      </c>
      <c r="I71" s="52">
        <f t="shared" si="4"/>
        <v>25</v>
      </c>
      <c r="J71" s="80">
        <f>Jan!I71+Feb!I71+Mar!I71+Apr!I71+May!I71+Jun!I71+July!I71+Aug!I71+Sep!I71+Oct!I71+Nov!I71+Dec!I71</f>
        <v>-166.68000000000006</v>
      </c>
      <c r="K71" s="73"/>
      <c r="L71" s="212"/>
      <c r="M71" s="211"/>
      <c r="N71" s="211"/>
      <c r="O71" s="212"/>
    </row>
    <row r="72" spans="1:15" s="43" customFormat="1" ht="13.5">
      <c r="A72" s="49"/>
      <c r="B72" s="43" t="s">
        <v>284</v>
      </c>
      <c r="G72" s="43">
        <f t="shared" ref="G72:G75" si="5">SUM(L72:O72)</f>
        <v>0</v>
      </c>
      <c r="H72" s="43">
        <v>25</v>
      </c>
      <c r="I72" s="52">
        <f t="shared" si="4"/>
        <v>25</v>
      </c>
      <c r="J72" s="80">
        <f>Jan!I72+Feb!I72+Mar!I72+Apr!I72+May!I72+Jun!I72+July!I72+Aug!I72+Sep!I72+Oct!I72+Nov!I72+Dec!I72</f>
        <v>300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5"/>
        <v>0</v>
      </c>
      <c r="H73" s="43">
        <v>20</v>
      </c>
      <c r="I73" s="52">
        <f t="shared" si="4"/>
        <v>20</v>
      </c>
      <c r="J73" s="80">
        <f>Jan!I73+Feb!I73+Mar!I73+Apr!I73+May!I73+Jun!I73+July!I73+Aug!I73+Sep!I73+Oct!I73+Nov!I73+Dec!I73</f>
        <v>-38.069999999999993</v>
      </c>
      <c r="K73" s="73"/>
      <c r="L73" s="212"/>
      <c r="M73" s="211"/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5"/>
        <v>0</v>
      </c>
      <c r="H75" s="43">
        <v>75</v>
      </c>
      <c r="I75" s="52">
        <f t="shared" si="4"/>
        <v>75</v>
      </c>
      <c r="J75" s="80">
        <f>Jan!I75+Feb!I75+Mar!I75+Apr!I75+May!I75+Jun!I75+July!I75+Aug!I75+Sep!I75+Oct!I75+Nov!I75+Dec!I75</f>
        <v>441.64</v>
      </c>
      <c r="K75" s="73"/>
      <c r="L75" s="212"/>
      <c r="M75" s="211"/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0</v>
      </c>
      <c r="C77" s="187">
        <f>C80+C86+C91+C100+C105+C111+C117+C130+C133+C138+C141</f>
        <v>2849</v>
      </c>
      <c r="D77" s="187">
        <f>D80+D86+D91+D100+D105+D111+D117+D130+D133+D138+D141</f>
        <v>2799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0</v>
      </c>
      <c r="C80" s="49">
        <f>SUM(H81:H84)</f>
        <v>290</v>
      </c>
      <c r="D80" s="49">
        <f>C80-B80</f>
        <v>290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0</v>
      </c>
      <c r="H81" s="43">
        <v>100</v>
      </c>
      <c r="I81" s="52">
        <f t="shared" si="4"/>
        <v>100</v>
      </c>
      <c r="J81" s="80">
        <f>Jan!I81+Feb!I81+Mar!I81+Apr!I81+May!I81+Jun!I81+July!I81+Aug!I81+Sep!I81+Oct!I81+Nov!I81+Dec!I81</f>
        <v>567.55999999999995</v>
      </c>
      <c r="K81" s="73"/>
      <c r="L81" s="212"/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0</v>
      </c>
      <c r="H82" s="43">
        <v>60</v>
      </c>
      <c r="I82" s="52">
        <f t="shared" si="4"/>
        <v>60</v>
      </c>
      <c r="J82" s="80">
        <f>Jan!I82+Feb!I82+Mar!I82+Apr!I82+May!I82+Jun!I82+July!I82+Aug!I82+Sep!I82+Oct!I82+Nov!I82+Dec!I82</f>
        <v>304.64</v>
      </c>
      <c r="K82" s="73"/>
      <c r="L82" s="212"/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0</v>
      </c>
      <c r="H83" s="43">
        <v>100</v>
      </c>
      <c r="I83" s="52">
        <f t="shared" si="4"/>
        <v>100</v>
      </c>
      <c r="J83" s="80">
        <f>Jan!I83+Feb!I83+Mar!I83+Apr!I83+May!I83+Jun!I83+July!I83+Aug!I83+Sep!I83+Oct!I83+Nov!I83+Dec!I83</f>
        <v>798.12</v>
      </c>
      <c r="K83" s="73"/>
      <c r="L83" s="212"/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0</v>
      </c>
      <c r="H84" s="43">
        <v>30</v>
      </c>
      <c r="I84" s="52">
        <f t="shared" si="4"/>
        <v>30</v>
      </c>
      <c r="J84" s="80">
        <f>Jan!I84+Feb!I84+Mar!I84+Apr!I84+May!I84+Jun!I84+July!I84+Aug!I84+Sep!I84+Oct!I84+Nov!I84+Dec!I84</f>
        <v>128.48000000000002</v>
      </c>
      <c r="K84" s="73"/>
      <c r="L84" s="212"/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4"/>
        <v>100</v>
      </c>
      <c r="J87" s="80">
        <f>Jan!I87+Feb!I87+Mar!I87+Apr!I87+May!I87+Jun!I87+July!I87+Aug!I87+Sep!I87+Oct!I87+Nov!I87+Dec!I87</f>
        <v>1200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4"/>
        <v>200</v>
      </c>
      <c r="J88" s="80">
        <f>Jan!I88+Feb!I88+Mar!I88+Apr!I88+May!I88+Jun!I88+July!I88+Aug!I88+Sep!I88+Oct!I88+Nov!I88+Dec!I88</f>
        <v>1828.75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4"/>
        <v>36</v>
      </c>
      <c r="J89" s="80">
        <f>Jan!I89+Feb!I89+Mar!I89+Apr!I89+May!I89+Jun!I89+July!I89+Aug!I89+Sep!I89+Oct!I89+Nov!I89+Dec!I89</f>
        <v>432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4"/>
        <v>20</v>
      </c>
      <c r="J92" s="80">
        <f>Jan!I92+Feb!I92+Mar!I92+Apr!I92+May!I92+Jun!I92+July!I92+Aug!I92+Sep!I92+Oct!I92+Nov!I92+Dec!I92</f>
        <v>228.55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4"/>
        <v>5</v>
      </c>
      <c r="J93" s="80">
        <f>Jan!I93+Feb!I93+Mar!I93+Apr!I93+May!I93+Jun!I93+July!I93+Aug!I93+Sep!I93+Oct!I93+Nov!I93+Dec!I93</f>
        <v>60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4"/>
        <v>65</v>
      </c>
      <c r="J94" s="80">
        <f>Jan!I94+Feb!I94+Mar!I94+Apr!I94+May!I94+Jun!I94+July!I94+Aug!I94+Sep!I94+Oct!I94+Nov!I94+Dec!I94</f>
        <v>780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4"/>
        <v>15</v>
      </c>
      <c r="J95" s="80">
        <f>Jan!I95+Feb!I95+Mar!I95+Apr!I95+May!I95+Jun!I95+July!I95+Aug!I95+Sep!I95+Oct!I95+Nov!I95+Dec!I95</f>
        <v>180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4"/>
        <v>35</v>
      </c>
      <c r="J96" s="80">
        <f>Jan!I96+Feb!I96+Mar!I96+Apr!I96+May!I96+Jun!I96+July!I96+Aug!I96+Sep!I96+Oct!I96+Nov!I96+Dec!I96</f>
        <v>420</v>
      </c>
      <c r="K96" s="73"/>
      <c r="L96" s="212"/>
      <c r="M96" s="211"/>
      <c r="N96" s="211"/>
      <c r="O96" s="212"/>
    </row>
    <row r="97" spans="1:15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4"/>
        <v>26</v>
      </c>
      <c r="J97" s="80">
        <f>Jan!I97+Feb!I97+Mar!I97+Apr!I97+May!I97+Jun!I97+July!I97+Aug!I97+Sep!I97+Oct!I97+Nov!I97+Dec!I97</f>
        <v>312</v>
      </c>
      <c r="K97" s="73"/>
      <c r="L97" s="212"/>
      <c r="M97" s="211"/>
      <c r="N97" s="211"/>
      <c r="O97" s="212"/>
    </row>
    <row r="98" spans="1:15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4"/>
        <v>12</v>
      </c>
      <c r="J98" s="80">
        <f>Jan!I98+Feb!I98+Mar!I98+Apr!I98+May!I98+Jun!I98+July!I98+Aug!I98+Sep!I98+Oct!I98+Nov!I98+Dec!I98</f>
        <v>144</v>
      </c>
      <c r="K98" s="73"/>
      <c r="L98" s="212"/>
      <c r="M98" s="211"/>
      <c r="N98" s="211"/>
      <c r="O98" s="212"/>
    </row>
    <row r="99" spans="1:15" s="43" customFormat="1" ht="13.5">
      <c r="I99" s="52"/>
      <c r="J99" s="80"/>
      <c r="K99" s="73"/>
      <c r="L99" s="212"/>
      <c r="M99" s="211"/>
      <c r="N99" s="211"/>
      <c r="O99" s="212"/>
    </row>
    <row r="100" spans="1:15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5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4"/>
        <v>60</v>
      </c>
      <c r="J101" s="80">
        <f>Jan!I101+Feb!I101+Mar!I101+Apr!I101+May!I101+Jun!I101+July!I101+Aug!I101+Sep!I101+Oct!I101+Nov!I101+Dec!I101</f>
        <v>720</v>
      </c>
      <c r="K101" s="73"/>
      <c r="L101" s="212"/>
      <c r="M101" s="211"/>
      <c r="N101" s="211"/>
      <c r="O101" s="212"/>
    </row>
    <row r="102" spans="1:15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4"/>
        <v>100</v>
      </c>
      <c r="J102" s="80">
        <f>Jan!I102+Feb!I102+Mar!I102+Apr!I102+May!I102+Jun!I102+July!I102+Aug!I102+Sep!I102+Oct!I102+Nov!I102+Dec!I102</f>
        <v>-29.689999999999941</v>
      </c>
      <c r="K102" s="73"/>
      <c r="L102" s="212"/>
      <c r="M102" s="211"/>
      <c r="N102" s="211"/>
      <c r="O102" s="212"/>
    </row>
    <row r="103" spans="1:15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4"/>
        <v>10</v>
      </c>
      <c r="J103" s="80">
        <f>Jan!I103+Feb!I103+Mar!I103+Apr!I103+May!I103+Jun!I103+July!I103+Aug!I103+Sep!I103+Oct!I103+Nov!I103+Dec!I103</f>
        <v>120</v>
      </c>
      <c r="K103" s="73"/>
      <c r="L103" s="212"/>
      <c r="M103" s="211"/>
      <c r="N103" s="211"/>
      <c r="O103" s="212"/>
    </row>
    <row r="104" spans="1:15" s="43" customFormat="1" ht="13.5">
      <c r="I104" s="52"/>
      <c r="J104" s="80"/>
      <c r="K104" s="73"/>
      <c r="L104" s="212"/>
      <c r="M104" s="211"/>
      <c r="N104" s="211"/>
      <c r="O104" s="212"/>
    </row>
    <row r="105" spans="1:15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5" s="43" customFormat="1" ht="13.5">
      <c r="B106" s="43" t="s">
        <v>297</v>
      </c>
      <c r="G106" s="43">
        <f t="shared" ref="G106:G160" si="6">SUM(L106:O106)</f>
        <v>0</v>
      </c>
      <c r="H106" s="43">
        <v>100</v>
      </c>
      <c r="I106" s="52">
        <f t="shared" si="4"/>
        <v>100</v>
      </c>
      <c r="J106" s="80">
        <f>Jan!I106+Feb!I106+Mar!I106+Apr!I106+May!I106+Jun!I106+July!I106+Aug!I106+Sep!I106+Oct!I106+Nov!I106+Dec!I106</f>
        <v>987.14</v>
      </c>
      <c r="K106" s="73"/>
      <c r="L106" s="212"/>
      <c r="M106" s="211"/>
      <c r="N106" s="211"/>
      <c r="O106" s="212"/>
    </row>
    <row r="107" spans="1:15" s="43" customFormat="1" ht="13.5">
      <c r="B107" s="43" t="s">
        <v>644</v>
      </c>
      <c r="G107" s="43">
        <f t="shared" si="6"/>
        <v>0</v>
      </c>
      <c r="H107" s="43">
        <v>25</v>
      </c>
      <c r="I107" s="52">
        <f t="shared" si="4"/>
        <v>25</v>
      </c>
      <c r="J107" s="80">
        <f>Jan!I107+Feb!I107+Mar!I107+Apr!I107+May!I107+Jun!I107+July!I107+Aug!I107+Sep!I107+Oct!I107+Nov!I107+Dec!I107</f>
        <v>-251.5</v>
      </c>
      <c r="K107" s="73"/>
      <c r="L107" s="212"/>
      <c r="M107" s="211"/>
      <c r="N107" s="211"/>
      <c r="O107" s="212"/>
    </row>
    <row r="108" spans="1:15" s="43" customFormat="1" ht="13.5">
      <c r="B108" s="43" t="s">
        <v>897</v>
      </c>
      <c r="D108" s="43" t="s">
        <v>899</v>
      </c>
      <c r="G108" s="43">
        <f t="shared" si="6"/>
        <v>0</v>
      </c>
      <c r="H108" s="43">
        <v>75</v>
      </c>
      <c r="I108" s="52">
        <f t="shared" si="4"/>
        <v>75</v>
      </c>
      <c r="J108" s="80">
        <f>Jan!I108+Feb!I108+Mar!I108+Apr!I108+May!I108+Jun!I108+July!I108+Aug!I108+Sep!I108+Oct!I108+Nov!I108+Dec!I108</f>
        <v>791.89</v>
      </c>
      <c r="K108" s="73"/>
      <c r="L108" s="212"/>
      <c r="M108" s="211"/>
      <c r="N108" s="211"/>
      <c r="O108" s="212"/>
    </row>
    <row r="109" spans="1:15" s="43" customFormat="1" ht="13.5">
      <c r="B109" s="43" t="s">
        <v>898</v>
      </c>
      <c r="D109" s="43" t="s">
        <v>900</v>
      </c>
      <c r="G109" s="43">
        <f t="shared" si="6"/>
        <v>0</v>
      </c>
      <c r="H109" s="43">
        <v>25</v>
      </c>
      <c r="I109" s="52">
        <f t="shared" si="4"/>
        <v>25</v>
      </c>
      <c r="J109" s="80">
        <f>Jan!I109+Feb!I109+Mar!I109+Apr!I109+May!I109+Jun!I109+July!I109+Aug!I109+Sep!I109+Oct!I109+Nov!I109+Dec!I109</f>
        <v>192.76999999999998</v>
      </c>
      <c r="K109" s="73"/>
      <c r="L109" s="212"/>
      <c r="M109" s="211"/>
      <c r="N109" s="211"/>
      <c r="O109" s="212"/>
    </row>
    <row r="110" spans="1:15" s="43" customFormat="1" ht="13.5">
      <c r="I110" s="52"/>
      <c r="J110" s="80"/>
      <c r="K110" s="73"/>
      <c r="L110" s="212"/>
      <c r="M110" s="211"/>
      <c r="N110" s="211"/>
      <c r="O110" s="212"/>
    </row>
    <row r="111" spans="1:15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5" s="43" customFormat="1" ht="13.5">
      <c r="B112" s="43" t="s">
        <v>324</v>
      </c>
      <c r="D112" s="43" t="s">
        <v>47</v>
      </c>
      <c r="G112" s="43">
        <f t="shared" si="6"/>
        <v>0</v>
      </c>
      <c r="H112" s="43">
        <v>150</v>
      </c>
      <c r="I112" s="52">
        <f t="shared" si="4"/>
        <v>150</v>
      </c>
      <c r="J112" s="80">
        <f>Jan!I112+Feb!I112+Mar!I112+Apr!I112+May!I112+Jun!I112+July!I112+Aug!I112+Sep!I112+Oct!I112+Nov!I112+Dec!I112</f>
        <v>481.78</v>
      </c>
      <c r="K112" s="73"/>
      <c r="L112" s="212"/>
      <c r="M112" s="211"/>
      <c r="N112" s="211"/>
      <c r="O112" s="212"/>
    </row>
    <row r="113" spans="1:15" s="43" customFormat="1" ht="13.5">
      <c r="A113" s="49"/>
      <c r="B113" s="43" t="s">
        <v>323</v>
      </c>
      <c r="G113" s="43">
        <f t="shared" si="6"/>
        <v>0</v>
      </c>
      <c r="H113" s="43">
        <v>215</v>
      </c>
      <c r="I113" s="52">
        <f t="shared" si="4"/>
        <v>215</v>
      </c>
      <c r="J113" s="80">
        <f>Jan!I113+Feb!I113+Mar!I113+Apr!I113+May!I113+Jun!I113+July!I113+Aug!I113+Sep!I113+Oct!I113+Nov!I113+Dec!I113</f>
        <v>1124.29</v>
      </c>
      <c r="K113" s="73"/>
      <c r="L113" s="212"/>
      <c r="M113" s="211"/>
      <c r="N113" s="211"/>
      <c r="O113" s="212"/>
    </row>
    <row r="114" spans="1:15" s="43" customFormat="1" ht="13.5">
      <c r="A114" s="49"/>
      <c r="B114" s="43" t="s">
        <v>317</v>
      </c>
      <c r="G114" s="43">
        <f t="shared" si="6"/>
        <v>0</v>
      </c>
      <c r="H114" s="43">
        <v>50</v>
      </c>
      <c r="I114" s="52">
        <f t="shared" si="4"/>
        <v>50</v>
      </c>
      <c r="J114" s="80">
        <f>Jan!I114+Feb!I114+Mar!I114+Apr!I114+May!I114+Jun!I114+July!I114+Aug!I114+Sep!I114+Oct!I114+Nov!I114+Dec!I114</f>
        <v>-6303.5300000000007</v>
      </c>
      <c r="K114" s="73"/>
      <c r="L114" s="212"/>
      <c r="M114" s="211"/>
      <c r="N114" s="211"/>
      <c r="O114" s="212"/>
    </row>
    <row r="115" spans="1:15" s="43" customFormat="1" ht="13.5">
      <c r="A115" s="49"/>
      <c r="B115" s="43" t="s">
        <v>907</v>
      </c>
      <c r="G115" s="43">
        <f t="shared" si="6"/>
        <v>0</v>
      </c>
      <c r="H115" s="43">
        <v>100</v>
      </c>
      <c r="I115" s="52">
        <f t="shared" si="4"/>
        <v>100</v>
      </c>
      <c r="J115" s="80">
        <f>Jan!I115+Feb!I115+Mar!I115+Apr!I115+May!I115+Jun!I115+July!I115+Aug!I115+Sep!I115+Oct!I115+Nov!I115+Dec!I115</f>
        <v>1200</v>
      </c>
      <c r="K115" s="73"/>
      <c r="L115" s="212"/>
      <c r="M115" s="211"/>
      <c r="N115" s="211"/>
      <c r="O115" s="212"/>
    </row>
    <row r="116" spans="1:15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5" s="43" customFormat="1" ht="13.5">
      <c r="A117" s="49" t="s">
        <v>41</v>
      </c>
      <c r="B117" s="49">
        <f>SUM(G119:G129)</f>
        <v>0</v>
      </c>
      <c r="C117" s="49">
        <f>SUM(H118:H128)</f>
        <v>820</v>
      </c>
      <c r="D117" s="49">
        <f>C117-B117</f>
        <v>820</v>
      </c>
      <c r="I117" s="52"/>
      <c r="J117" s="80"/>
      <c r="K117" s="73"/>
      <c r="L117" s="212"/>
      <c r="M117" s="211"/>
      <c r="N117" s="211"/>
      <c r="O117" s="212"/>
    </row>
    <row r="118" spans="1:15" s="43" customFormat="1" ht="13.5">
      <c r="B118" s="43" t="s">
        <v>42</v>
      </c>
      <c r="G118" s="43">
        <f t="shared" si="6"/>
        <v>0</v>
      </c>
      <c r="H118" s="43">
        <v>100</v>
      </c>
      <c r="I118" s="52">
        <f t="shared" si="4"/>
        <v>100</v>
      </c>
      <c r="J118" s="80">
        <f>Jan!I118+Feb!I118+Mar!I118+Apr!I118+May!I118+Jun!I118+July!I118+Aug!I118+Sep!I118+Oct!I118+Nov!I118+Dec!I118</f>
        <v>-243</v>
      </c>
      <c r="K118" s="73"/>
      <c r="L118" s="212"/>
      <c r="M118" s="211"/>
      <c r="N118" s="211"/>
      <c r="O118" s="212"/>
    </row>
    <row r="119" spans="1:15" s="43" customFormat="1" ht="13.5">
      <c r="B119" s="43" t="s">
        <v>908</v>
      </c>
      <c r="G119" s="43">
        <f t="shared" si="6"/>
        <v>0</v>
      </c>
      <c r="H119" s="43">
        <v>100</v>
      </c>
      <c r="I119" s="52">
        <f t="shared" si="4"/>
        <v>100</v>
      </c>
      <c r="J119" s="80">
        <f>Jan!I119+Feb!I119+Mar!I119+Apr!I119+May!I119+Jun!I119+July!I119+Aug!I119+Sep!I119+Oct!I119+Nov!I119+Dec!I119</f>
        <v>580.92000000000007</v>
      </c>
      <c r="K119" s="73"/>
      <c r="L119" s="212"/>
      <c r="M119" s="211"/>
      <c r="N119" s="211"/>
      <c r="O119" s="212"/>
    </row>
    <row r="120" spans="1:15" s="43" customFormat="1" ht="14.25" thickBot="1">
      <c r="B120" s="43" t="s">
        <v>304</v>
      </c>
      <c r="G120" s="43">
        <f t="shared" si="6"/>
        <v>0</v>
      </c>
      <c r="H120" s="43">
        <v>500</v>
      </c>
      <c r="I120" s="52">
        <f t="shared" si="4"/>
        <v>500</v>
      </c>
      <c r="J120" s="80">
        <f>Jan!I120+Feb!I120+Mar!I120+Apr!I120+May!I120+Jun!I120+July!I120+Aug!I120+Sep!I120+Oct!I120+Nov!I120+Dec!I120</f>
        <v>2971</v>
      </c>
      <c r="K120" s="73"/>
      <c r="L120" s="212"/>
      <c r="M120" s="211"/>
      <c r="N120" s="211"/>
      <c r="O120" s="212"/>
    </row>
    <row r="121" spans="1:15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5" s="43" customFormat="1" ht="13.5">
      <c r="B122" s="43" t="s">
        <v>164</v>
      </c>
      <c r="G122" s="43">
        <f t="shared" si="6"/>
        <v>0</v>
      </c>
      <c r="H122" s="43">
        <v>50</v>
      </c>
      <c r="I122" s="52">
        <f t="shared" si="4"/>
        <v>50</v>
      </c>
      <c r="J122" s="80">
        <f>Jan!I122+Feb!I122+Mar!I122+Apr!I122+May!I122+Jun!I122+July!I122+Aug!I122+Sep!I122+Oct!I122+Nov!I122+Dec!I122</f>
        <v>588.79</v>
      </c>
      <c r="K122" s="73"/>
      <c r="L122" s="212"/>
      <c r="M122" s="211"/>
      <c r="N122" s="211"/>
      <c r="O122" s="212"/>
    </row>
    <row r="123" spans="1:15" s="43" customFormat="1" ht="14.25" thickBot="1">
      <c r="B123" s="43" t="s">
        <v>43</v>
      </c>
      <c r="G123" s="43">
        <f t="shared" si="6"/>
        <v>0</v>
      </c>
      <c r="H123" s="43">
        <v>50</v>
      </c>
      <c r="I123" s="52">
        <f t="shared" si="4"/>
        <v>50</v>
      </c>
      <c r="J123" s="80">
        <f>Jan!I123+Feb!I123+Mar!I123+Apr!I123+May!I123+Jun!I123+July!I123+Aug!I123+Sep!I123+Oct!I123+Nov!I123+Dec!I123</f>
        <v>219.63</v>
      </c>
      <c r="K123" s="73"/>
      <c r="L123" s="212"/>
      <c r="M123" s="211"/>
      <c r="N123" s="211"/>
      <c r="O123" s="212"/>
    </row>
    <row r="124" spans="1:15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5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5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</row>
    <row r="127" spans="1:15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5" s="43" customFormat="1" ht="13.5">
      <c r="B128" s="43" t="s">
        <v>303</v>
      </c>
      <c r="G128" s="43">
        <f t="shared" si="6"/>
        <v>0</v>
      </c>
      <c r="H128" s="43">
        <v>20</v>
      </c>
      <c r="I128" s="52">
        <f t="shared" si="4"/>
        <v>20</v>
      </c>
      <c r="J128" s="80">
        <f>Jan!I128+Feb!I128+Mar!I128+Apr!I128+May!I128+Jun!I128+July!I128+Aug!I128+Sep!I128+Oct!I128+Nov!I128+Dec!I128</f>
        <v>166.93</v>
      </c>
      <c r="K128" s="73"/>
      <c r="L128" s="212"/>
      <c r="M128" s="211"/>
      <c r="N128" s="211"/>
      <c r="O128" s="212"/>
    </row>
    <row r="129" spans="1:15" s="43" customFormat="1" ht="13.5">
      <c r="I129" s="52"/>
      <c r="J129" s="80"/>
      <c r="K129" s="73"/>
      <c r="L129" s="212"/>
      <c r="M129" s="211"/>
      <c r="N129" s="211"/>
      <c r="O129" s="212"/>
    </row>
    <row r="130" spans="1:15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5" s="43" customFormat="1" ht="13.5">
      <c r="B131" s="43" t="s">
        <v>53</v>
      </c>
      <c r="G131" s="43">
        <f t="shared" si="6"/>
        <v>0</v>
      </c>
      <c r="H131" s="43">
        <v>50</v>
      </c>
      <c r="I131" s="52">
        <f t="shared" si="4"/>
        <v>50</v>
      </c>
      <c r="J131" s="80">
        <f>Jan!I131+Feb!I131+Mar!I131+Apr!I131+May!I131+Jun!I131+July!I131+Aug!I131+Sep!I131+Oct!I131+Nov!I131+Dec!I131</f>
        <v>489.98</v>
      </c>
      <c r="K131" s="73"/>
      <c r="L131" s="212"/>
      <c r="M131" s="211"/>
      <c r="N131" s="211"/>
      <c r="O131" s="212"/>
    </row>
    <row r="132" spans="1:15" s="43" customFormat="1" ht="13.5">
      <c r="I132" s="52"/>
      <c r="J132" s="80"/>
      <c r="K132" s="73"/>
      <c r="L132" s="212"/>
      <c r="M132" s="211"/>
      <c r="N132" s="211"/>
      <c r="O132" s="212"/>
    </row>
    <row r="133" spans="1:15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5" s="43" customFormat="1" ht="13.5">
      <c r="A134" s="49"/>
      <c r="B134" s="43" t="s">
        <v>910</v>
      </c>
      <c r="C134" s="49"/>
      <c r="D134" s="49"/>
      <c r="G134" s="43">
        <f t="shared" si="6"/>
        <v>0</v>
      </c>
      <c r="H134" s="43">
        <v>100</v>
      </c>
      <c r="I134" s="52">
        <f t="shared" ref="I134:I163" si="7">H134-G134</f>
        <v>100</v>
      </c>
      <c r="J134" s="80">
        <f>Jan!I134+Feb!I134+Mar!I134+Apr!I134+May!I134+Jun!I134+July!I134+Aug!I134+Sep!I134+Oct!I134+Nov!I134+Dec!I134</f>
        <v>797</v>
      </c>
      <c r="K134" s="73"/>
      <c r="L134" s="212"/>
      <c r="M134" s="211"/>
      <c r="N134" s="211"/>
      <c r="O134" s="212"/>
    </row>
    <row r="135" spans="1:15" s="43" customFormat="1" ht="13.5">
      <c r="B135" s="43" t="s">
        <v>305</v>
      </c>
      <c r="G135" s="43">
        <f t="shared" si="6"/>
        <v>0</v>
      </c>
      <c r="H135" s="43">
        <v>100</v>
      </c>
      <c r="I135" s="52">
        <f t="shared" si="7"/>
        <v>100</v>
      </c>
      <c r="J135" s="80">
        <f>Jan!I135+Feb!I135+Mar!I135+Apr!I135+May!I135+Jun!I135+July!I135+Aug!I135+Sep!I135+Oct!I135+Nov!I135+Dec!I135</f>
        <v>1175.8600000000001</v>
      </c>
      <c r="K135" s="73"/>
      <c r="L135" s="212"/>
      <c r="M135" s="211"/>
      <c r="N135" s="211"/>
      <c r="O135" s="212"/>
    </row>
    <row r="136" spans="1:15" s="43" customFormat="1" ht="13.5">
      <c r="B136" s="43" t="s">
        <v>306</v>
      </c>
      <c r="G136" s="43">
        <f t="shared" si="6"/>
        <v>0</v>
      </c>
      <c r="H136" s="43">
        <v>30</v>
      </c>
      <c r="I136" s="52">
        <f t="shared" si="7"/>
        <v>30</v>
      </c>
      <c r="J136" s="80">
        <f>Jan!I136+Feb!I136+Mar!I136+Apr!I136+May!I136+Jun!I136+July!I136+Aug!I136+Sep!I136+Oct!I136+Nov!I136+Dec!I136</f>
        <v>356.74</v>
      </c>
      <c r="K136" s="73"/>
      <c r="L136" s="212"/>
      <c r="M136" s="211"/>
      <c r="N136" s="211"/>
      <c r="O136" s="212"/>
    </row>
    <row r="137" spans="1:15" s="43" customFormat="1" ht="13.5">
      <c r="I137" s="52"/>
      <c r="J137" s="80"/>
      <c r="K137" s="73"/>
      <c r="L137" s="212"/>
      <c r="M137" s="211"/>
      <c r="N137" s="211"/>
      <c r="O137" s="212"/>
    </row>
    <row r="138" spans="1:15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5" s="43" customFormat="1" ht="13.5">
      <c r="B139" s="43" t="s">
        <v>911</v>
      </c>
      <c r="G139" s="43">
        <f t="shared" si="6"/>
        <v>0</v>
      </c>
      <c r="H139" s="43">
        <v>10</v>
      </c>
      <c r="I139" s="52">
        <f t="shared" si="7"/>
        <v>10</v>
      </c>
      <c r="J139" s="80">
        <f>Jan!I139+Feb!I139+Mar!I139+Apr!I139+May!I139+Jun!I139+July!I139+Aug!I139+Sep!I139+Oct!I139+Nov!I139+Dec!I139</f>
        <v>94.5</v>
      </c>
      <c r="K139" s="73"/>
      <c r="L139" s="212"/>
      <c r="M139" s="211"/>
      <c r="N139" s="211"/>
      <c r="O139" s="212"/>
    </row>
    <row r="140" spans="1:15" s="43" customFormat="1" ht="13.5">
      <c r="I140" s="52"/>
      <c r="J140" s="80"/>
      <c r="K140" s="73"/>
      <c r="L140" s="212"/>
      <c r="M140" s="211"/>
      <c r="N140" s="211"/>
      <c r="O140" s="212"/>
    </row>
    <row r="141" spans="1:15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5" s="43" customFormat="1" ht="13.5">
      <c r="B142" s="43" t="s">
        <v>50</v>
      </c>
      <c r="G142" s="43">
        <f t="shared" si="6"/>
        <v>0</v>
      </c>
      <c r="H142" s="43">
        <v>150</v>
      </c>
      <c r="I142" s="52">
        <f t="shared" si="7"/>
        <v>150</v>
      </c>
      <c r="J142" s="80">
        <f>Jan!I142+Feb!I142+Mar!I142+Apr!I142+May!I142+Jun!I142+July!I142+Aug!I142+Sep!I142+Oct!I142+Nov!I142+Dec!I142</f>
        <v>1038.26</v>
      </c>
      <c r="K142" s="73"/>
      <c r="L142" s="212"/>
      <c r="M142" s="211"/>
      <c r="N142" s="211"/>
      <c r="O142" s="212"/>
    </row>
    <row r="143" spans="1:15" s="43" customFormat="1" ht="13.5">
      <c r="B143" s="43" t="s">
        <v>51</v>
      </c>
      <c r="D143" s="43" t="s">
        <v>137</v>
      </c>
      <c r="G143" s="43">
        <f t="shared" si="6"/>
        <v>0</v>
      </c>
      <c r="H143" s="43">
        <v>100</v>
      </c>
      <c r="I143" s="52">
        <f t="shared" si="7"/>
        <v>100</v>
      </c>
      <c r="J143" s="80">
        <f>Jan!I143+Feb!I143+Mar!I143+Apr!I143+May!I143+Jun!I143+July!I143+Aug!I143+Sep!I143+Oct!I143+Nov!I143+Dec!I143</f>
        <v>634.76</v>
      </c>
      <c r="K143" s="73"/>
      <c r="L143" s="212"/>
      <c r="M143" s="211"/>
      <c r="N143" s="211"/>
      <c r="O143" s="212"/>
    </row>
    <row r="144" spans="1:15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6"/>
        <v>0</v>
      </c>
      <c r="H149" s="43">
        <v>100</v>
      </c>
      <c r="I149" s="52">
        <f t="shared" si="7"/>
        <v>100</v>
      </c>
      <c r="J149" s="80">
        <f>Jan!I149+Feb!I149+Mar!I149+Apr!I149+May!I149+Jun!I149+July!I149+Aug!I149+Sep!I149+Oct!I149+Nov!I149+Dec!I149</f>
        <v>860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6"/>
        <v>0</v>
      </c>
      <c r="H150" s="43">
        <v>100</v>
      </c>
      <c r="I150" s="52">
        <f t="shared" si="7"/>
        <v>100</v>
      </c>
      <c r="J150" s="80">
        <f>Jan!I150+Feb!I150+Mar!I150+Apr!I150+May!I150+Jun!I150+July!I150+Aug!I150+Sep!I150+Oct!I150+Nov!I150+Dec!I150</f>
        <v>1200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6"/>
        <v>0</v>
      </c>
      <c r="H151" s="43">
        <v>30</v>
      </c>
      <c r="I151" s="52">
        <f t="shared" si="7"/>
        <v>30</v>
      </c>
      <c r="J151" s="80">
        <f>Jan!I151+Feb!I151+Mar!I151+Apr!I151+May!I151+Jun!I151+July!I151+Aug!I151+Sep!I151+Oct!I151+Nov!I151+Dec!I151</f>
        <v>360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6"/>
        <v>0</v>
      </c>
      <c r="H152" s="43">
        <v>50</v>
      </c>
      <c r="I152" s="52">
        <f t="shared" si="7"/>
        <v>50</v>
      </c>
      <c r="J152" s="80">
        <f>Jan!I152+Feb!I152+Mar!I152+Apr!I152+May!I152+Jun!I152+July!I152+Aug!I152+Sep!I152+Oct!I152+Nov!I152+Dec!I152</f>
        <v>600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6"/>
        <v>0</v>
      </c>
      <c r="H153" s="43">
        <v>10</v>
      </c>
      <c r="I153" s="52">
        <f t="shared" si="7"/>
        <v>10</v>
      </c>
      <c r="J153" s="80">
        <f>Jan!I153+Feb!I153+Mar!I153+Apr!I153+May!I153+Jun!I153+July!I153+Aug!I153+Sep!I153+Oct!I153+Nov!I153+Dec!I153</f>
        <v>120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6"/>
        <v>0</v>
      </c>
      <c r="H156" s="43">
        <v>30</v>
      </c>
      <c r="I156" s="52">
        <f t="shared" si="7"/>
        <v>30</v>
      </c>
      <c r="J156" s="80">
        <f>Jan!I156+Feb!I156+Mar!I156+Apr!I156+May!I156+Jun!I156+July!I156+Aug!I156+Sep!I156+Oct!I156+Nov!I156+Dec!I156</f>
        <v>305.55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6"/>
        <v>0</v>
      </c>
      <c r="H157" s="43">
        <v>30</v>
      </c>
      <c r="I157" s="52">
        <f t="shared" si="7"/>
        <v>30</v>
      </c>
      <c r="J157" s="80">
        <f ca="1">Jan!I157+Feb!I157+Mar!I157+Apr!I157+May!I157+Jun!I157+July!I157+Aug!I157+Sep!I157+Oct!I157+Nov!I157+Dec!I157</f>
        <v>360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6"/>
        <v>0</v>
      </c>
      <c r="H158" s="43">
        <v>30</v>
      </c>
      <c r="I158" s="52">
        <f t="shared" si="7"/>
        <v>30</v>
      </c>
      <c r="J158" s="80">
        <f>Jan!I158+Feb!I158+Mar!I158+Apr!I158+May!I158+Jun!I158+July!I158+Aug!I158+Sep!I158+Oct!I158+Nov!I158+Dec!I158</f>
        <v>360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6"/>
        <v>0</v>
      </c>
      <c r="H159" s="43">
        <v>30</v>
      </c>
      <c r="I159" s="52">
        <f t="shared" si="7"/>
        <v>30</v>
      </c>
      <c r="J159" s="80">
        <f>Jan!I159+Feb!I159+Mar!I159+Apr!I159+May!I159+Jun!I159+July!I159+Aug!I159+Sep!I159+Oct!I159+Nov!I159+Dec!I159</f>
        <v>360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G160" s="43">
        <f t="shared" si="6"/>
        <v>0</v>
      </c>
      <c r="H160" s="43">
        <v>100</v>
      </c>
      <c r="I160" s="52">
        <f t="shared" si="7"/>
        <v>100</v>
      </c>
      <c r="J160" s="80">
        <f>Jan!I160+Feb!I160+Mar!I160+Apr!I160+May!I160+Jun!I160+July!I160+Aug!I160+Sep!I160+Oct!I160+Nov!I160+Dec!I160</f>
        <v>-300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7"/>
        <v>100</v>
      </c>
      <c r="J163" s="80">
        <f>Jan!I163+Feb!I163+Mar!I163+Apr!I163+May!I163+Jun!I163+July!I163+Aug!I163+Sep!I163+Oct!I163+Nov!I163+Dec!I163</f>
        <v>1200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"/>
  <sheetViews>
    <sheetView topLeftCell="A156" workbookViewId="0">
      <selection activeCell="C181" sqref="C181"/>
    </sheetView>
  </sheetViews>
  <sheetFormatPr defaultRowHeight="14.25"/>
  <cols>
    <col min="1" max="1" width="16.28515625" style="192" customWidth="1"/>
    <col min="2" max="2" width="86.28515625" style="192" customWidth="1"/>
    <col min="3" max="3" width="15.42578125" style="192" customWidth="1"/>
    <col min="4" max="11" width="12.140625" style="192" customWidth="1"/>
    <col min="12" max="12" width="12.85546875" style="192" customWidth="1"/>
    <col min="13" max="14" width="12.140625" style="192" customWidth="1"/>
    <col min="15" max="15" width="12" style="192" customWidth="1"/>
    <col min="16" max="16384" width="9.140625" style="192"/>
  </cols>
  <sheetData>
    <row r="1" spans="1:3">
      <c r="A1" s="192" t="s">
        <v>528</v>
      </c>
    </row>
    <row r="2" spans="1:3">
      <c r="B2" s="192" t="s">
        <v>464</v>
      </c>
      <c r="C2" s="192">
        <v>418000</v>
      </c>
    </row>
    <row r="3" spans="1:3">
      <c r="B3" s="192" t="s">
        <v>530</v>
      </c>
      <c r="C3" s="192">
        <v>-83600</v>
      </c>
    </row>
    <row r="4" spans="1:3">
      <c r="B4" s="192" t="s">
        <v>531</v>
      </c>
      <c r="C4" s="192">
        <v>334400</v>
      </c>
    </row>
    <row r="6" spans="1:3">
      <c r="A6" s="192" t="s">
        <v>532</v>
      </c>
      <c r="C6" s="192" t="s">
        <v>586</v>
      </c>
    </row>
    <row r="7" spans="1:3">
      <c r="A7" s="194">
        <v>41822</v>
      </c>
      <c r="B7" s="194" t="s">
        <v>533</v>
      </c>
      <c r="C7" s="192">
        <v>475</v>
      </c>
    </row>
    <row r="8" spans="1:3">
      <c r="A8" s="194">
        <v>41853</v>
      </c>
      <c r="B8" s="194" t="s">
        <v>550</v>
      </c>
      <c r="C8" s="192">
        <v>470</v>
      </c>
    </row>
    <row r="9" spans="1:3">
      <c r="A9" s="194">
        <v>41887</v>
      </c>
      <c r="B9" s="192" t="s">
        <v>549</v>
      </c>
      <c r="C9" s="192">
        <v>960</v>
      </c>
    </row>
    <row r="10" spans="1:3">
      <c r="A10" s="194">
        <v>41887</v>
      </c>
      <c r="B10" s="192" t="s">
        <v>551</v>
      </c>
      <c r="C10" s="192">
        <v>45619</v>
      </c>
    </row>
    <row r="11" spans="1:3">
      <c r="A11" s="194">
        <v>41825</v>
      </c>
      <c r="B11" s="192" t="s">
        <v>551</v>
      </c>
      <c r="C11" s="192">
        <v>41800</v>
      </c>
    </row>
    <row r="12" spans="1:3">
      <c r="A12" s="194">
        <v>41887</v>
      </c>
      <c r="B12" s="192" t="s">
        <v>552</v>
      </c>
      <c r="C12" s="192">
        <v>11365</v>
      </c>
    </row>
    <row r="13" spans="1:3">
      <c r="A13" s="194">
        <v>41887</v>
      </c>
      <c r="B13" s="192" t="s">
        <v>605</v>
      </c>
      <c r="C13" s="192">
        <v>-888.22</v>
      </c>
    </row>
    <row r="14" spans="1:3">
      <c r="A14" s="194">
        <v>41903</v>
      </c>
      <c r="B14" s="192" t="s">
        <v>595</v>
      </c>
      <c r="C14" s="192">
        <v>395</v>
      </c>
    </row>
    <row r="15" spans="1:3" ht="15.75" thickBot="1">
      <c r="A15" s="194"/>
      <c r="B15" s="192" t="s">
        <v>561</v>
      </c>
      <c r="C15" s="199">
        <v>100195.78</v>
      </c>
    </row>
    <row r="16" spans="1:3" ht="15.75" thickTop="1">
      <c r="B16" s="192" t="s">
        <v>562</v>
      </c>
      <c r="C16" s="200">
        <v>-83600</v>
      </c>
    </row>
    <row r="17" spans="1:19" ht="15.75" thickBot="1">
      <c r="B17" s="192" t="s">
        <v>563</v>
      </c>
      <c r="C17" s="199">
        <v>16595.78</v>
      </c>
    </row>
    <row r="18" spans="1:19" ht="15.75" thickTop="1">
      <c r="C18" s="201"/>
    </row>
    <row r="19" spans="1:19" ht="15">
      <c r="B19" s="192" t="s">
        <v>894</v>
      </c>
      <c r="C19" s="272">
        <f>C21-C20</f>
        <v>16300.759999999995</v>
      </c>
    </row>
    <row r="20" spans="1:19" ht="15">
      <c r="B20" s="192" t="s">
        <v>895</v>
      </c>
      <c r="C20" s="273">
        <v>117872.52</v>
      </c>
    </row>
    <row r="21" spans="1:19" ht="15">
      <c r="B21" s="192" t="s">
        <v>893</v>
      </c>
      <c r="C21" s="274">
        <f>C23</f>
        <v>134173.28</v>
      </c>
    </row>
    <row r="22" spans="1:19" ht="15.75" thickBot="1">
      <c r="C22" s="201" t="s">
        <v>28</v>
      </c>
      <c r="D22" s="202" t="s">
        <v>96</v>
      </c>
      <c r="E22" s="192" t="s">
        <v>97</v>
      </c>
      <c r="F22" s="192" t="s">
        <v>98</v>
      </c>
      <c r="G22" s="192" t="s">
        <v>99</v>
      </c>
      <c r="H22" s="192" t="s">
        <v>568</v>
      </c>
      <c r="I22" s="192" t="s">
        <v>641</v>
      </c>
      <c r="J22" s="224" t="s">
        <v>679</v>
      </c>
      <c r="K22" s="192" t="s">
        <v>681</v>
      </c>
      <c r="L22" s="224">
        <v>42125</v>
      </c>
      <c r="M22" s="224">
        <v>42156</v>
      </c>
      <c r="N22" s="224">
        <v>75058</v>
      </c>
      <c r="O22" s="192" t="s">
        <v>776</v>
      </c>
      <c r="P22" s="192" t="s">
        <v>812</v>
      </c>
      <c r="Q22" s="192" t="s">
        <v>813</v>
      </c>
      <c r="R22" s="192" t="s">
        <v>873</v>
      </c>
      <c r="S22" s="192" t="s">
        <v>874</v>
      </c>
    </row>
    <row r="23" spans="1:19" ht="15" thickBot="1">
      <c r="A23" s="192" t="s">
        <v>754</v>
      </c>
      <c r="C23" s="226">
        <v>134173.28</v>
      </c>
      <c r="D23" s="226">
        <v>1008.21</v>
      </c>
      <c r="E23" s="226">
        <v>6891.33</v>
      </c>
      <c r="F23" s="226">
        <v>6073.68</v>
      </c>
      <c r="G23" s="226">
        <v>2327.54</v>
      </c>
      <c r="H23" s="226">
        <v>29841.350000000002</v>
      </c>
      <c r="I23" s="226">
        <v>22474.749999999996</v>
      </c>
      <c r="J23" s="226">
        <v>27961.02</v>
      </c>
      <c r="K23" s="226">
        <v>25946.629999999997</v>
      </c>
      <c r="L23" s="226">
        <v>2256.75</v>
      </c>
      <c r="M23" s="226">
        <v>2651.99</v>
      </c>
      <c r="N23" s="226">
        <v>2231.15</v>
      </c>
      <c r="O23" s="226">
        <v>1394.81</v>
      </c>
      <c r="P23" s="226">
        <v>0</v>
      </c>
      <c r="Q23" s="226">
        <v>959.72</v>
      </c>
      <c r="R23" s="226">
        <v>154.35</v>
      </c>
      <c r="S23" s="226">
        <v>2000</v>
      </c>
    </row>
    <row r="24" spans="1:19">
      <c r="A24" s="192" t="s">
        <v>564</v>
      </c>
      <c r="C24" s="225">
        <v>7600</v>
      </c>
      <c r="E24" s="192">
        <v>3400</v>
      </c>
      <c r="F24" s="192">
        <v>1340</v>
      </c>
      <c r="G24" s="192">
        <v>710</v>
      </c>
      <c r="J24" s="192">
        <v>1650</v>
      </c>
      <c r="K24" s="192">
        <v>500</v>
      </c>
    </row>
    <row r="25" spans="1:19">
      <c r="B25" s="192" t="s">
        <v>571</v>
      </c>
      <c r="C25" s="225"/>
    </row>
    <row r="26" spans="1:19">
      <c r="B26" s="192" t="s">
        <v>572</v>
      </c>
      <c r="C26" s="225"/>
    </row>
    <row r="27" spans="1:19">
      <c r="B27" s="192" t="s">
        <v>574</v>
      </c>
      <c r="C27" s="225"/>
    </row>
    <row r="28" spans="1:19">
      <c r="B28" s="192" t="s">
        <v>573</v>
      </c>
      <c r="C28" s="225"/>
    </row>
    <row r="29" spans="1:19">
      <c r="A29" s="192" t="s">
        <v>565</v>
      </c>
      <c r="B29" s="193" t="s">
        <v>566</v>
      </c>
      <c r="C29" s="225">
        <v>3500</v>
      </c>
      <c r="E29" s="192">
        <v>3500</v>
      </c>
    </row>
    <row r="30" spans="1:19">
      <c r="C30" s="225"/>
    </row>
    <row r="31" spans="1:19">
      <c r="A31" s="192" t="s">
        <v>575</v>
      </c>
      <c r="C31" s="225">
        <v>2900</v>
      </c>
      <c r="F31" s="192">
        <v>300</v>
      </c>
    </row>
    <row r="32" spans="1:19">
      <c r="B32" s="192" t="s">
        <v>749</v>
      </c>
      <c r="C32" s="225"/>
    </row>
    <row r="33" spans="1:18">
      <c r="B33" s="192" t="s">
        <v>748</v>
      </c>
      <c r="C33" s="225"/>
      <c r="L33" s="192">
        <v>2450</v>
      </c>
      <c r="M33" s="192">
        <v>150</v>
      </c>
    </row>
    <row r="34" spans="1:18">
      <c r="C34" s="225"/>
    </row>
    <row r="35" spans="1:18">
      <c r="A35" s="192" t="s">
        <v>581</v>
      </c>
      <c r="C35" s="225">
        <v>25698.659999999996</v>
      </c>
      <c r="D35" s="192">
        <v>1008.21</v>
      </c>
      <c r="E35" s="192">
        <v>-8.67</v>
      </c>
      <c r="F35" s="192">
        <v>4433.68</v>
      </c>
      <c r="G35" s="192">
        <v>1617.54</v>
      </c>
      <c r="H35" s="192">
        <v>3212.9100000000003</v>
      </c>
      <c r="I35" s="192">
        <v>4556.7999999999965</v>
      </c>
      <c r="J35" s="192">
        <v>4729.9799999999996</v>
      </c>
      <c r="K35" s="192">
        <v>4970.9800000000005</v>
      </c>
      <c r="L35" s="192">
        <v>-193.25</v>
      </c>
      <c r="M35" s="192">
        <v>-188.11000000000007</v>
      </c>
      <c r="N35" s="192">
        <v>278.13000000000011</v>
      </c>
      <c r="O35" s="192">
        <v>925.38999999999987</v>
      </c>
      <c r="Q35" s="192">
        <v>200.72</v>
      </c>
      <c r="R35" s="192">
        <v>154.35</v>
      </c>
    </row>
    <row r="36" spans="1:18">
      <c r="B36" s="192" t="s">
        <v>569</v>
      </c>
      <c r="C36" s="225"/>
    </row>
    <row r="37" spans="1:18">
      <c r="B37" s="192" t="s">
        <v>578</v>
      </c>
      <c r="C37" s="225"/>
    </row>
    <row r="38" spans="1:18">
      <c r="B38" s="192" t="s">
        <v>570</v>
      </c>
      <c r="C38" s="225"/>
    </row>
    <row r="39" spans="1:18">
      <c r="B39" s="192" t="s">
        <v>577</v>
      </c>
      <c r="C39" s="225"/>
    </row>
    <row r="40" spans="1:18">
      <c r="B40" s="192" t="s">
        <v>576</v>
      </c>
      <c r="C40" s="225"/>
    </row>
    <row r="41" spans="1:18">
      <c r="B41" s="192" t="s">
        <v>567</v>
      </c>
      <c r="C41" s="225"/>
    </row>
    <row r="42" spans="1:18">
      <c r="B42" s="192" t="s">
        <v>579</v>
      </c>
      <c r="C42" s="225"/>
    </row>
    <row r="43" spans="1:18">
      <c r="B43" s="192" t="s">
        <v>718</v>
      </c>
      <c r="C43" s="225"/>
    </row>
    <row r="44" spans="1:18">
      <c r="B44" s="192" t="s">
        <v>875</v>
      </c>
      <c r="C44" s="225"/>
    </row>
    <row r="45" spans="1:18">
      <c r="A45" s="192" t="s">
        <v>593</v>
      </c>
      <c r="C45" s="225"/>
    </row>
    <row r="46" spans="1:18">
      <c r="B46" s="192" t="s">
        <v>594</v>
      </c>
      <c r="C46" s="225">
        <v>16609.349999999999</v>
      </c>
      <c r="H46" s="192">
        <v>4651.8599999999997</v>
      </c>
      <c r="I46" s="192">
        <v>-162.22999999999999</v>
      </c>
    </row>
    <row r="47" spans="1:18">
      <c r="B47" s="192" t="s">
        <v>660</v>
      </c>
      <c r="C47" s="225"/>
      <c r="H47" s="192">
        <v>6363.2</v>
      </c>
      <c r="I47" s="192">
        <v>-497.86</v>
      </c>
    </row>
    <row r="48" spans="1:18">
      <c r="B48" s="192" t="s">
        <v>661</v>
      </c>
      <c r="C48" s="225"/>
      <c r="H48" s="192">
        <v>1981.33</v>
      </c>
    </row>
    <row r="49" spans="1:17">
      <c r="B49" s="192" t="s">
        <v>662</v>
      </c>
      <c r="C49" s="225"/>
      <c r="H49" s="192">
        <v>3099.05</v>
      </c>
    </row>
    <row r="50" spans="1:17">
      <c r="B50" s="192" t="s">
        <v>663</v>
      </c>
      <c r="C50" s="225"/>
    </row>
    <row r="51" spans="1:17">
      <c r="B51" s="192" t="s">
        <v>717</v>
      </c>
      <c r="C51" s="225"/>
      <c r="K51" s="192">
        <v>1174</v>
      </c>
    </row>
    <row r="52" spans="1:17">
      <c r="A52" s="192" t="s">
        <v>780</v>
      </c>
      <c r="C52" s="225">
        <v>15692.580000000002</v>
      </c>
    </row>
    <row r="53" spans="1:17">
      <c r="B53" s="192" t="s">
        <v>792</v>
      </c>
      <c r="C53" s="225"/>
      <c r="J53" s="192">
        <v>9520.19</v>
      </c>
      <c r="N53" s="192">
        <v>1148.07</v>
      </c>
      <c r="O53" s="192">
        <v>252</v>
      </c>
    </row>
    <row r="54" spans="1:17">
      <c r="B54" s="192" t="s">
        <v>778</v>
      </c>
      <c r="C54" s="225"/>
      <c r="K54" s="192">
        <v>3648.75</v>
      </c>
    </row>
    <row r="55" spans="1:17">
      <c r="B55" s="192" t="s">
        <v>779</v>
      </c>
      <c r="C55" s="225"/>
      <c r="M55" s="192">
        <v>501.2</v>
      </c>
    </row>
    <row r="56" spans="1:17">
      <c r="B56" s="192" t="s">
        <v>781</v>
      </c>
      <c r="C56" s="225"/>
      <c r="N56" s="192">
        <v>404.95</v>
      </c>
      <c r="O56" s="192">
        <v>217.42</v>
      </c>
    </row>
    <row r="57" spans="1:17">
      <c r="C57" s="225"/>
    </row>
    <row r="58" spans="1:17">
      <c r="C58" s="225"/>
    </row>
    <row r="59" spans="1:17">
      <c r="A59" s="192" t="s">
        <v>584</v>
      </c>
      <c r="C59" s="225">
        <v>5762.6899999999987</v>
      </c>
      <c r="H59" s="192">
        <v>573</v>
      </c>
      <c r="I59" s="192">
        <v>2178.04</v>
      </c>
      <c r="J59" s="192">
        <v>1360.85</v>
      </c>
      <c r="K59" s="192">
        <v>1302.9000000000001</v>
      </c>
      <c r="M59" s="192">
        <v>188.9</v>
      </c>
      <c r="Q59" s="192">
        <v>159</v>
      </c>
    </row>
    <row r="60" spans="1:17" ht="15" thickBot="1">
      <c r="C60" s="225"/>
    </row>
    <row r="61" spans="1:17" ht="15.75" thickBot="1">
      <c r="A61" s="200" t="s">
        <v>580</v>
      </c>
      <c r="C61" s="217">
        <v>49610</v>
      </c>
    </row>
    <row r="62" spans="1:17">
      <c r="B62" s="192" t="s">
        <v>667</v>
      </c>
      <c r="C62" s="225"/>
      <c r="H62" s="192">
        <v>760</v>
      </c>
    </row>
    <row r="63" spans="1:17">
      <c r="B63" s="192" t="s">
        <v>583</v>
      </c>
      <c r="C63" s="225"/>
      <c r="H63" s="192">
        <v>3600</v>
      </c>
    </row>
    <row r="64" spans="1:17">
      <c r="B64" s="192" t="s">
        <v>582</v>
      </c>
      <c r="C64" s="225"/>
      <c r="H64" s="192">
        <v>800</v>
      </c>
    </row>
    <row r="65" spans="1:13">
      <c r="B65" s="192" t="s">
        <v>604</v>
      </c>
      <c r="C65" s="225"/>
      <c r="H65" s="192">
        <v>2400</v>
      </c>
    </row>
    <row r="66" spans="1:13">
      <c r="B66" s="192" t="s">
        <v>668</v>
      </c>
      <c r="C66" s="225"/>
      <c r="H66" s="192">
        <v>2400</v>
      </c>
      <c r="I66" s="192" t="s">
        <v>659</v>
      </c>
    </row>
    <row r="67" spans="1:13">
      <c r="B67" s="192" t="s">
        <v>670</v>
      </c>
      <c r="C67" s="225"/>
      <c r="I67" s="192">
        <v>2400</v>
      </c>
    </row>
    <row r="68" spans="1:13">
      <c r="B68" s="192" t="s">
        <v>892</v>
      </c>
      <c r="C68" s="225"/>
      <c r="I68" s="192">
        <v>2400</v>
      </c>
    </row>
    <row r="69" spans="1:13">
      <c r="B69" s="192" t="s">
        <v>669</v>
      </c>
      <c r="C69" s="225"/>
      <c r="I69" s="192">
        <v>9600</v>
      </c>
    </row>
    <row r="70" spans="1:13">
      <c r="B70" s="192" t="s">
        <v>680</v>
      </c>
      <c r="C70" s="225"/>
      <c r="J70" s="192">
        <v>2400</v>
      </c>
    </row>
    <row r="71" spans="1:13">
      <c r="A71" s="192" t="s">
        <v>767</v>
      </c>
      <c r="C71" s="225"/>
    </row>
    <row r="72" spans="1:13">
      <c r="B72" s="192" t="s">
        <v>683</v>
      </c>
      <c r="C72" s="225"/>
      <c r="J72" s="192">
        <v>3600</v>
      </c>
    </row>
    <row r="73" spans="1:13">
      <c r="B73" s="192" t="s">
        <v>706</v>
      </c>
      <c r="C73" s="225"/>
      <c r="J73" s="192">
        <v>2400</v>
      </c>
    </row>
    <row r="74" spans="1:13">
      <c r="B74" s="192" t="s">
        <v>707</v>
      </c>
      <c r="C74" s="225"/>
      <c r="K74" s="192">
        <v>4400</v>
      </c>
    </row>
    <row r="75" spans="1:13">
      <c r="B75" s="192" t="s">
        <v>709</v>
      </c>
      <c r="C75" s="225"/>
      <c r="K75" s="192">
        <v>7600</v>
      </c>
    </row>
    <row r="76" spans="1:13">
      <c r="C76" s="225"/>
    </row>
    <row r="77" spans="1:13">
      <c r="B77" s="192" t="s">
        <v>716</v>
      </c>
      <c r="C77" s="225"/>
      <c r="K77" s="192">
        <v>1500</v>
      </c>
    </row>
    <row r="78" spans="1:13">
      <c r="B78" s="192" t="s">
        <v>741</v>
      </c>
      <c r="C78" s="225"/>
      <c r="K78" s="192">
        <v>350</v>
      </c>
    </row>
    <row r="79" spans="1:13">
      <c r="B79" s="192" t="s">
        <v>768</v>
      </c>
      <c r="C79" s="225"/>
      <c r="M79" s="192">
        <v>2000</v>
      </c>
    </row>
    <row r="80" spans="1:13">
      <c r="B80" s="192" t="s">
        <v>769</v>
      </c>
      <c r="C80" s="225"/>
    </row>
    <row r="81" spans="1:19">
      <c r="B81" s="192" t="s">
        <v>788</v>
      </c>
      <c r="C81" s="225"/>
      <c r="N81" s="192">
        <v>400</v>
      </c>
    </row>
    <row r="82" spans="1:19">
      <c r="B82" s="192" t="s">
        <v>811</v>
      </c>
      <c r="C82" s="225"/>
      <c r="Q82" s="192">
        <v>100</v>
      </c>
    </row>
    <row r="83" spans="1:19">
      <c r="B83" s="192" t="s">
        <v>827</v>
      </c>
      <c r="C83" s="225"/>
      <c r="Q83" s="192">
        <v>500</v>
      </c>
    </row>
    <row r="84" spans="1:19">
      <c r="C84" s="225"/>
    </row>
    <row r="85" spans="1:19">
      <c r="C85" s="225">
        <v>6800</v>
      </c>
    </row>
    <row r="86" spans="1:19">
      <c r="A86" s="192" t="s">
        <v>664</v>
      </c>
      <c r="C86" s="225"/>
      <c r="I86" s="192">
        <v>2000</v>
      </c>
      <c r="J86" s="192">
        <v>2300</v>
      </c>
      <c r="K86" s="192">
        <v>500</v>
      </c>
      <c r="S86" s="192">
        <v>2000</v>
      </c>
    </row>
    <row r="87" spans="1:19">
      <c r="B87" s="192" t="s">
        <v>693</v>
      </c>
      <c r="C87" s="225"/>
    </row>
    <row r="88" spans="1:19">
      <c r="C88" s="234"/>
    </row>
    <row r="89" spans="1:19">
      <c r="C89" s="234"/>
    </row>
    <row r="90" spans="1:19">
      <c r="C90" s="234"/>
    </row>
    <row r="91" spans="1:19">
      <c r="C91" s="234"/>
    </row>
    <row r="92" spans="1:19">
      <c r="A92" s="43" t="s">
        <v>646</v>
      </c>
      <c r="B92" s="43"/>
      <c r="C92" s="234"/>
      <c r="D92" s="192" t="s">
        <v>666</v>
      </c>
      <c r="F92" s="192" t="s">
        <v>698</v>
      </c>
      <c r="G92" s="192" t="s">
        <v>263</v>
      </c>
      <c r="H92" s="192" t="s">
        <v>699</v>
      </c>
      <c r="I92" s="192" t="s">
        <v>113</v>
      </c>
      <c r="J92" s="192" t="s">
        <v>665</v>
      </c>
    </row>
    <row r="93" spans="1:19">
      <c r="A93" s="43" t="s">
        <v>647</v>
      </c>
      <c r="B93" s="43"/>
      <c r="C93" s="234"/>
      <c r="D93" s="192" t="s">
        <v>694</v>
      </c>
      <c r="F93" s="194">
        <v>41991</v>
      </c>
      <c r="G93" s="237">
        <v>1071.1199999999999</v>
      </c>
      <c r="H93" s="237">
        <v>1071.1199999999999</v>
      </c>
      <c r="I93" s="237">
        <v>0</v>
      </c>
      <c r="J93" s="194">
        <v>42194</v>
      </c>
    </row>
    <row r="94" spans="1:19">
      <c r="A94" s="43" t="s">
        <v>648</v>
      </c>
      <c r="B94" s="43"/>
      <c r="C94" s="234"/>
      <c r="D94" s="192" t="s">
        <v>694</v>
      </c>
      <c r="F94" s="194">
        <v>42002</v>
      </c>
      <c r="G94" s="237">
        <v>299.72000000000003</v>
      </c>
      <c r="H94" s="237">
        <v>299.72000000000003</v>
      </c>
      <c r="I94" s="237">
        <v>0</v>
      </c>
      <c r="J94" s="194">
        <v>42194</v>
      </c>
    </row>
    <row r="95" spans="1:19">
      <c r="A95" s="43" t="s">
        <v>700</v>
      </c>
      <c r="B95" s="43"/>
      <c r="C95" s="234"/>
      <c r="D95" s="192" t="s">
        <v>695</v>
      </c>
      <c r="F95" s="194">
        <v>42010</v>
      </c>
      <c r="G95" s="237">
        <v>79.48</v>
      </c>
      <c r="H95" s="237">
        <v>79.48</v>
      </c>
      <c r="I95" s="237">
        <v>0</v>
      </c>
      <c r="J95" s="194">
        <v>42196</v>
      </c>
    </row>
    <row r="96" spans="1:19">
      <c r="A96" s="43" t="s">
        <v>652</v>
      </c>
      <c r="B96" s="43" t="s">
        <v>113</v>
      </c>
      <c r="C96" s="234"/>
      <c r="D96" s="192" t="s">
        <v>694</v>
      </c>
      <c r="F96" s="194">
        <v>42010</v>
      </c>
      <c r="G96" s="237">
        <v>1003.39</v>
      </c>
      <c r="H96" s="237">
        <v>924.91</v>
      </c>
      <c r="I96" s="239">
        <v>78.480000000000018</v>
      </c>
      <c r="J96" s="240">
        <v>42196</v>
      </c>
      <c r="K96" s="239">
        <v>78.480000000000018</v>
      </c>
      <c r="L96" s="241"/>
    </row>
    <row r="97" spans="1:12">
      <c r="A97" s="105">
        <v>42017</v>
      </c>
      <c r="B97" s="43">
        <v>3093.51</v>
      </c>
      <c r="C97" s="234"/>
      <c r="D97" s="192" t="s">
        <v>694</v>
      </c>
      <c r="F97" s="194">
        <v>42021</v>
      </c>
      <c r="G97" s="237">
        <v>451.43</v>
      </c>
      <c r="H97" s="237">
        <v>0</v>
      </c>
      <c r="I97" s="237">
        <v>451.43</v>
      </c>
      <c r="J97" s="194">
        <v>42225</v>
      </c>
    </row>
    <row r="98" spans="1:12">
      <c r="A98" s="43" t="s">
        <v>671</v>
      </c>
      <c r="B98" s="43">
        <v>-1500</v>
      </c>
      <c r="C98" s="234"/>
      <c r="D98" s="192" t="s">
        <v>694</v>
      </c>
      <c r="F98" s="194">
        <v>42022</v>
      </c>
      <c r="G98" s="237">
        <v>445.37</v>
      </c>
      <c r="H98" s="237">
        <v>0</v>
      </c>
      <c r="I98" s="237">
        <v>445.37</v>
      </c>
      <c r="J98" s="194">
        <v>42225</v>
      </c>
    </row>
    <row r="99" spans="1:12" ht="15" thickBot="1">
      <c r="A99" s="43" t="s">
        <v>672</v>
      </c>
      <c r="B99" s="61">
        <v>1593.5100000000002</v>
      </c>
      <c r="C99" s="234"/>
      <c r="D99" s="192" t="s">
        <v>694</v>
      </c>
      <c r="F99" s="194">
        <v>42042</v>
      </c>
      <c r="G99" s="237">
        <v>813.52</v>
      </c>
      <c r="H99" s="237">
        <v>0</v>
      </c>
      <c r="I99" s="239">
        <v>813.52</v>
      </c>
      <c r="J99" s="240">
        <v>42228</v>
      </c>
      <c r="K99" s="239">
        <v>1710.32</v>
      </c>
      <c r="L99" s="241"/>
    </row>
    <row r="100" spans="1:12" ht="15" thickTop="1">
      <c r="A100" s="43"/>
      <c r="B100" s="43"/>
      <c r="C100" s="234"/>
      <c r="D100" s="192" t="s">
        <v>694</v>
      </c>
      <c r="F100" s="194">
        <v>42077</v>
      </c>
      <c r="G100" s="237">
        <v>359.87</v>
      </c>
      <c r="H100" s="237">
        <v>0</v>
      </c>
      <c r="I100" s="237">
        <v>359.87</v>
      </c>
      <c r="J100" s="194">
        <v>42286</v>
      </c>
    </row>
    <row r="101" spans="1:12">
      <c r="A101" s="105">
        <v>42045</v>
      </c>
      <c r="B101" s="43">
        <v>19880.669999999998</v>
      </c>
      <c r="C101" s="234"/>
      <c r="D101" s="192" t="s">
        <v>694</v>
      </c>
      <c r="F101" s="194">
        <v>42086</v>
      </c>
      <c r="G101" s="237">
        <v>523.63</v>
      </c>
      <c r="H101" s="237">
        <v>0</v>
      </c>
      <c r="I101" s="237">
        <v>523.63</v>
      </c>
      <c r="J101" s="194">
        <v>42286</v>
      </c>
    </row>
    <row r="102" spans="1:12">
      <c r="A102" s="105"/>
      <c r="B102" s="43">
        <v>-162.22999999999999</v>
      </c>
      <c r="C102" s="234"/>
      <c r="D102" s="192" t="s">
        <v>694</v>
      </c>
      <c r="F102" s="194">
        <v>42091</v>
      </c>
      <c r="G102" s="237">
        <v>334.54</v>
      </c>
      <c r="H102" s="237">
        <v>0</v>
      </c>
      <c r="I102" s="237">
        <v>334.54</v>
      </c>
      <c r="J102" s="194">
        <v>42286</v>
      </c>
    </row>
    <row r="103" spans="1:12">
      <c r="A103" s="105"/>
      <c r="B103" s="43">
        <v>-497.86</v>
      </c>
      <c r="C103" s="234"/>
      <c r="D103" s="192" t="s">
        <v>694</v>
      </c>
      <c r="F103" s="194">
        <v>42091</v>
      </c>
      <c r="G103" s="237">
        <v>423.9</v>
      </c>
      <c r="H103" s="237">
        <v>0</v>
      </c>
      <c r="I103" s="237">
        <v>423.9</v>
      </c>
      <c r="J103" s="194">
        <v>42286</v>
      </c>
    </row>
    <row r="104" spans="1:12">
      <c r="A104" s="43" t="s">
        <v>673</v>
      </c>
      <c r="B104" s="43">
        <v>-892.68</v>
      </c>
      <c r="C104" s="234"/>
      <c r="D104" s="192" t="s">
        <v>694</v>
      </c>
      <c r="F104" s="194">
        <v>42095</v>
      </c>
      <c r="G104" s="192">
        <v>303.5</v>
      </c>
      <c r="H104" s="237">
        <v>0</v>
      </c>
      <c r="I104" s="237">
        <v>303.5</v>
      </c>
      <c r="J104" s="194">
        <v>42286</v>
      </c>
    </row>
    <row r="105" spans="1:12" ht="15" thickBot="1">
      <c r="A105" s="43" t="s">
        <v>686</v>
      </c>
      <c r="B105" s="61">
        <v>19921.41</v>
      </c>
      <c r="C105" s="234"/>
      <c r="D105" s="192" t="s">
        <v>694</v>
      </c>
      <c r="F105" s="194">
        <v>42099</v>
      </c>
      <c r="G105" s="192">
        <v>764.6</v>
      </c>
      <c r="H105" s="237">
        <v>0</v>
      </c>
      <c r="I105" s="239">
        <v>764.6</v>
      </c>
      <c r="J105" s="240">
        <v>42286</v>
      </c>
      <c r="K105" s="239">
        <v>2710.04</v>
      </c>
      <c r="L105" s="241"/>
    </row>
    <row r="106" spans="1:12" ht="15" thickTop="1">
      <c r="A106" s="43"/>
      <c r="B106" s="43"/>
      <c r="I106" s="237">
        <v>0</v>
      </c>
    </row>
    <row r="107" spans="1:12">
      <c r="A107" s="105">
        <v>42103</v>
      </c>
      <c r="B107" s="43">
        <v>-199.21</v>
      </c>
      <c r="I107" s="237">
        <v>0</v>
      </c>
    </row>
    <row r="108" spans="1:12">
      <c r="A108" s="105">
        <v>42106</v>
      </c>
      <c r="B108" s="43">
        <v>3943.16</v>
      </c>
      <c r="D108" s="192" t="s">
        <v>696</v>
      </c>
      <c r="F108" s="194">
        <v>42023</v>
      </c>
      <c r="G108" s="237">
        <v>4651.8599999999997</v>
      </c>
      <c r="H108" s="237">
        <v>0</v>
      </c>
      <c r="I108" s="237">
        <v>4651.8599999999997</v>
      </c>
      <c r="J108" s="194">
        <v>42775</v>
      </c>
    </row>
    <row r="109" spans="1:12">
      <c r="A109" s="105">
        <v>42133</v>
      </c>
      <c r="B109" s="43">
        <v>-1247.8499999999999</v>
      </c>
      <c r="D109" s="192" t="s">
        <v>696</v>
      </c>
      <c r="F109" s="194">
        <v>42035</v>
      </c>
      <c r="G109" s="237">
        <v>3704.16</v>
      </c>
      <c r="H109" s="237">
        <v>0</v>
      </c>
      <c r="I109" s="237">
        <v>3704.16</v>
      </c>
      <c r="J109" s="194">
        <v>42803</v>
      </c>
    </row>
    <row r="110" spans="1:12">
      <c r="A110" s="194">
        <v>42137</v>
      </c>
      <c r="B110" s="192">
        <v>-242.59</v>
      </c>
      <c r="D110" s="192" t="s">
        <v>696</v>
      </c>
      <c r="F110" s="194">
        <v>42035</v>
      </c>
      <c r="G110" s="237">
        <v>8344.5300000000007</v>
      </c>
      <c r="H110" s="237">
        <v>0</v>
      </c>
      <c r="I110" s="237">
        <v>8344.5300000000007</v>
      </c>
      <c r="J110" s="194">
        <v>42803</v>
      </c>
    </row>
    <row r="111" spans="1:12">
      <c r="A111" s="105">
        <v>42164</v>
      </c>
      <c r="B111" s="192">
        <v>-265.39999999999998</v>
      </c>
      <c r="D111" s="192" t="s">
        <v>697</v>
      </c>
      <c r="F111" s="194">
        <v>42038</v>
      </c>
      <c r="G111" s="237">
        <v>103.98</v>
      </c>
      <c r="H111" s="237">
        <v>0</v>
      </c>
      <c r="I111" s="237">
        <v>103.98</v>
      </c>
      <c r="J111" s="194">
        <v>42803</v>
      </c>
    </row>
    <row r="112" spans="1:12">
      <c r="A112" s="194">
        <v>42168</v>
      </c>
      <c r="B112" s="43">
        <v>-188.10999999999996</v>
      </c>
      <c r="F112" s="194"/>
    </row>
    <row r="113" spans="1:7">
      <c r="A113" s="194">
        <v>42194</v>
      </c>
      <c r="B113" s="192">
        <v>-300</v>
      </c>
      <c r="F113" s="194"/>
    </row>
    <row r="114" spans="1:7">
      <c r="A114" s="194">
        <v>42198</v>
      </c>
      <c r="B114" s="192">
        <v>278.13</v>
      </c>
      <c r="G114" s="237"/>
    </row>
    <row r="115" spans="1:7">
      <c r="A115" s="194">
        <v>42225</v>
      </c>
      <c r="B115" s="192">
        <v>-1700</v>
      </c>
    </row>
    <row r="116" spans="1:7">
      <c r="A116" s="105">
        <v>42229</v>
      </c>
      <c r="B116" s="43">
        <v>326.3</v>
      </c>
    </row>
    <row r="117" spans="1:7">
      <c r="A117" s="105">
        <v>42256</v>
      </c>
      <c r="B117" s="43">
        <v>-1000</v>
      </c>
    </row>
    <row r="118" spans="1:7">
      <c r="A118" s="105">
        <v>42286</v>
      </c>
      <c r="B118" s="43">
        <v>-1500</v>
      </c>
    </row>
    <row r="119" spans="1:7" ht="15" thickBot="1">
      <c r="A119" s="105" t="s">
        <v>814</v>
      </c>
      <c r="B119" s="61">
        <v>17825.84</v>
      </c>
    </row>
    <row r="120" spans="1:7" ht="15" thickTop="1">
      <c r="A120" s="105"/>
      <c r="B120" s="47"/>
    </row>
    <row r="121" spans="1:7">
      <c r="A121" s="105">
        <v>42317</v>
      </c>
      <c r="B121" s="43">
        <v>-1500</v>
      </c>
      <c r="C121" s="192">
        <v>16325.84</v>
      </c>
    </row>
    <row r="122" spans="1:7">
      <c r="A122" s="105">
        <v>42347</v>
      </c>
      <c r="B122" s="43">
        <v>-1500</v>
      </c>
      <c r="C122" s="192">
        <v>14825.84</v>
      </c>
      <c r="D122" s="192" t="s">
        <v>876</v>
      </c>
    </row>
    <row r="123" spans="1:7">
      <c r="A123" s="105">
        <v>42378</v>
      </c>
      <c r="B123" s="43">
        <v>-1000</v>
      </c>
      <c r="C123" s="192">
        <v>13825.84</v>
      </c>
      <c r="D123" s="270" t="s">
        <v>876</v>
      </c>
    </row>
    <row r="124" spans="1:7">
      <c r="A124" s="194">
        <v>42409</v>
      </c>
      <c r="B124" s="43">
        <v>-1000</v>
      </c>
      <c r="C124" s="192">
        <v>12825.84</v>
      </c>
      <c r="D124" s="192" t="s">
        <v>876</v>
      </c>
    </row>
    <row r="125" spans="1:7">
      <c r="A125" s="105">
        <v>42438</v>
      </c>
      <c r="B125" s="43">
        <v>-1000</v>
      </c>
      <c r="C125" s="192">
        <v>11825.84</v>
      </c>
    </row>
    <row r="126" spans="1:7">
      <c r="A126" s="105">
        <v>42469</v>
      </c>
      <c r="B126" s="43">
        <v>-1000</v>
      </c>
      <c r="C126" s="192">
        <v>10825.84</v>
      </c>
    </row>
    <row r="127" spans="1:7">
      <c r="A127" s="105">
        <v>42499</v>
      </c>
      <c r="B127" s="43">
        <v>-1000</v>
      </c>
      <c r="C127" s="192">
        <v>9825.84</v>
      </c>
    </row>
    <row r="128" spans="1:7">
      <c r="A128" s="105">
        <v>42530</v>
      </c>
      <c r="B128" s="43">
        <v>-1000</v>
      </c>
      <c r="C128" s="192">
        <f>C127+B128</f>
        <v>8825.84</v>
      </c>
    </row>
    <row r="129" spans="1:6">
      <c r="A129" s="105">
        <v>42560</v>
      </c>
      <c r="B129" s="43">
        <v>-1000</v>
      </c>
      <c r="C129" s="192">
        <f t="shared" ref="C129:C137" si="0">C128+B129</f>
        <v>7825.84</v>
      </c>
    </row>
    <row r="130" spans="1:6">
      <c r="A130" s="105">
        <v>42591</v>
      </c>
      <c r="B130" s="43">
        <v>-1000</v>
      </c>
      <c r="C130" s="192">
        <f t="shared" si="0"/>
        <v>6825.84</v>
      </c>
      <c r="F130" s="192">
        <f>9000-C128</f>
        <v>174.15999999999985</v>
      </c>
    </row>
    <row r="131" spans="1:6">
      <c r="A131" s="105">
        <v>42622</v>
      </c>
      <c r="B131" s="43">
        <v>-1000</v>
      </c>
      <c r="C131" s="192">
        <f t="shared" si="0"/>
        <v>5825.84</v>
      </c>
    </row>
    <row r="132" spans="1:6">
      <c r="A132" s="105">
        <v>42652</v>
      </c>
      <c r="B132" s="43">
        <v>-1000</v>
      </c>
      <c r="C132" s="192">
        <f t="shared" si="0"/>
        <v>4825.84</v>
      </c>
    </row>
    <row r="133" spans="1:6">
      <c r="A133" s="105">
        <v>42683</v>
      </c>
      <c r="B133" s="43">
        <v>-1000</v>
      </c>
      <c r="C133" s="192">
        <f t="shared" si="0"/>
        <v>3825.84</v>
      </c>
    </row>
    <row r="134" spans="1:6">
      <c r="A134" s="105">
        <v>42713</v>
      </c>
      <c r="B134" s="43">
        <v>-1000</v>
      </c>
      <c r="C134" s="192">
        <f t="shared" si="0"/>
        <v>2825.84</v>
      </c>
    </row>
    <row r="135" spans="1:6">
      <c r="A135" s="105">
        <v>42744</v>
      </c>
      <c r="B135" s="43">
        <v>-1000</v>
      </c>
      <c r="C135" s="192">
        <f t="shared" si="0"/>
        <v>1825.8400000000001</v>
      </c>
    </row>
    <row r="136" spans="1:6">
      <c r="A136" s="105">
        <v>42775</v>
      </c>
      <c r="B136" s="43">
        <v>-1000</v>
      </c>
      <c r="C136" s="192">
        <f t="shared" si="0"/>
        <v>825.84000000000015</v>
      </c>
    </row>
    <row r="137" spans="1:6">
      <c r="A137" s="105">
        <v>42803</v>
      </c>
      <c r="B137" s="43">
        <v>-1000</v>
      </c>
      <c r="C137" s="192">
        <f t="shared" si="0"/>
        <v>-174.15999999999985</v>
      </c>
    </row>
    <row r="138" spans="1:6">
      <c r="B138" s="43"/>
    </row>
    <row r="139" spans="1:6" ht="15" thickBot="1">
      <c r="A139" s="105" t="s">
        <v>28</v>
      </c>
      <c r="B139" s="61">
        <f>B119+SUM(B121:B137)</f>
        <v>-174.15999999999985</v>
      </c>
    </row>
    <row r="140" spans="1:6" ht="15" thickTop="1">
      <c r="A140" s="105"/>
      <c r="B140" s="43"/>
    </row>
    <row r="141" spans="1:6">
      <c r="A141" s="105"/>
      <c r="B141" s="43"/>
    </row>
    <row r="142" spans="1:6">
      <c r="A142" s="105" t="s">
        <v>711</v>
      </c>
      <c r="B142" s="43"/>
    </row>
    <row r="143" spans="1:6">
      <c r="A143" s="105">
        <v>42085</v>
      </c>
      <c r="B143" s="43" t="s">
        <v>715</v>
      </c>
      <c r="C143" s="192">
        <v>9520.19</v>
      </c>
      <c r="D143" s="192" t="s">
        <v>739</v>
      </c>
      <c r="E143" s="194">
        <v>42851</v>
      </c>
    </row>
    <row r="144" spans="1:6">
      <c r="A144" s="105">
        <v>42107</v>
      </c>
      <c r="B144" s="43" t="s">
        <v>714</v>
      </c>
      <c r="C144" s="192">
        <v>1174</v>
      </c>
      <c r="D144" s="192" t="s">
        <v>713</v>
      </c>
      <c r="E144" s="194">
        <v>42669</v>
      </c>
    </row>
    <row r="145" spans="1:5">
      <c r="A145" s="105">
        <v>42112</v>
      </c>
      <c r="B145" s="43" t="s">
        <v>740</v>
      </c>
      <c r="C145" s="192">
        <v>3648.75</v>
      </c>
      <c r="D145" s="192" t="s">
        <v>739</v>
      </c>
      <c r="E145" s="194">
        <v>42881</v>
      </c>
    </row>
    <row r="146" spans="1:5">
      <c r="A146" s="105">
        <v>42109</v>
      </c>
      <c r="B146" s="43" t="s">
        <v>742</v>
      </c>
      <c r="C146" s="192">
        <v>150.49</v>
      </c>
    </row>
    <row r="147" spans="1:5">
      <c r="A147" s="105">
        <v>42118</v>
      </c>
      <c r="B147" s="43" t="s">
        <v>743</v>
      </c>
      <c r="C147" s="192">
        <v>-120</v>
      </c>
    </row>
    <row r="148" spans="1:5">
      <c r="A148" s="105">
        <v>42129</v>
      </c>
      <c r="B148" s="43" t="s">
        <v>753</v>
      </c>
      <c r="C148" s="192">
        <v>46.41</v>
      </c>
    </row>
    <row r="149" spans="1:5">
      <c r="A149" s="105">
        <v>42150</v>
      </c>
      <c r="B149" s="43" t="s">
        <v>743</v>
      </c>
      <c r="C149" s="192">
        <v>-144</v>
      </c>
    </row>
    <row r="150" spans="1:5">
      <c r="A150" s="105">
        <v>42181</v>
      </c>
      <c r="B150" s="43" t="s">
        <v>743</v>
      </c>
      <c r="C150" s="192">
        <v>-143</v>
      </c>
    </row>
    <row r="151" spans="1:5">
      <c r="A151" s="105">
        <v>42179</v>
      </c>
      <c r="B151" s="43" t="s">
        <v>770</v>
      </c>
      <c r="C151" s="192">
        <v>283.02</v>
      </c>
    </row>
    <row r="152" spans="1:5">
      <c r="A152" s="105">
        <v>42183</v>
      </c>
      <c r="B152" s="43" t="s">
        <v>771</v>
      </c>
      <c r="C152" s="192">
        <v>218.18</v>
      </c>
    </row>
    <row r="153" spans="1:5">
      <c r="A153" s="105">
        <v>42211</v>
      </c>
      <c r="B153" s="43" t="s">
        <v>743</v>
      </c>
      <c r="C153" s="192">
        <v>-147</v>
      </c>
    </row>
    <row r="154" spans="1:5">
      <c r="A154" s="105">
        <v>42190</v>
      </c>
      <c r="B154" s="43" t="s">
        <v>787</v>
      </c>
      <c r="C154" s="192">
        <v>404.95</v>
      </c>
    </row>
    <row r="155" spans="1:5">
      <c r="A155" s="105">
        <v>42200</v>
      </c>
      <c r="B155" s="43" t="s">
        <v>786</v>
      </c>
      <c r="C155" s="192">
        <v>1148.07</v>
      </c>
      <c r="D155" s="192" t="s">
        <v>712</v>
      </c>
      <c r="E155" s="194">
        <v>42395</v>
      </c>
    </row>
    <row r="156" spans="1:5">
      <c r="A156" s="105">
        <v>42206</v>
      </c>
      <c r="B156" s="43" t="s">
        <v>785</v>
      </c>
      <c r="C156" s="192">
        <v>1509.63</v>
      </c>
      <c r="D156" s="192" t="s">
        <v>712</v>
      </c>
      <c r="E156" s="194">
        <v>42395</v>
      </c>
    </row>
    <row r="157" spans="1:5">
      <c r="A157" s="105">
        <v>42242</v>
      </c>
      <c r="B157" s="43"/>
      <c r="C157" s="192">
        <v>-200</v>
      </c>
    </row>
    <row r="158" spans="1:5">
      <c r="A158" s="105">
        <v>42222</v>
      </c>
      <c r="B158" s="43" t="s">
        <v>803</v>
      </c>
      <c r="C158" s="192">
        <v>252</v>
      </c>
    </row>
    <row r="159" spans="1:5">
      <c r="A159" s="105">
        <v>42227</v>
      </c>
      <c r="B159" s="43" t="s">
        <v>787</v>
      </c>
      <c r="C159" s="192">
        <v>217.42</v>
      </c>
    </row>
    <row r="160" spans="1:5">
      <c r="A160" s="105">
        <v>42273</v>
      </c>
      <c r="B160" s="43" t="s">
        <v>743</v>
      </c>
      <c r="C160" s="192">
        <v>-600</v>
      </c>
    </row>
    <row r="161" spans="1:5">
      <c r="A161" s="105">
        <v>42303</v>
      </c>
      <c r="B161" s="43" t="s">
        <v>743</v>
      </c>
      <c r="C161" s="192">
        <v>-500</v>
      </c>
    </row>
    <row r="162" spans="1:5" ht="15" thickBot="1">
      <c r="A162" s="105"/>
      <c r="B162" s="43" t="s">
        <v>815</v>
      </c>
      <c r="C162" s="257">
        <v>16719.11</v>
      </c>
    </row>
    <row r="163" spans="1:5" ht="15" thickTop="1">
      <c r="A163" s="105">
        <v>42334</v>
      </c>
      <c r="B163" s="43" t="s">
        <v>743</v>
      </c>
      <c r="C163" s="192">
        <v>-500</v>
      </c>
      <c r="D163" s="192">
        <v>16219.11</v>
      </c>
      <c r="E163" s="192" t="s">
        <v>877</v>
      </c>
    </row>
    <row r="164" spans="1:5">
      <c r="A164" s="105">
        <v>42364</v>
      </c>
      <c r="B164" s="43" t="s">
        <v>743</v>
      </c>
      <c r="C164" s="192">
        <v>-1000</v>
      </c>
      <c r="D164" s="192">
        <v>15219.11</v>
      </c>
      <c r="E164" s="270" t="s">
        <v>878</v>
      </c>
    </row>
    <row r="165" spans="1:5">
      <c r="A165" s="105">
        <v>42395</v>
      </c>
      <c r="B165" s="43" t="s">
        <v>743</v>
      </c>
      <c r="C165" s="192">
        <v>-1000</v>
      </c>
      <c r="D165" s="192">
        <v>14219.11</v>
      </c>
      <c r="E165" s="270" t="s">
        <v>879</v>
      </c>
    </row>
    <row r="166" spans="1:5">
      <c r="A166" s="105">
        <v>42426</v>
      </c>
      <c r="B166" s="43" t="s">
        <v>743</v>
      </c>
      <c r="C166" s="192">
        <v>-1000</v>
      </c>
      <c r="D166" s="192">
        <v>13219.11</v>
      </c>
      <c r="E166" s="194">
        <v>42061</v>
      </c>
    </row>
    <row r="167" spans="1:5">
      <c r="A167" s="105">
        <v>42455</v>
      </c>
      <c r="B167" s="43"/>
      <c r="C167" s="192">
        <v>-1000</v>
      </c>
      <c r="D167" s="192">
        <v>12219.11</v>
      </c>
      <c r="E167" s="194">
        <v>42061</v>
      </c>
    </row>
    <row r="168" spans="1:5">
      <c r="A168" s="105">
        <v>42486</v>
      </c>
      <c r="B168" s="43"/>
      <c r="C168" s="192">
        <v>-1000</v>
      </c>
      <c r="D168" s="192">
        <v>11219.11</v>
      </c>
    </row>
    <row r="169" spans="1:5">
      <c r="A169" s="105">
        <v>42516</v>
      </c>
      <c r="B169" s="43"/>
      <c r="C169" s="192">
        <v>-1000</v>
      </c>
      <c r="D169" s="192">
        <v>10219.11</v>
      </c>
      <c r="E169" s="194">
        <v>42546</v>
      </c>
    </row>
    <row r="170" spans="1:5">
      <c r="A170" s="105">
        <v>42547</v>
      </c>
      <c r="B170" s="43"/>
      <c r="C170" s="192">
        <v>-1000</v>
      </c>
      <c r="D170" s="192">
        <v>9219.11</v>
      </c>
    </row>
    <row r="171" spans="1:5">
      <c r="A171" s="105">
        <v>42577</v>
      </c>
      <c r="B171" s="43"/>
      <c r="C171" s="192">
        <v>-1000</v>
      </c>
      <c r="D171" s="192">
        <v>8219.11</v>
      </c>
    </row>
    <row r="172" spans="1:5">
      <c r="A172" s="105">
        <v>42608</v>
      </c>
      <c r="B172" s="43"/>
      <c r="C172" s="192">
        <v>-1000</v>
      </c>
      <c r="D172" s="192">
        <v>7219.1100000000006</v>
      </c>
    </row>
    <row r="173" spans="1:5">
      <c r="A173" s="105">
        <v>42639</v>
      </c>
      <c r="B173" s="43"/>
      <c r="C173" s="192">
        <v>-1000</v>
      </c>
      <c r="D173" s="192">
        <v>6219.1100000000006</v>
      </c>
    </row>
    <row r="174" spans="1:5">
      <c r="A174" s="105">
        <v>42669</v>
      </c>
      <c r="B174" s="43"/>
      <c r="C174" s="192">
        <v>-1000</v>
      </c>
      <c r="D174" s="192">
        <f>D173+C174</f>
        <v>5219.1100000000006</v>
      </c>
    </row>
    <row r="175" spans="1:5">
      <c r="A175" s="105">
        <v>42700</v>
      </c>
      <c r="B175" s="43"/>
      <c r="C175" s="192">
        <v>-1000</v>
      </c>
      <c r="D175" s="192">
        <f t="shared" ref="D175:D180" si="1">D174+C175</f>
        <v>4219.1100000000006</v>
      </c>
    </row>
    <row r="176" spans="1:5">
      <c r="A176" s="105">
        <v>42730</v>
      </c>
      <c r="B176" s="43"/>
      <c r="C176" s="192">
        <v>-1000</v>
      </c>
      <c r="D176" s="192">
        <f t="shared" si="1"/>
        <v>3219.1100000000006</v>
      </c>
    </row>
    <row r="177" spans="1:4">
      <c r="A177" s="105">
        <v>42761</v>
      </c>
      <c r="B177" s="43"/>
      <c r="C177" s="192">
        <v>-1000</v>
      </c>
      <c r="D177" s="192">
        <f t="shared" si="1"/>
        <v>2219.1100000000006</v>
      </c>
    </row>
    <row r="178" spans="1:4">
      <c r="A178" s="105">
        <v>42792</v>
      </c>
      <c r="B178" s="43"/>
      <c r="C178" s="192">
        <v>-1000</v>
      </c>
      <c r="D178" s="192">
        <f t="shared" si="1"/>
        <v>1219.1100000000006</v>
      </c>
    </row>
    <row r="179" spans="1:4">
      <c r="A179" s="105">
        <v>42820</v>
      </c>
      <c r="B179" s="43"/>
      <c r="C179" s="192">
        <v>-1000</v>
      </c>
      <c r="D179" s="192">
        <f t="shared" si="1"/>
        <v>219.11000000000058</v>
      </c>
    </row>
    <row r="180" spans="1:4">
      <c r="A180" s="105">
        <v>42851</v>
      </c>
      <c r="B180" s="43"/>
      <c r="C180" s="192">
        <v>-1000</v>
      </c>
      <c r="D180" s="192">
        <f t="shared" si="1"/>
        <v>-780.88999999999942</v>
      </c>
    </row>
    <row r="181" spans="1:4">
      <c r="A181" s="105">
        <v>42881</v>
      </c>
      <c r="B181" s="43"/>
    </row>
    <row r="182" spans="1:4" ht="15" thickBot="1">
      <c r="A182" s="105"/>
      <c r="B182" s="43"/>
      <c r="C182" s="257">
        <v>-80.889999999999418</v>
      </c>
    </row>
    <row r="183" spans="1:4" ht="15" thickTop="1"/>
    <row r="217" spans="1:1">
      <c r="A217" s="236" t="s">
        <v>689</v>
      </c>
    </row>
    <row r="218" spans="1:1">
      <c r="A218" s="236" t="s">
        <v>690</v>
      </c>
    </row>
    <row r="219" spans="1:1">
      <c r="A219" s="236" t="s">
        <v>691</v>
      </c>
    </row>
    <row r="220" spans="1:1">
      <c r="A220" s="236" t="s">
        <v>692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5560"/>
  <sheetViews>
    <sheetView topLeftCell="A23" zoomScale="96" zoomScaleNormal="96" workbookViewId="0">
      <selection activeCell="E36" sqref="E36"/>
    </sheetView>
  </sheetViews>
  <sheetFormatPr defaultColWidth="8.5703125" defaultRowHeight="12.75"/>
  <cols>
    <col min="1" max="1" width="21.28515625" style="1" customWidth="1"/>
    <col min="2" max="2" width="3.140625" style="1" customWidth="1"/>
    <col min="3" max="6" width="18.5703125" style="1" customWidth="1"/>
    <col min="7" max="7" width="16.85546875" style="1" customWidth="1"/>
    <col min="8" max="8" width="17.5703125" style="1" customWidth="1"/>
    <col min="10" max="256" width="9.42578125" style="1" customWidth="1"/>
  </cols>
  <sheetData>
    <row r="1" spans="1:7" ht="13.5" customHeight="1">
      <c r="A1" s="2" t="s">
        <v>0</v>
      </c>
      <c r="B1" s="2"/>
      <c r="C1" s="3">
        <v>2016</v>
      </c>
      <c r="D1" s="2" t="s">
        <v>540</v>
      </c>
    </row>
    <row r="2" spans="1:7" ht="13.5" customHeight="1">
      <c r="A2" s="151" t="s">
        <v>830</v>
      </c>
      <c r="B2" s="2"/>
      <c r="C2" s="3"/>
      <c r="D2" s="2"/>
    </row>
    <row r="3" spans="1:7" ht="13.5" customHeight="1">
      <c r="A3" s="151" t="s">
        <v>981</v>
      </c>
      <c r="B3" s="2"/>
      <c r="C3" s="3"/>
      <c r="D3" s="2"/>
    </row>
    <row r="4" spans="1:7" ht="13.5" customHeight="1">
      <c r="A4" s="151" t="s">
        <v>677</v>
      </c>
      <c r="B4" s="151"/>
      <c r="C4" s="3"/>
      <c r="D4" s="2"/>
    </row>
    <row r="5" spans="1:7" ht="13.5" customHeight="1">
      <c r="A5" s="151" t="s">
        <v>983</v>
      </c>
      <c r="B5" s="151"/>
      <c r="C5" s="3"/>
      <c r="D5" s="2"/>
    </row>
    <row r="6" spans="1:7" ht="13.5" customHeight="1">
      <c r="A6" s="151" t="s">
        <v>982</v>
      </c>
      <c r="B6" s="151"/>
      <c r="C6" s="3"/>
      <c r="D6" s="2"/>
    </row>
    <row r="7" spans="1:7" ht="13.5" customHeight="1">
      <c r="A7" s="151"/>
      <c r="B7" s="151"/>
      <c r="C7" s="3"/>
      <c r="D7" s="2"/>
    </row>
    <row r="8" spans="1:7" ht="13.5" customHeight="1">
      <c r="A8" s="151"/>
      <c r="B8" s="151"/>
      <c r="C8" s="3"/>
      <c r="D8" s="2"/>
    </row>
    <row r="9" spans="1:7" ht="13.5" customHeight="1">
      <c r="A9" s="2" t="s">
        <v>978</v>
      </c>
      <c r="B9" s="2"/>
      <c r="C9" s="3"/>
      <c r="D9" s="181">
        <v>144311.16</v>
      </c>
    </row>
    <row r="10" spans="1:7" ht="13.5" customHeight="1">
      <c r="A10" s="2" t="s">
        <v>979</v>
      </c>
      <c r="B10" s="2"/>
      <c r="D10" s="12">
        <v>146739.12</v>
      </c>
    </row>
    <row r="11" spans="1:7" ht="13.5" customHeight="1">
      <c r="A11" s="2" t="s">
        <v>980</v>
      </c>
    </row>
    <row r="12" spans="1:7" ht="13.5" customHeight="1">
      <c r="E12" s="2"/>
      <c r="F12" s="2"/>
      <c r="G12" s="12"/>
    </row>
    <row r="13" spans="1:7">
      <c r="A13" s="2" t="s">
        <v>1</v>
      </c>
      <c r="B13" s="4"/>
      <c r="D13" s="2"/>
    </row>
    <row r="14" spans="1:7">
      <c r="A14" s="2"/>
      <c r="B14" s="4"/>
      <c r="C14" s="2" t="s">
        <v>539</v>
      </c>
      <c r="D14" s="2"/>
    </row>
    <row r="15" spans="1:7">
      <c r="A15" s="2"/>
      <c r="B15" s="4"/>
      <c r="C15" s="196" t="s">
        <v>832</v>
      </c>
      <c r="D15" s="2"/>
    </row>
    <row r="16" spans="1:7">
      <c r="A16" s="2"/>
      <c r="B16" s="4" t="s">
        <v>772</v>
      </c>
      <c r="C16" s="2" t="s">
        <v>269</v>
      </c>
      <c r="D16" s="2"/>
    </row>
    <row r="17" spans="1:256">
      <c r="A17" s="2"/>
      <c r="B17" s="4" t="s">
        <v>772</v>
      </c>
      <c r="C17" s="2" t="s">
        <v>370</v>
      </c>
      <c r="D17" s="2"/>
    </row>
    <row r="18" spans="1:256">
      <c r="A18" s="2"/>
      <c r="B18" s="4"/>
      <c r="C18" s="2" t="s">
        <v>268</v>
      </c>
      <c r="D18" s="2"/>
    </row>
    <row r="19" spans="1:256">
      <c r="A19" s="2"/>
      <c r="B19" s="4"/>
      <c r="C19" s="2"/>
      <c r="D19" s="2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>
      <c r="A20" s="2"/>
      <c r="B20" s="4"/>
      <c r="C20" s="2"/>
      <c r="D20" s="2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>
      <c r="A21" s="2" t="s">
        <v>189</v>
      </c>
      <c r="B21" s="4"/>
      <c r="C21" s="2" t="s">
        <v>831</v>
      </c>
      <c r="D21" s="2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>
      <c r="A22" s="2"/>
      <c r="B22" s="4"/>
      <c r="C22" s="2" t="s">
        <v>834</v>
      </c>
      <c r="D22" s="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>
      <c r="A23" s="2"/>
      <c r="B23" s="4"/>
      <c r="C23" s="2" t="s">
        <v>833</v>
      </c>
      <c r="D23" s="2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>
      <c r="A24" s="2"/>
      <c r="B24" s="4"/>
      <c r="C24" s="2">
        <v>4</v>
      </c>
      <c r="D24" s="2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>
      <c r="A25" s="2"/>
      <c r="B25" s="4"/>
      <c r="C25" s="2"/>
      <c r="D25" s="2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>
      <c r="A26" s="2"/>
      <c r="B26" s="2"/>
      <c r="C26" s="2"/>
      <c r="D26" s="2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>
      <c r="A27" s="2" t="s">
        <v>364</v>
      </c>
      <c r="B27" s="2"/>
      <c r="J27" t="s">
        <v>369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s="5" customFormat="1">
      <c r="C28" s="5" t="s">
        <v>2</v>
      </c>
      <c r="D28" s="5" t="s">
        <v>3</v>
      </c>
      <c r="E28" s="5" t="s">
        <v>4</v>
      </c>
      <c r="F28" s="115" t="s">
        <v>184</v>
      </c>
      <c r="G28" s="5" t="s">
        <v>5</v>
      </c>
      <c r="H28" s="115" t="s">
        <v>367</v>
      </c>
      <c r="J28" s="180" t="s">
        <v>368</v>
      </c>
    </row>
    <row r="29" spans="1:256">
      <c r="A29" s="6" t="s">
        <v>6</v>
      </c>
      <c r="B29" s="6"/>
      <c r="C29" s="7">
        <f>Jan!G33</f>
        <v>810.57000000000153</v>
      </c>
      <c r="D29" s="7">
        <f>Jan!$G$30</f>
        <v>0</v>
      </c>
      <c r="E29" s="7">
        <f>Jan!B4</f>
        <v>11431.89</v>
      </c>
      <c r="F29" s="7">
        <f>Jan!G28-G29</f>
        <v>-1350</v>
      </c>
      <c r="G29" s="7">
        <f>Jan!G11</f>
        <v>1350</v>
      </c>
      <c r="H29" s="7">
        <f>Jan!G32</f>
        <v>9471.3199999999979</v>
      </c>
      <c r="J29" t="s">
        <v>1035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>
      <c r="A30" s="6" t="s">
        <v>7</v>
      </c>
      <c r="B30" s="6"/>
      <c r="C30" s="7">
        <f>Feb!G33</f>
        <v>2213.4900000000007</v>
      </c>
      <c r="D30" s="7">
        <f>Feb!$G$30</f>
        <v>0</v>
      </c>
      <c r="E30" s="7">
        <f>Feb!B4</f>
        <v>7966.1900000000005</v>
      </c>
      <c r="F30" s="7">
        <f>Feb!G28-G30</f>
        <v>-1350</v>
      </c>
      <c r="G30" s="7">
        <f>Feb!G11</f>
        <v>1350</v>
      </c>
      <c r="H30" s="7">
        <f>Feb!G32</f>
        <v>4402.7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>
      <c r="A31" s="6" t="s">
        <v>8</v>
      </c>
      <c r="B31" s="6"/>
      <c r="C31" s="7">
        <f>Mar!G33</f>
        <v>3185.3899999999958</v>
      </c>
      <c r="D31" s="7">
        <f>Mar!$G$30</f>
        <v>0</v>
      </c>
      <c r="E31" s="7">
        <f>Mar!B4</f>
        <v>20799.809999999998</v>
      </c>
      <c r="F31" s="7">
        <f>Mar!G28-G31</f>
        <v>-1450</v>
      </c>
      <c r="G31" s="7">
        <f>Mar!G11</f>
        <v>1450</v>
      </c>
      <c r="H31" s="7">
        <f>Mar!G32</f>
        <v>16164.420000000002</v>
      </c>
      <c r="J31" t="s">
        <v>1036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>
      <c r="A32" s="6" t="s">
        <v>9</v>
      </c>
      <c r="B32" s="6"/>
      <c r="C32" s="7">
        <f>Apr!G33</f>
        <v>8404.6500000000015</v>
      </c>
      <c r="D32" s="7">
        <f>Apr!$G$30</f>
        <v>0</v>
      </c>
      <c r="E32" s="7">
        <f>Apr!B4</f>
        <v>12743.170000000002</v>
      </c>
      <c r="F32" s="7">
        <f>Apr!G28-G32</f>
        <v>-1250</v>
      </c>
      <c r="G32" s="7">
        <f>Apr!G11</f>
        <v>1250</v>
      </c>
      <c r="H32" s="7">
        <f>Apr!G32</f>
        <v>3088.5200000000004</v>
      </c>
      <c r="J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>
      <c r="A33" s="6" t="s">
        <v>10</v>
      </c>
      <c r="B33" s="6"/>
      <c r="C33" s="7">
        <f>May!G33</f>
        <v>22823.260000000002</v>
      </c>
      <c r="D33" s="7">
        <f>May!$G$30</f>
        <v>17669.45</v>
      </c>
      <c r="E33" s="7">
        <f>May!B4</f>
        <v>9283.5600000000013</v>
      </c>
      <c r="F33" s="7">
        <f>May!G28-G33</f>
        <v>-2450</v>
      </c>
      <c r="G33" s="7">
        <f>May!G11</f>
        <v>2450</v>
      </c>
      <c r="H33" s="7">
        <f>May!G32</f>
        <v>1679.7500000000005</v>
      </c>
      <c r="J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>
      <c r="A34" s="6" t="s">
        <v>11</v>
      </c>
      <c r="B34" s="6"/>
      <c r="C34" s="7">
        <f>Jun!G32</f>
        <v>-18151.070000000003</v>
      </c>
      <c r="D34" s="7">
        <f>Jun!$G$30</f>
        <v>468</v>
      </c>
      <c r="E34" s="7">
        <f>Jun!B4</f>
        <v>11016.410000000002</v>
      </c>
      <c r="F34" s="7">
        <f>Jun!G28-G34</f>
        <v>-11450</v>
      </c>
      <c r="G34" s="7">
        <f>Jun!G11</f>
        <v>11450</v>
      </c>
      <c r="H34" s="7">
        <f>Jun!G32</f>
        <v>-18151.070000000003</v>
      </c>
      <c r="J34" t="s">
        <v>1037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>
      <c r="A35" s="6" t="s">
        <v>12</v>
      </c>
      <c r="B35" s="6"/>
      <c r="C35" s="7">
        <f>July!G33</f>
        <v>3300.1199999999994</v>
      </c>
      <c r="D35" s="7">
        <f>July!$G$30</f>
        <v>0</v>
      </c>
      <c r="E35" s="7">
        <f>July!B4</f>
        <v>9283.57</v>
      </c>
      <c r="F35" s="7">
        <f>July!G28-G35</f>
        <v>3080.2</v>
      </c>
      <c r="G35" s="7">
        <f>July!G11</f>
        <v>1520</v>
      </c>
      <c r="H35" s="7">
        <f>July!G32</f>
        <v>-136.74999999999937</v>
      </c>
      <c r="J35" t="s">
        <v>835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>
      <c r="A36" s="6" t="s">
        <v>13</v>
      </c>
      <c r="B36" s="6"/>
      <c r="C36" s="7">
        <f>Aug!G33</f>
        <v>4787.3700000000008</v>
      </c>
      <c r="D36" s="7">
        <f>Aug!$G$30</f>
        <v>0</v>
      </c>
      <c r="E36" s="7">
        <f>Aug!B4</f>
        <v>9283.5600000000013</v>
      </c>
      <c r="F36" s="7">
        <f>Aug!G28-G36</f>
        <v>-1620</v>
      </c>
      <c r="G36" s="7">
        <f>Aug!G11</f>
        <v>1620</v>
      </c>
      <c r="H36" s="7">
        <f>Aug!G32</f>
        <v>2876.19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>
      <c r="A37" s="6" t="s">
        <v>14</v>
      </c>
      <c r="B37" s="6"/>
      <c r="C37" s="7">
        <f>Sep!G33</f>
        <v>-1897.9500000000003</v>
      </c>
      <c r="D37" s="7">
        <f>Sep!$G$30</f>
        <v>0</v>
      </c>
      <c r="E37" s="7">
        <f>Sep!B4</f>
        <v>0</v>
      </c>
      <c r="F37" s="7">
        <f>Sep!G28-G37</f>
        <v>-1720</v>
      </c>
      <c r="G37" s="7">
        <f>Sep!G11</f>
        <v>1720</v>
      </c>
      <c r="H37" s="7">
        <f>Sep!G32</f>
        <v>177.95000000000027</v>
      </c>
      <c r="J37" s="1" t="s">
        <v>589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>
      <c r="A38" s="6" t="s">
        <v>15</v>
      </c>
      <c r="B38" s="6"/>
      <c r="C38" s="7">
        <f>Oct!G33</f>
        <v>-1697.9500000000003</v>
      </c>
      <c r="D38" s="7">
        <f>Oct!$G$30</f>
        <v>0</v>
      </c>
      <c r="E38" s="7">
        <f>Oct!B4</f>
        <v>0</v>
      </c>
      <c r="F38" s="7">
        <f>Oct!G28-G38</f>
        <v>-1520</v>
      </c>
      <c r="G38" s="7">
        <f>Oct!G11</f>
        <v>1520</v>
      </c>
      <c r="H38" s="7">
        <f>Oct!G32</f>
        <v>177.95000000000027</v>
      </c>
      <c r="J38" s="1" t="s">
        <v>590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>
      <c r="A39" s="6" t="s">
        <v>16</v>
      </c>
      <c r="B39" s="6"/>
      <c r="C39" s="7">
        <f>Nov!G33</f>
        <v>-2797.9500000000003</v>
      </c>
      <c r="D39" s="7">
        <f>Nov!$G$30</f>
        <v>0</v>
      </c>
      <c r="E39" s="7">
        <f>Nov!B4</f>
        <v>0</v>
      </c>
      <c r="F39" s="7">
        <f>Nov!G28-G39</f>
        <v>-2620</v>
      </c>
      <c r="G39" s="7">
        <f>Nov!G11</f>
        <v>2620</v>
      </c>
      <c r="H39" s="7">
        <f>Nov!G32</f>
        <v>177.95000000000027</v>
      </c>
      <c r="J39" s="1" t="s">
        <v>590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>
      <c r="A40" s="6" t="s">
        <v>17</v>
      </c>
      <c r="B40" s="6"/>
      <c r="C40" s="7">
        <f>Dec!G33</f>
        <v>-6897.9500000000007</v>
      </c>
      <c r="D40" s="7">
        <f>Dec!$G$30</f>
        <v>0</v>
      </c>
      <c r="E40" s="7">
        <f>Dec!B4</f>
        <v>0</v>
      </c>
      <c r="F40" s="7">
        <f>Dec!G28-G40</f>
        <v>-6720</v>
      </c>
      <c r="G40" s="7">
        <f>Dec!G11</f>
        <v>6720</v>
      </c>
      <c r="H40" s="7">
        <f>Dec!G32</f>
        <v>177.95000000000027</v>
      </c>
      <c r="J40" s="1" t="s">
        <v>590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2" spans="1:256" ht="13.5" thickBot="1">
      <c r="A42" s="189" t="s">
        <v>65</v>
      </c>
      <c r="C42" s="8">
        <f t="shared" ref="C42:H42" si="0">SUM(C29:C40)</f>
        <v>14081.979999999996</v>
      </c>
      <c r="D42" s="8">
        <f t="shared" si="0"/>
        <v>18137.45</v>
      </c>
      <c r="E42" s="8">
        <f t="shared" si="0"/>
        <v>91808.16</v>
      </c>
      <c r="F42" s="8">
        <f t="shared" si="0"/>
        <v>-30419.8</v>
      </c>
      <c r="G42" s="8">
        <f t="shared" si="0"/>
        <v>35020</v>
      </c>
      <c r="H42" s="117">
        <f t="shared" si="0"/>
        <v>20106.879999999997</v>
      </c>
      <c r="J42" s="9">
        <f>G42/E42</f>
        <v>0.38144757503036764</v>
      </c>
      <c r="K42" s="1" t="s">
        <v>18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13.5" thickTop="1">
      <c r="C43" s="7"/>
      <c r="G43" t="s">
        <v>542</v>
      </c>
      <c r="H43" s="10">
        <f>610*12</f>
        <v>7320</v>
      </c>
      <c r="I43" t="s">
        <v>541</v>
      </c>
      <c r="J43" s="11">
        <f>H43/E42</f>
        <v>7.9731474849294437E-2</v>
      </c>
      <c r="K43" s="1" t="s">
        <v>19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>
      <c r="A44" s="1" t="s">
        <v>591</v>
      </c>
      <c r="C44" s="7">
        <v>-16615.13</v>
      </c>
      <c r="G44" t="s">
        <v>1018</v>
      </c>
      <c r="H44" s="10"/>
      <c r="J44" s="11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>
      <c r="A45" t="s">
        <v>522</v>
      </c>
      <c r="H45" s="106"/>
      <c r="J45" s="203">
        <f>H45/H42</f>
        <v>0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>
      <c r="A46" t="s">
        <v>585</v>
      </c>
      <c r="E46" s="116">
        <f>E29-F29-H29</f>
        <v>3310.5700000000015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13.5" thickBot="1">
      <c r="A47" s="1" t="s">
        <v>592</v>
      </c>
      <c r="G47" s="1" t="s">
        <v>587</v>
      </c>
      <c r="H47" s="8">
        <f>H42-SUM(H43:H45)</f>
        <v>12786.879999999997</v>
      </c>
      <c r="J47" s="11">
        <f>H47/E42</f>
        <v>0.13927825151925491</v>
      </c>
      <c r="K47" s="1" t="s">
        <v>20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ht="13.5" thickTop="1">
      <c r="A48" t="s">
        <v>523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>
      <c r="G49" s="1" t="s">
        <v>588</v>
      </c>
      <c r="H49" s="12">
        <f>H47/12</f>
        <v>1065.573333333333</v>
      </c>
    </row>
    <row r="50" spans="1:256">
      <c r="A50" s="1" t="s">
        <v>557</v>
      </c>
      <c r="G50" s="1" t="s">
        <v>21</v>
      </c>
      <c r="H50" s="7">
        <f>H42/12</f>
        <v>1675.573333333333</v>
      </c>
      <c r="J50"/>
      <c r="K50"/>
    </row>
    <row r="51" spans="1:256" ht="13.5" thickBot="1">
      <c r="A51" s="112" t="s">
        <v>525</v>
      </c>
      <c r="C51" s="190">
        <f>SUM(C42:C50)</f>
        <v>-2533.1500000000051</v>
      </c>
    </row>
    <row r="52" spans="1:256" ht="13.5" thickTop="1">
      <c r="A52" s="112"/>
      <c r="C52" s="204"/>
    </row>
    <row r="53" spans="1:256">
      <c r="A53" s="112"/>
      <c r="C53" s="204"/>
    </row>
    <row r="54" spans="1:256">
      <c r="A54" s="2" t="s">
        <v>22</v>
      </c>
      <c r="B54" s="2"/>
      <c r="C54" s="128" t="s">
        <v>23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>
      <c r="A55" s="1" t="s">
        <v>678</v>
      </c>
      <c r="C55" s="10">
        <f>Jan!G5+Feb!G5+Mar!G5+Apr!G5+May!G5+Jun!G5+July!G5+Aug!G5+Sep!G5+Oct!G5+Nov!G5+Dec!G5</f>
        <v>83071.91</v>
      </c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>
      <c r="A56" s="235"/>
      <c r="C56" s="10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>
      <c r="C57" s="10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</row>
    <row r="58" spans="1:256">
      <c r="A58" t="s">
        <v>24</v>
      </c>
      <c r="B58" s="106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</row>
    <row r="59" spans="1:256">
      <c r="A59" s="115" t="s">
        <v>247</v>
      </c>
      <c r="B59" s="5"/>
      <c r="C59" s="10">
        <f>Jan!G6+Feb!G6+Mar!G6+Apr!G6+May!G6+Jun!G6+July!G6+Aug!G6+Sep!G6+Oct!G6+Nov!G6+Dec!G6</f>
        <v>8736.25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</row>
    <row r="60" spans="1:256">
      <c r="A60" s="115"/>
      <c r="B60" s="5"/>
      <c r="C60" s="10">
        <f>Jan!G7+Feb!G7+Mar!G7+Apr!G7+May!G7+Jun!G7+July!G7+Aug!G7+Sep!G7+Oct!G7+Nov!G7+Dec!G7</f>
        <v>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ht="13.5" thickBot="1">
      <c r="A61" s="115" t="s">
        <v>248</v>
      </c>
      <c r="B61" s="5"/>
      <c r="C61" s="149">
        <f>SUM(C59:C60)</f>
        <v>8736.25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>
      <c r="A62" s="5"/>
      <c r="B62" s="5"/>
      <c r="C62" s="14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ht="13.5" thickBot="1">
      <c r="A63" s="127" t="s">
        <v>249</v>
      </c>
      <c r="C63" s="147">
        <f>C55+C61</f>
        <v>91808.16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ht="13.5" thickTop="1"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71" spans="1:4">
      <c r="A71" s="1" t="s">
        <v>1012</v>
      </c>
    </row>
    <row r="72" spans="1:4">
      <c r="A72" s="1" t="s">
        <v>1013</v>
      </c>
      <c r="C72" s="1">
        <v>4600.2</v>
      </c>
      <c r="D72" s="1" t="s">
        <v>1014</v>
      </c>
    </row>
    <row r="65560" spans="1:256" ht="13.5" customHeight="1">
      <c r="A65560"/>
      <c r="B65560"/>
      <c r="C65560"/>
      <c r="D65560"/>
      <c r="E65560"/>
      <c r="F65560"/>
      <c r="G65560"/>
      <c r="H65560"/>
      <c r="J65560"/>
      <c r="K65560"/>
      <c r="L65560"/>
      <c r="M65560"/>
      <c r="N65560"/>
      <c r="O65560"/>
      <c r="P65560"/>
      <c r="Q65560"/>
      <c r="R65560"/>
      <c r="S65560"/>
      <c r="T65560"/>
      <c r="U65560"/>
      <c r="V65560"/>
      <c r="W65560"/>
      <c r="X65560"/>
      <c r="Y65560"/>
      <c r="Z65560"/>
      <c r="AA65560"/>
      <c r="AB65560"/>
      <c r="AC65560"/>
      <c r="AD65560"/>
      <c r="AE65560"/>
      <c r="AF65560"/>
      <c r="AG65560"/>
      <c r="AH65560"/>
      <c r="AI65560"/>
      <c r="AJ65560"/>
      <c r="AK65560"/>
      <c r="AL65560"/>
      <c r="AM65560"/>
      <c r="AN65560"/>
      <c r="AO65560"/>
      <c r="AP65560"/>
      <c r="AQ65560"/>
      <c r="AR65560"/>
      <c r="AS65560"/>
      <c r="AT65560"/>
      <c r="AU65560"/>
      <c r="AV65560"/>
      <c r="AW65560"/>
      <c r="AX65560"/>
      <c r="AY65560"/>
      <c r="AZ65560"/>
      <c r="BA65560"/>
      <c r="BB65560"/>
      <c r="BC65560"/>
      <c r="BD65560"/>
      <c r="BE65560"/>
      <c r="BF65560"/>
      <c r="BG65560"/>
      <c r="BH65560"/>
      <c r="BI65560"/>
      <c r="BJ65560"/>
      <c r="BK65560"/>
      <c r="BL65560"/>
      <c r="BM65560"/>
      <c r="BN65560"/>
      <c r="BO65560"/>
      <c r="BP65560"/>
      <c r="BQ65560"/>
      <c r="BR65560"/>
      <c r="BS65560"/>
      <c r="BT65560"/>
      <c r="BU65560"/>
      <c r="BV65560"/>
      <c r="BW65560"/>
      <c r="BX65560"/>
      <c r="BY65560"/>
      <c r="BZ65560"/>
      <c r="CA65560"/>
      <c r="CB65560"/>
      <c r="CC65560"/>
      <c r="CD65560"/>
      <c r="CE65560"/>
      <c r="CF65560"/>
      <c r="CG65560"/>
      <c r="CH65560"/>
      <c r="CI65560"/>
      <c r="CJ65560"/>
      <c r="CK65560"/>
      <c r="CL65560"/>
      <c r="CM65560"/>
      <c r="CN65560"/>
      <c r="CO65560"/>
      <c r="CP65560"/>
      <c r="CQ65560"/>
      <c r="CR65560"/>
      <c r="CS65560"/>
      <c r="CT65560"/>
      <c r="CU65560"/>
      <c r="CV65560"/>
      <c r="CW65560"/>
      <c r="CX65560"/>
      <c r="CY65560"/>
      <c r="CZ65560"/>
      <c r="DA65560"/>
      <c r="DB65560"/>
      <c r="DC65560"/>
      <c r="DD65560"/>
      <c r="DE65560"/>
      <c r="DF65560"/>
      <c r="DG65560"/>
      <c r="DH65560"/>
      <c r="DI65560"/>
      <c r="DJ65560"/>
      <c r="DK65560"/>
      <c r="DL65560"/>
      <c r="DM65560"/>
      <c r="DN65560"/>
      <c r="DO65560"/>
      <c r="DP65560"/>
      <c r="DQ65560"/>
      <c r="DR65560"/>
      <c r="DS65560"/>
      <c r="DT65560"/>
      <c r="DU65560"/>
      <c r="DV65560"/>
      <c r="DW65560"/>
      <c r="DX65560"/>
      <c r="DY65560"/>
      <c r="DZ65560"/>
      <c r="EA65560"/>
      <c r="EB65560"/>
      <c r="EC65560"/>
      <c r="ED65560"/>
      <c r="EE65560"/>
      <c r="EF65560"/>
      <c r="EG65560"/>
      <c r="EH65560"/>
      <c r="EI65560"/>
      <c r="EJ65560"/>
      <c r="EK65560"/>
      <c r="EL65560"/>
      <c r="EM65560"/>
      <c r="EN65560"/>
      <c r="EO65560"/>
      <c r="EP65560"/>
      <c r="EQ65560"/>
      <c r="ER65560"/>
      <c r="ES65560"/>
      <c r="ET65560"/>
      <c r="EU65560"/>
      <c r="EV65560"/>
      <c r="EW65560"/>
      <c r="EX65560"/>
      <c r="EY65560"/>
      <c r="EZ65560"/>
      <c r="FA65560"/>
      <c r="FB65560"/>
      <c r="FC65560"/>
      <c r="FD65560"/>
      <c r="FE65560"/>
      <c r="FF65560"/>
      <c r="FG65560"/>
      <c r="FH65560"/>
      <c r="FI65560"/>
      <c r="FJ65560"/>
      <c r="FK65560"/>
      <c r="FL65560"/>
      <c r="FM65560"/>
      <c r="FN65560"/>
      <c r="FO65560"/>
      <c r="FP65560"/>
      <c r="FQ65560"/>
      <c r="FR65560"/>
      <c r="FS65560"/>
      <c r="FT65560"/>
      <c r="FU65560"/>
      <c r="FV65560"/>
      <c r="FW65560"/>
      <c r="FX65560"/>
      <c r="FY65560"/>
      <c r="FZ65560"/>
      <c r="GA65560"/>
      <c r="GB65560"/>
      <c r="GC65560"/>
      <c r="GD65560"/>
      <c r="GE65560"/>
      <c r="GF65560"/>
      <c r="GG65560"/>
      <c r="GH65560"/>
      <c r="GI65560"/>
      <c r="GJ65560"/>
      <c r="GK65560"/>
      <c r="GL65560"/>
      <c r="GM65560"/>
      <c r="GN65560"/>
      <c r="GO65560"/>
      <c r="GP65560"/>
      <c r="GQ65560"/>
      <c r="GR65560"/>
      <c r="GS65560"/>
      <c r="GT65560"/>
      <c r="GU65560"/>
      <c r="GV65560"/>
      <c r="GW65560"/>
      <c r="GX65560"/>
      <c r="GY65560"/>
      <c r="GZ65560"/>
      <c r="HA65560"/>
      <c r="HB65560"/>
      <c r="HC65560"/>
      <c r="HD65560"/>
      <c r="HE65560"/>
      <c r="HF65560"/>
      <c r="HG65560"/>
      <c r="HH65560"/>
      <c r="HI65560"/>
      <c r="HJ65560"/>
      <c r="HK65560"/>
      <c r="HL65560"/>
      <c r="HM65560"/>
      <c r="HN65560"/>
      <c r="HO65560"/>
      <c r="HP65560"/>
      <c r="HQ65560"/>
      <c r="HR65560"/>
      <c r="HS65560"/>
      <c r="HT65560"/>
      <c r="HU65560"/>
      <c r="HV65560"/>
      <c r="HW65560"/>
      <c r="HX65560"/>
      <c r="HY65560"/>
      <c r="HZ65560"/>
      <c r="IA65560"/>
      <c r="IB65560"/>
      <c r="IC65560"/>
      <c r="ID65560"/>
      <c r="IE65560"/>
      <c r="IF65560"/>
      <c r="IG65560"/>
      <c r="IH65560"/>
      <c r="II65560"/>
      <c r="IJ65560"/>
      <c r="IK65560"/>
      <c r="IL65560"/>
      <c r="IM65560"/>
      <c r="IN65560"/>
      <c r="IO65560"/>
      <c r="IP65560"/>
      <c r="IQ65560"/>
      <c r="IR65560"/>
      <c r="IS65560"/>
      <c r="IT65560"/>
      <c r="IU65560"/>
      <c r="IV65560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workbookViewId="0">
      <selection activeCell="F9" sqref="F9"/>
    </sheetView>
  </sheetViews>
  <sheetFormatPr defaultRowHeight="12.75"/>
  <cols>
    <col min="1" max="1" width="17" customWidth="1"/>
    <col min="2" max="2" width="20.28515625" customWidth="1"/>
    <col min="3" max="3" width="14.5703125" customWidth="1"/>
    <col min="4" max="4" width="11.7109375" customWidth="1"/>
    <col min="5" max="5" width="13" customWidth="1"/>
    <col min="10" max="10" width="10.5703125" customWidth="1"/>
    <col min="11" max="11" width="9.5703125" customWidth="1"/>
  </cols>
  <sheetData>
    <row r="1" spans="1:11">
      <c r="A1" t="s">
        <v>120</v>
      </c>
      <c r="D1" t="s">
        <v>191</v>
      </c>
    </row>
    <row r="2" spans="1:11">
      <c r="A2" s="2" t="s">
        <v>943</v>
      </c>
    </row>
    <row r="4" spans="1:11">
      <c r="A4" s="2" t="s">
        <v>192</v>
      </c>
    </row>
    <row r="5" spans="1:11">
      <c r="A5" s="122"/>
    </row>
    <row r="6" spans="1:11">
      <c r="A6" s="22" t="s">
        <v>193</v>
      </c>
      <c r="B6" s="124" t="s">
        <v>121</v>
      </c>
      <c r="C6" s="123" t="s">
        <v>194</v>
      </c>
      <c r="D6" s="123" t="s">
        <v>195</v>
      </c>
      <c r="E6" t="s">
        <v>245</v>
      </c>
      <c r="F6" t="s">
        <v>944</v>
      </c>
      <c r="J6" t="s">
        <v>256</v>
      </c>
      <c r="K6" t="s">
        <v>255</v>
      </c>
    </row>
    <row r="7" spans="1:11">
      <c r="A7" t="s">
        <v>196</v>
      </c>
      <c r="B7" t="s">
        <v>197</v>
      </c>
      <c r="C7" s="148" t="s">
        <v>198</v>
      </c>
      <c r="D7" s="1">
        <v>1</v>
      </c>
      <c r="E7" s="276">
        <v>0</v>
      </c>
      <c r="F7" s="277" t="s">
        <v>945</v>
      </c>
      <c r="J7" s="119">
        <v>42384</v>
      </c>
      <c r="K7">
        <v>1732.85</v>
      </c>
    </row>
    <row r="8" spans="1:11">
      <c r="A8" t="s">
        <v>196</v>
      </c>
      <c r="B8" t="s">
        <v>197</v>
      </c>
      <c r="C8" t="s">
        <v>198</v>
      </c>
      <c r="E8">
        <v>0</v>
      </c>
      <c r="F8" t="s">
        <v>946</v>
      </c>
      <c r="J8" s="119">
        <v>42094</v>
      </c>
      <c r="K8">
        <f>1881.84*2</f>
        <v>3763.68</v>
      </c>
    </row>
    <row r="9" spans="1:11">
      <c r="A9" t="s">
        <v>196</v>
      </c>
      <c r="B9" t="s">
        <v>197</v>
      </c>
      <c r="C9" t="s">
        <v>198</v>
      </c>
      <c r="E9">
        <v>0</v>
      </c>
      <c r="F9" s="150" t="s">
        <v>685</v>
      </c>
      <c r="J9" s="119">
        <v>42124</v>
      </c>
      <c r="K9">
        <v>1881.84</v>
      </c>
    </row>
    <row r="10" spans="1:11">
      <c r="A10" t="s">
        <v>196</v>
      </c>
      <c r="B10" t="s">
        <v>197</v>
      </c>
      <c r="C10" t="s">
        <v>198</v>
      </c>
      <c r="E10">
        <v>0</v>
      </c>
      <c r="F10" t="s">
        <v>684</v>
      </c>
      <c r="J10" s="119">
        <v>42168</v>
      </c>
      <c r="K10">
        <f>2*1881.84</f>
        <v>3763.68</v>
      </c>
    </row>
    <row r="11" spans="1:11">
      <c r="A11" t="s">
        <v>196</v>
      </c>
      <c r="B11" t="s">
        <v>197</v>
      </c>
      <c r="C11" t="s">
        <v>198</v>
      </c>
      <c r="E11">
        <v>0</v>
      </c>
      <c r="F11" t="s">
        <v>765</v>
      </c>
      <c r="J11" s="119">
        <v>42216</v>
      </c>
      <c r="K11">
        <v>3763.68</v>
      </c>
    </row>
    <row r="12" spans="1:11">
      <c r="A12" t="s">
        <v>196</v>
      </c>
      <c r="B12" t="s">
        <v>197</v>
      </c>
      <c r="C12" t="s">
        <v>198</v>
      </c>
      <c r="E12">
        <v>0</v>
      </c>
      <c r="F12" t="s">
        <v>766</v>
      </c>
      <c r="J12" s="119">
        <v>42262</v>
      </c>
      <c r="K12">
        <v>3763.68</v>
      </c>
    </row>
    <row r="13" spans="1:11">
      <c r="A13" t="s">
        <v>196</v>
      </c>
      <c r="B13" t="s">
        <v>197</v>
      </c>
      <c r="C13" t="s">
        <v>198</v>
      </c>
      <c r="E13">
        <v>0</v>
      </c>
      <c r="F13" t="s">
        <v>826</v>
      </c>
    </row>
    <row r="14" spans="1:11">
      <c r="A14" t="s">
        <v>196</v>
      </c>
      <c r="B14" t="s">
        <v>197</v>
      </c>
      <c r="C14" t="s">
        <v>198</v>
      </c>
      <c r="E14">
        <v>0</v>
      </c>
      <c r="F14" t="s">
        <v>538</v>
      </c>
    </row>
    <row r="15" spans="1:11" ht="13.5" thickBot="1">
      <c r="D15" s="41">
        <f>SUM(D8:D14)</f>
        <v>0</v>
      </c>
      <c r="K15">
        <f>SUM(K8:K14)</f>
        <v>16936.559999999998</v>
      </c>
    </row>
    <row r="16" spans="1:11" ht="13.5" thickTop="1">
      <c r="A16" s="2" t="s">
        <v>374</v>
      </c>
    </row>
    <row r="18" spans="1:6">
      <c r="A18" t="s">
        <v>535</v>
      </c>
    </row>
    <row r="19" spans="1:6">
      <c r="A19" t="s">
        <v>529</v>
      </c>
      <c r="B19" t="e">
        <f>SUM(#REF!)</f>
        <v>#REF!</v>
      </c>
    </row>
    <row r="20" spans="1:6">
      <c r="A20" t="s">
        <v>375</v>
      </c>
      <c r="B20" t="e">
        <f>#REF!+#REF!+#REF!</f>
        <v>#REF!</v>
      </c>
    </row>
    <row r="21" spans="1:6">
      <c r="A21" t="s">
        <v>376</v>
      </c>
    </row>
    <row r="22" spans="1:6" ht="13.5" thickBot="1">
      <c r="B22" s="41" t="e">
        <f>SUM(B18:B21)</f>
        <v>#REF!</v>
      </c>
      <c r="C22" s="183" t="e">
        <f>B22*0.565</f>
        <v>#REF!</v>
      </c>
    </row>
    <row r="23" spans="1:6" ht="13.5" thickTop="1"/>
    <row r="24" spans="1:6">
      <c r="A24" s="2" t="s">
        <v>201</v>
      </c>
    </row>
    <row r="25" spans="1:6">
      <c r="A25" s="119">
        <v>41947</v>
      </c>
      <c r="B25" t="s">
        <v>507</v>
      </c>
      <c r="C25">
        <v>6</v>
      </c>
      <c r="D25" t="s">
        <v>206</v>
      </c>
      <c r="F25" t="s">
        <v>508</v>
      </c>
    </row>
    <row r="26" spans="1:6">
      <c r="A26" s="119">
        <v>41435</v>
      </c>
      <c r="B26" t="s">
        <v>377</v>
      </c>
      <c r="C26">
        <v>15</v>
      </c>
      <c r="D26" t="s">
        <v>206</v>
      </c>
      <c r="F26" t="s">
        <v>211</v>
      </c>
    </row>
    <row r="27" spans="1:6">
      <c r="A27" s="119" t="s">
        <v>378</v>
      </c>
      <c r="B27" t="s">
        <v>203</v>
      </c>
      <c r="C27">
        <v>85</v>
      </c>
      <c r="D27" t="s">
        <v>379</v>
      </c>
      <c r="F27" t="s">
        <v>211</v>
      </c>
    </row>
    <row r="28" spans="1:6">
      <c r="A28" s="119" t="s">
        <v>380</v>
      </c>
      <c r="B28" t="s">
        <v>203</v>
      </c>
      <c r="C28">
        <v>85</v>
      </c>
      <c r="D28" t="s">
        <v>379</v>
      </c>
      <c r="F28" t="s">
        <v>211</v>
      </c>
    </row>
    <row r="29" spans="1:6">
      <c r="A29" s="119" t="s">
        <v>381</v>
      </c>
      <c r="B29" t="s">
        <v>203</v>
      </c>
      <c r="C29">
        <v>85</v>
      </c>
      <c r="D29" t="s">
        <v>379</v>
      </c>
      <c r="F29" t="s">
        <v>211</v>
      </c>
    </row>
    <row r="30" spans="1:6">
      <c r="A30" s="119" t="s">
        <v>382</v>
      </c>
      <c r="B30" t="s">
        <v>203</v>
      </c>
      <c r="C30">
        <v>85</v>
      </c>
      <c r="D30" t="s">
        <v>379</v>
      </c>
      <c r="F30" t="s">
        <v>211</v>
      </c>
    </row>
    <row r="31" spans="1:6">
      <c r="A31" s="119" t="s">
        <v>383</v>
      </c>
      <c r="B31" t="s">
        <v>384</v>
      </c>
      <c r="C31">
        <v>20</v>
      </c>
      <c r="D31" t="s">
        <v>205</v>
      </c>
      <c r="F31" t="s">
        <v>211</v>
      </c>
    </row>
    <row r="32" spans="1:6">
      <c r="A32" s="119" t="s">
        <v>385</v>
      </c>
      <c r="B32" t="s">
        <v>203</v>
      </c>
      <c r="C32">
        <v>85</v>
      </c>
      <c r="D32" t="s">
        <v>379</v>
      </c>
      <c r="F32" t="s">
        <v>211</v>
      </c>
    </row>
    <row r="33" spans="1:6">
      <c r="A33" s="119" t="s">
        <v>386</v>
      </c>
      <c r="B33" t="s">
        <v>203</v>
      </c>
      <c r="C33">
        <v>85</v>
      </c>
      <c r="D33" t="s">
        <v>379</v>
      </c>
      <c r="F33" t="s">
        <v>211</v>
      </c>
    </row>
    <row r="34" spans="1:6">
      <c r="A34" s="119">
        <v>41584</v>
      </c>
      <c r="B34" t="s">
        <v>203</v>
      </c>
      <c r="C34">
        <v>85</v>
      </c>
      <c r="D34" t="s">
        <v>379</v>
      </c>
      <c r="F34" t="s">
        <v>211</v>
      </c>
    </row>
    <row r="35" spans="1:6">
      <c r="A35" s="119">
        <v>41614</v>
      </c>
      <c r="B35" t="s">
        <v>387</v>
      </c>
      <c r="C35">
        <v>36</v>
      </c>
      <c r="D35" t="s">
        <v>379</v>
      </c>
      <c r="F35" t="s">
        <v>211</v>
      </c>
    </row>
    <row r="36" spans="1:6">
      <c r="A36" s="119">
        <v>41493</v>
      </c>
      <c r="B36" t="s">
        <v>203</v>
      </c>
      <c r="C36">
        <v>85</v>
      </c>
      <c r="D36" t="s">
        <v>379</v>
      </c>
      <c r="F36" t="s">
        <v>211</v>
      </c>
    </row>
    <row r="37" spans="1:6">
      <c r="A37" s="119" t="s">
        <v>388</v>
      </c>
      <c r="B37" t="s">
        <v>203</v>
      </c>
      <c r="C37">
        <v>10</v>
      </c>
      <c r="D37" t="s">
        <v>379</v>
      </c>
      <c r="F37" t="s">
        <v>211</v>
      </c>
    </row>
    <row r="38" spans="1:6">
      <c r="A38" s="119" t="s">
        <v>389</v>
      </c>
      <c r="B38" t="s">
        <v>203</v>
      </c>
      <c r="C38">
        <v>85</v>
      </c>
      <c r="D38" t="s">
        <v>379</v>
      </c>
      <c r="F38" t="s">
        <v>211</v>
      </c>
    </row>
    <row r="39" spans="1:6">
      <c r="A39" s="119" t="s">
        <v>390</v>
      </c>
      <c r="B39" t="s">
        <v>203</v>
      </c>
      <c r="C39">
        <v>10</v>
      </c>
      <c r="D39" t="s">
        <v>379</v>
      </c>
      <c r="F39" t="s">
        <v>211</v>
      </c>
    </row>
    <row r="40" spans="1:6">
      <c r="A40" s="119" t="s">
        <v>391</v>
      </c>
      <c r="B40" t="s">
        <v>203</v>
      </c>
      <c r="C40">
        <v>85</v>
      </c>
      <c r="D40" t="s">
        <v>379</v>
      </c>
      <c r="F40" t="s">
        <v>211</v>
      </c>
    </row>
    <row r="41" spans="1:6">
      <c r="A41" s="119">
        <v>41285</v>
      </c>
      <c r="B41" t="s">
        <v>384</v>
      </c>
      <c r="C41">
        <v>10</v>
      </c>
      <c r="D41" t="s">
        <v>205</v>
      </c>
      <c r="F41" t="s">
        <v>211</v>
      </c>
    </row>
    <row r="42" spans="1:6">
      <c r="A42" s="119">
        <v>41436</v>
      </c>
      <c r="B42" t="s">
        <v>203</v>
      </c>
      <c r="C42">
        <v>85</v>
      </c>
      <c r="D42" t="s">
        <v>379</v>
      </c>
      <c r="F42" t="s">
        <v>211</v>
      </c>
    </row>
    <row r="43" spans="1:6">
      <c r="A43" s="119" t="s">
        <v>392</v>
      </c>
      <c r="B43" t="s">
        <v>203</v>
      </c>
      <c r="C43">
        <v>85</v>
      </c>
      <c r="D43" t="s">
        <v>379</v>
      </c>
      <c r="F43" t="s">
        <v>211</v>
      </c>
    </row>
    <row r="44" spans="1:6">
      <c r="A44" s="119" t="s">
        <v>393</v>
      </c>
      <c r="B44" t="s">
        <v>203</v>
      </c>
      <c r="C44">
        <v>85</v>
      </c>
      <c r="D44" t="s">
        <v>379</v>
      </c>
      <c r="F44" t="s">
        <v>211</v>
      </c>
    </row>
    <row r="45" spans="1:6">
      <c r="A45" s="119" t="s">
        <v>357</v>
      </c>
      <c r="B45" t="s">
        <v>203</v>
      </c>
      <c r="C45">
        <v>85</v>
      </c>
      <c r="D45" t="s">
        <v>379</v>
      </c>
      <c r="F45" t="s">
        <v>211</v>
      </c>
    </row>
    <row r="46" spans="1:6" ht="13.5" thickBot="1">
      <c r="C46" s="183">
        <f>SUM(C25:C45)</f>
        <v>1297</v>
      </c>
    </row>
    <row r="47" spans="1:6" ht="13.5" thickTop="1">
      <c r="A47" t="s">
        <v>394</v>
      </c>
      <c r="B47">
        <f>SUM(C27:C45)</f>
        <v>1276</v>
      </c>
      <c r="D47" t="s">
        <v>395</v>
      </c>
      <c r="E47">
        <f>C50+C55+C56+C57+C60+C65</f>
        <v>139.4</v>
      </c>
    </row>
    <row r="49" spans="1:6">
      <c r="A49" s="2" t="s">
        <v>207</v>
      </c>
    </row>
    <row r="50" spans="1:6">
      <c r="A50" t="s">
        <v>396</v>
      </c>
      <c r="B50" t="s">
        <v>202</v>
      </c>
      <c r="C50">
        <v>15</v>
      </c>
      <c r="D50" t="s">
        <v>397</v>
      </c>
      <c r="F50" t="s">
        <v>398</v>
      </c>
    </row>
    <row r="51" spans="1:6">
      <c r="A51" s="119" t="s">
        <v>399</v>
      </c>
      <c r="B51" t="s">
        <v>400</v>
      </c>
      <c r="C51">
        <v>8</v>
      </c>
      <c r="D51" t="s">
        <v>206</v>
      </c>
      <c r="E51" t="s">
        <v>199</v>
      </c>
      <c r="F51" t="s">
        <v>211</v>
      </c>
    </row>
    <row r="52" spans="1:6">
      <c r="A52" s="119" t="s">
        <v>401</v>
      </c>
      <c r="B52" t="s">
        <v>400</v>
      </c>
      <c r="C52">
        <v>6</v>
      </c>
      <c r="D52" t="s">
        <v>206</v>
      </c>
      <c r="E52" t="s">
        <v>199</v>
      </c>
      <c r="F52" t="s">
        <v>211</v>
      </c>
    </row>
    <row r="53" spans="1:6">
      <c r="A53" s="119">
        <v>41282</v>
      </c>
      <c r="B53" t="s">
        <v>400</v>
      </c>
      <c r="C53">
        <v>40</v>
      </c>
      <c r="D53" t="s">
        <v>206</v>
      </c>
      <c r="E53" t="s">
        <v>199</v>
      </c>
      <c r="F53" t="s">
        <v>402</v>
      </c>
    </row>
    <row r="54" spans="1:6">
      <c r="A54" s="119">
        <v>41525</v>
      </c>
      <c r="B54" t="s">
        <v>403</v>
      </c>
      <c r="C54">
        <v>93.5</v>
      </c>
      <c r="D54" t="s">
        <v>404</v>
      </c>
      <c r="E54" t="s">
        <v>405</v>
      </c>
      <c r="F54" t="s">
        <v>402</v>
      </c>
    </row>
    <row r="55" spans="1:6">
      <c r="A55" s="119">
        <v>41586</v>
      </c>
      <c r="B55" t="s">
        <v>202</v>
      </c>
      <c r="C55">
        <v>15</v>
      </c>
      <c r="D55" t="s">
        <v>397</v>
      </c>
      <c r="F55" t="s">
        <v>398</v>
      </c>
    </row>
    <row r="56" spans="1:6">
      <c r="A56" s="119" t="s">
        <v>406</v>
      </c>
      <c r="B56" t="s">
        <v>202</v>
      </c>
      <c r="C56">
        <v>20.25</v>
      </c>
      <c r="D56" t="s">
        <v>397</v>
      </c>
      <c r="F56" t="s">
        <v>398</v>
      </c>
    </row>
    <row r="57" spans="1:6">
      <c r="A57" s="119" t="s">
        <v>407</v>
      </c>
      <c r="B57" t="s">
        <v>202</v>
      </c>
      <c r="C57">
        <v>40</v>
      </c>
      <c r="D57" t="s">
        <v>397</v>
      </c>
      <c r="F57" t="s">
        <v>398</v>
      </c>
    </row>
    <row r="58" spans="1:6">
      <c r="A58" t="s">
        <v>408</v>
      </c>
      <c r="B58" t="s">
        <v>403</v>
      </c>
      <c r="C58">
        <v>93.5</v>
      </c>
      <c r="D58" t="s">
        <v>404</v>
      </c>
      <c r="E58" t="s">
        <v>405</v>
      </c>
      <c r="F58" t="s">
        <v>211</v>
      </c>
    </row>
    <row r="59" spans="1:6">
      <c r="A59" s="119" t="s">
        <v>409</v>
      </c>
      <c r="B59" t="s">
        <v>410</v>
      </c>
      <c r="C59">
        <v>73</v>
      </c>
      <c r="D59" t="s">
        <v>411</v>
      </c>
      <c r="E59" t="s">
        <v>372</v>
      </c>
      <c r="F59" t="s">
        <v>211</v>
      </c>
    </row>
    <row r="60" spans="1:6">
      <c r="A60" s="119">
        <v>41466</v>
      </c>
      <c r="B60" t="s">
        <v>202</v>
      </c>
      <c r="C60">
        <v>15.25</v>
      </c>
      <c r="D60" t="s">
        <v>397</v>
      </c>
      <c r="F60" t="s">
        <v>398</v>
      </c>
    </row>
    <row r="61" spans="1:6">
      <c r="A61" s="119" t="s">
        <v>412</v>
      </c>
      <c r="B61" t="s">
        <v>413</v>
      </c>
      <c r="C61">
        <v>20</v>
      </c>
      <c r="D61" t="s">
        <v>414</v>
      </c>
      <c r="E61" t="s">
        <v>87</v>
      </c>
      <c r="F61" t="s">
        <v>211</v>
      </c>
    </row>
    <row r="62" spans="1:6">
      <c r="A62" s="119" t="s">
        <v>412</v>
      </c>
      <c r="B62" t="s">
        <v>415</v>
      </c>
      <c r="C62">
        <v>20</v>
      </c>
      <c r="D62" t="s">
        <v>205</v>
      </c>
      <c r="E62" t="s">
        <v>87</v>
      </c>
      <c r="F62" t="s">
        <v>211</v>
      </c>
    </row>
    <row r="63" spans="1:6">
      <c r="A63" s="119" t="s">
        <v>412</v>
      </c>
      <c r="B63" t="s">
        <v>415</v>
      </c>
      <c r="C63">
        <v>10</v>
      </c>
      <c r="D63" t="s">
        <v>205</v>
      </c>
      <c r="E63" t="s">
        <v>87</v>
      </c>
      <c r="F63" t="s">
        <v>211</v>
      </c>
    </row>
    <row r="64" spans="1:6">
      <c r="A64" s="119" t="s">
        <v>416</v>
      </c>
      <c r="B64" t="s">
        <v>415</v>
      </c>
      <c r="C64">
        <v>10</v>
      </c>
      <c r="D64" t="s">
        <v>205</v>
      </c>
      <c r="E64" t="s">
        <v>87</v>
      </c>
      <c r="F64" t="s">
        <v>211</v>
      </c>
    </row>
    <row r="65" spans="1:6">
      <c r="A65" s="119" t="s">
        <v>416</v>
      </c>
      <c r="B65" t="s">
        <v>202</v>
      </c>
      <c r="C65">
        <v>33.9</v>
      </c>
      <c r="D65" t="s">
        <v>397</v>
      </c>
      <c r="F65" t="s">
        <v>398</v>
      </c>
    </row>
    <row r="66" spans="1:6" ht="13.5" thickBot="1">
      <c r="C66" s="183">
        <f>SUM(C51:C64)</f>
        <v>464.5</v>
      </c>
    </row>
    <row r="67" spans="1:6" ht="13.5" thickTop="1"/>
    <row r="68" spans="1:6">
      <c r="A68" s="2" t="s">
        <v>208</v>
      </c>
    </row>
    <row r="69" spans="1:6" ht="13.5" thickBot="1">
      <c r="B69" s="2" t="s">
        <v>209</v>
      </c>
      <c r="C69" s="183">
        <f>E70+E87+E104+E140+E158</f>
        <v>602.46333333000007</v>
      </c>
    </row>
    <row r="70" spans="1:6" ht="13.5" thickTop="1">
      <c r="A70" s="2" t="s">
        <v>210</v>
      </c>
      <c r="E70">
        <f>SUM(C71:C85)</f>
        <v>95.18</v>
      </c>
    </row>
    <row r="71" spans="1:6">
      <c r="A71" s="119">
        <v>41730</v>
      </c>
      <c r="B71" t="s">
        <v>125</v>
      </c>
      <c r="D71" t="s">
        <v>36</v>
      </c>
      <c r="F71" t="s">
        <v>211</v>
      </c>
    </row>
    <row r="72" spans="1:6">
      <c r="A72" s="119">
        <v>41731</v>
      </c>
      <c r="B72" t="s">
        <v>125</v>
      </c>
      <c r="D72" t="s">
        <v>36</v>
      </c>
      <c r="F72" t="s">
        <v>211</v>
      </c>
    </row>
    <row r="73" spans="1:6">
      <c r="A73" s="119">
        <v>41732</v>
      </c>
      <c r="B73" t="s">
        <v>125</v>
      </c>
      <c r="D73" t="s">
        <v>36</v>
      </c>
      <c r="F73" t="s">
        <v>211</v>
      </c>
    </row>
    <row r="74" spans="1:6">
      <c r="A74" s="119">
        <v>41733</v>
      </c>
      <c r="B74" t="s">
        <v>125</v>
      </c>
      <c r="C74">
        <v>95.18</v>
      </c>
      <c r="D74" t="s">
        <v>36</v>
      </c>
      <c r="F74" t="s">
        <v>211</v>
      </c>
    </row>
    <row r="75" spans="1:6">
      <c r="A75" s="119">
        <v>41338</v>
      </c>
      <c r="B75" t="s">
        <v>125</v>
      </c>
      <c r="D75" t="s">
        <v>36</v>
      </c>
      <c r="F75" t="s">
        <v>211</v>
      </c>
    </row>
    <row r="76" spans="1:6">
      <c r="A76" s="119">
        <v>41339</v>
      </c>
      <c r="B76" t="s">
        <v>125</v>
      </c>
      <c r="D76" t="s">
        <v>36</v>
      </c>
      <c r="F76" t="s">
        <v>211</v>
      </c>
    </row>
    <row r="77" spans="1:6">
      <c r="A77" s="119">
        <v>41340</v>
      </c>
      <c r="B77" t="s">
        <v>125</v>
      </c>
      <c r="D77" t="s">
        <v>36</v>
      </c>
      <c r="F77" t="s">
        <v>211</v>
      </c>
    </row>
    <row r="78" spans="1:6">
      <c r="A78" s="119">
        <v>41372</v>
      </c>
      <c r="B78" t="s">
        <v>125</v>
      </c>
      <c r="D78" t="s">
        <v>36</v>
      </c>
      <c r="F78" t="s">
        <v>211</v>
      </c>
    </row>
    <row r="79" spans="1:6">
      <c r="A79" s="119">
        <v>41342</v>
      </c>
      <c r="B79" t="s">
        <v>125</v>
      </c>
      <c r="D79" t="s">
        <v>36</v>
      </c>
      <c r="F79" t="s">
        <v>211</v>
      </c>
    </row>
    <row r="80" spans="1:6">
      <c r="A80" s="119">
        <v>41343</v>
      </c>
      <c r="B80" t="s">
        <v>125</v>
      </c>
      <c r="D80" t="s">
        <v>36</v>
      </c>
      <c r="F80" t="s">
        <v>211</v>
      </c>
    </row>
    <row r="81" spans="1:6">
      <c r="A81" s="119">
        <v>41344</v>
      </c>
      <c r="B81" t="s">
        <v>125</v>
      </c>
      <c r="D81" t="s">
        <v>36</v>
      </c>
      <c r="F81" t="s">
        <v>211</v>
      </c>
    </row>
    <row r="82" spans="1:6">
      <c r="A82" s="119">
        <v>41345</v>
      </c>
      <c r="B82" t="s">
        <v>125</v>
      </c>
      <c r="D82" t="s">
        <v>36</v>
      </c>
      <c r="F82" t="s">
        <v>211</v>
      </c>
    </row>
    <row r="83" spans="1:6">
      <c r="A83" s="119">
        <v>41559</v>
      </c>
      <c r="B83" t="s">
        <v>125</v>
      </c>
      <c r="D83" t="s">
        <v>417</v>
      </c>
      <c r="F83" t="s">
        <v>211</v>
      </c>
    </row>
    <row r="84" spans="1:6">
      <c r="A84" s="119" t="s">
        <v>418</v>
      </c>
      <c r="B84" t="s">
        <v>215</v>
      </c>
      <c r="D84" t="s">
        <v>419</v>
      </c>
      <c r="F84" t="s">
        <v>211</v>
      </c>
    </row>
    <row r="85" spans="1:6">
      <c r="A85" s="119" t="s">
        <v>420</v>
      </c>
      <c r="B85" t="s">
        <v>215</v>
      </c>
      <c r="D85" t="s">
        <v>419</v>
      </c>
      <c r="F85" t="s">
        <v>211</v>
      </c>
    </row>
    <row r="86" spans="1:6">
      <c r="A86" s="119"/>
    </row>
    <row r="87" spans="1:6">
      <c r="A87" s="2" t="s">
        <v>212</v>
      </c>
      <c r="E87">
        <f>SUM(C88:C102)</f>
        <v>69.150000000000006</v>
      </c>
    </row>
    <row r="88" spans="1:6">
      <c r="A88" s="119">
        <v>41334</v>
      </c>
      <c r="B88" t="s">
        <v>213</v>
      </c>
      <c r="D88" t="s">
        <v>214</v>
      </c>
      <c r="F88" t="s">
        <v>204</v>
      </c>
    </row>
    <row r="89" spans="1:6">
      <c r="A89" s="119">
        <v>41335</v>
      </c>
      <c r="B89" t="s">
        <v>213</v>
      </c>
      <c r="D89" t="s">
        <v>214</v>
      </c>
      <c r="F89" t="s">
        <v>204</v>
      </c>
    </row>
    <row r="90" spans="1:6">
      <c r="A90" s="119">
        <v>41336</v>
      </c>
      <c r="B90" t="s">
        <v>213</v>
      </c>
      <c r="D90" t="s">
        <v>214</v>
      </c>
      <c r="F90" t="s">
        <v>204</v>
      </c>
    </row>
    <row r="91" spans="1:6">
      <c r="A91" s="119">
        <v>41674</v>
      </c>
      <c r="B91" t="s">
        <v>213</v>
      </c>
      <c r="C91">
        <v>69.150000000000006</v>
      </c>
      <c r="D91" t="s">
        <v>214</v>
      </c>
      <c r="F91" t="s">
        <v>204</v>
      </c>
    </row>
    <row r="92" spans="1:6">
      <c r="A92" s="119">
        <v>41338</v>
      </c>
      <c r="B92" t="s">
        <v>213</v>
      </c>
      <c r="D92" t="s">
        <v>214</v>
      </c>
      <c r="F92" t="s">
        <v>204</v>
      </c>
    </row>
    <row r="93" spans="1:6">
      <c r="A93" s="119">
        <v>41311</v>
      </c>
      <c r="B93" t="s">
        <v>213</v>
      </c>
      <c r="D93" t="s">
        <v>214</v>
      </c>
      <c r="F93" t="s">
        <v>204</v>
      </c>
    </row>
    <row r="94" spans="1:6">
      <c r="A94" s="119">
        <v>41340</v>
      </c>
      <c r="B94" t="s">
        <v>213</v>
      </c>
      <c r="D94" t="s">
        <v>214</v>
      </c>
      <c r="F94" t="s">
        <v>204</v>
      </c>
    </row>
    <row r="95" spans="1:6">
      <c r="A95" s="119">
        <v>41341</v>
      </c>
      <c r="B95" t="s">
        <v>213</v>
      </c>
      <c r="D95" t="s">
        <v>214</v>
      </c>
      <c r="F95" t="s">
        <v>204</v>
      </c>
    </row>
    <row r="96" spans="1:6">
      <c r="A96" s="119">
        <v>41314</v>
      </c>
      <c r="B96" t="s">
        <v>213</v>
      </c>
      <c r="D96" t="s">
        <v>214</v>
      </c>
      <c r="F96" t="s">
        <v>204</v>
      </c>
    </row>
    <row r="97" spans="1:6">
      <c r="A97" s="119">
        <v>41343</v>
      </c>
      <c r="B97" t="s">
        <v>213</v>
      </c>
      <c r="D97" t="s">
        <v>214</v>
      </c>
      <c r="F97" t="s">
        <v>204</v>
      </c>
    </row>
    <row r="98" spans="1:6">
      <c r="A98" s="119">
        <v>41316</v>
      </c>
      <c r="B98" t="s">
        <v>213</v>
      </c>
      <c r="D98" t="s">
        <v>214</v>
      </c>
      <c r="F98" t="s">
        <v>204</v>
      </c>
    </row>
    <row r="99" spans="1:6">
      <c r="A99" s="119">
        <v>41345</v>
      </c>
      <c r="B99" t="s">
        <v>213</v>
      </c>
      <c r="D99" t="s">
        <v>214</v>
      </c>
      <c r="F99" t="s">
        <v>204</v>
      </c>
    </row>
    <row r="100" spans="1:6">
      <c r="A100" s="119">
        <v>41620</v>
      </c>
      <c r="B100" t="s">
        <v>237</v>
      </c>
      <c r="D100" t="s">
        <v>421</v>
      </c>
      <c r="F100" t="s">
        <v>204</v>
      </c>
    </row>
    <row r="101" spans="1:6">
      <c r="A101" s="119" t="s">
        <v>373</v>
      </c>
      <c r="B101" t="s">
        <v>262</v>
      </c>
      <c r="D101" t="s">
        <v>421</v>
      </c>
      <c r="F101" t="s">
        <v>204</v>
      </c>
    </row>
    <row r="102" spans="1:6">
      <c r="A102" s="119" t="s">
        <v>422</v>
      </c>
      <c r="B102" t="s">
        <v>423</v>
      </c>
      <c r="D102" t="s">
        <v>421</v>
      </c>
      <c r="F102" t="s">
        <v>204</v>
      </c>
    </row>
    <row r="103" spans="1:6">
      <c r="A103" s="119"/>
    </row>
    <row r="104" spans="1:6">
      <c r="A104" s="2" t="s">
        <v>424</v>
      </c>
      <c r="E104">
        <f>SUM(C105:C138)</f>
        <v>0</v>
      </c>
    </row>
    <row r="105" spans="1:6">
      <c r="A105" s="119">
        <v>41397</v>
      </c>
      <c r="B105" t="s">
        <v>216</v>
      </c>
      <c r="D105" t="s">
        <v>217</v>
      </c>
      <c r="F105" t="s">
        <v>218</v>
      </c>
    </row>
    <row r="106" spans="1:6">
      <c r="A106" t="s">
        <v>425</v>
      </c>
      <c r="B106" t="s">
        <v>216</v>
      </c>
      <c r="D106" t="s">
        <v>217</v>
      </c>
      <c r="F106" t="s">
        <v>218</v>
      </c>
    </row>
    <row r="107" spans="1:6">
      <c r="A107" t="s">
        <v>426</v>
      </c>
      <c r="B107" t="s">
        <v>216</v>
      </c>
      <c r="D107" t="s">
        <v>217</v>
      </c>
      <c r="F107" t="s">
        <v>218</v>
      </c>
    </row>
    <row r="108" spans="1:6">
      <c r="A108" t="s">
        <v>426</v>
      </c>
      <c r="B108" t="s">
        <v>216</v>
      </c>
      <c r="D108" t="s">
        <v>217</v>
      </c>
      <c r="F108" t="s">
        <v>218</v>
      </c>
    </row>
    <row r="109" spans="1:6">
      <c r="A109" s="119">
        <v>41278</v>
      </c>
      <c r="B109" t="s">
        <v>427</v>
      </c>
      <c r="D109" t="s">
        <v>428</v>
      </c>
      <c r="F109" t="s">
        <v>218</v>
      </c>
    </row>
    <row r="110" spans="1:6">
      <c r="A110" t="s">
        <v>429</v>
      </c>
      <c r="B110" t="s">
        <v>219</v>
      </c>
      <c r="D110" t="s">
        <v>430</v>
      </c>
      <c r="F110" t="s">
        <v>218</v>
      </c>
    </row>
    <row r="111" spans="1:6">
      <c r="A111" s="119">
        <v>41431</v>
      </c>
      <c r="B111" t="s">
        <v>216</v>
      </c>
      <c r="D111" t="s">
        <v>217</v>
      </c>
      <c r="F111" t="s">
        <v>218</v>
      </c>
    </row>
    <row r="112" spans="1:6">
      <c r="A112" t="s">
        <v>431</v>
      </c>
      <c r="B112" t="s">
        <v>432</v>
      </c>
      <c r="D112" t="s">
        <v>433</v>
      </c>
      <c r="F112" t="s">
        <v>204</v>
      </c>
    </row>
    <row r="113" spans="1:6">
      <c r="A113" s="119">
        <v>41281</v>
      </c>
      <c r="B113" t="s">
        <v>216</v>
      </c>
      <c r="D113" t="s">
        <v>217</v>
      </c>
      <c r="F113" t="s">
        <v>204</v>
      </c>
    </row>
    <row r="114" spans="1:6">
      <c r="A114" s="119">
        <v>41282</v>
      </c>
      <c r="B114" t="s">
        <v>434</v>
      </c>
      <c r="D114" t="s">
        <v>217</v>
      </c>
      <c r="F114" t="s">
        <v>204</v>
      </c>
    </row>
    <row r="115" spans="1:6">
      <c r="A115" s="119" t="s">
        <v>389</v>
      </c>
      <c r="B115" t="s">
        <v>435</v>
      </c>
      <c r="D115" t="s">
        <v>217</v>
      </c>
      <c r="F115" t="s">
        <v>204</v>
      </c>
    </row>
    <row r="116" spans="1:6">
      <c r="A116" t="s">
        <v>436</v>
      </c>
      <c r="B116" t="s">
        <v>437</v>
      </c>
      <c r="D116" t="s">
        <v>438</v>
      </c>
      <c r="F116" t="s">
        <v>204</v>
      </c>
    </row>
    <row r="117" spans="1:6">
      <c r="A117" s="119">
        <v>41403</v>
      </c>
      <c r="B117" t="s">
        <v>432</v>
      </c>
      <c r="D117" t="s">
        <v>217</v>
      </c>
      <c r="F117" t="s">
        <v>204</v>
      </c>
    </row>
    <row r="118" spans="1:6">
      <c r="A118" s="119" t="s">
        <v>439</v>
      </c>
      <c r="B118" t="s">
        <v>216</v>
      </c>
      <c r="D118" t="s">
        <v>217</v>
      </c>
      <c r="F118" t="s">
        <v>204</v>
      </c>
    </row>
    <row r="119" spans="1:6">
      <c r="A119" s="119" t="s">
        <v>407</v>
      </c>
      <c r="B119" t="s">
        <v>440</v>
      </c>
      <c r="D119" t="s">
        <v>441</v>
      </c>
      <c r="F119" t="s">
        <v>204</v>
      </c>
    </row>
    <row r="120" spans="1:6">
      <c r="A120" s="119" t="s">
        <v>442</v>
      </c>
      <c r="B120" t="s">
        <v>216</v>
      </c>
      <c r="D120" t="s">
        <v>217</v>
      </c>
      <c r="F120" t="s">
        <v>204</v>
      </c>
    </row>
    <row r="121" spans="1:6">
      <c r="A121" s="119" t="s">
        <v>443</v>
      </c>
      <c r="B121" t="s">
        <v>216</v>
      </c>
      <c r="D121" t="s">
        <v>217</v>
      </c>
      <c r="F121" t="s">
        <v>204</v>
      </c>
    </row>
    <row r="122" spans="1:6">
      <c r="A122" s="119">
        <v>41343</v>
      </c>
      <c r="B122" t="s">
        <v>216</v>
      </c>
      <c r="D122" t="s">
        <v>217</v>
      </c>
      <c r="F122" t="s">
        <v>204</v>
      </c>
    </row>
    <row r="123" spans="1:6">
      <c r="A123" s="119">
        <v>41465</v>
      </c>
      <c r="B123" t="s">
        <v>432</v>
      </c>
      <c r="D123" t="s">
        <v>217</v>
      </c>
      <c r="F123" t="s">
        <v>204</v>
      </c>
    </row>
    <row r="124" spans="1:6">
      <c r="A124" s="119">
        <v>41557</v>
      </c>
      <c r="B124" t="s">
        <v>216</v>
      </c>
      <c r="D124" t="s">
        <v>217</v>
      </c>
      <c r="F124" t="s">
        <v>204</v>
      </c>
    </row>
    <row r="125" spans="1:6">
      <c r="A125" s="119" t="s">
        <v>444</v>
      </c>
      <c r="B125" t="s">
        <v>216</v>
      </c>
      <c r="D125" t="s">
        <v>217</v>
      </c>
      <c r="F125" t="s">
        <v>204</v>
      </c>
    </row>
    <row r="126" spans="1:6">
      <c r="A126" s="119" t="s">
        <v>445</v>
      </c>
      <c r="B126" t="s">
        <v>216</v>
      </c>
      <c r="D126" t="s">
        <v>217</v>
      </c>
      <c r="F126" t="s">
        <v>204</v>
      </c>
    </row>
    <row r="127" spans="1:6">
      <c r="A127" s="119" t="s">
        <v>446</v>
      </c>
      <c r="B127" t="s">
        <v>447</v>
      </c>
      <c r="D127" t="s">
        <v>448</v>
      </c>
      <c r="F127" t="s">
        <v>204</v>
      </c>
    </row>
    <row r="128" spans="1:6">
      <c r="A128" s="119">
        <v>41497</v>
      </c>
      <c r="B128" t="s">
        <v>434</v>
      </c>
      <c r="D128" t="s">
        <v>217</v>
      </c>
      <c r="F128" t="s">
        <v>204</v>
      </c>
    </row>
    <row r="129" spans="1:6">
      <c r="A129" s="119" t="s">
        <v>449</v>
      </c>
      <c r="B129" t="s">
        <v>216</v>
      </c>
      <c r="D129" t="s">
        <v>217</v>
      </c>
      <c r="F129" t="s">
        <v>204</v>
      </c>
    </row>
    <row r="130" spans="1:6">
      <c r="A130" s="119" t="s">
        <v>450</v>
      </c>
      <c r="B130" t="s">
        <v>216</v>
      </c>
      <c r="D130" t="s">
        <v>217</v>
      </c>
      <c r="F130" t="s">
        <v>204</v>
      </c>
    </row>
    <row r="131" spans="1:6">
      <c r="A131" s="119" t="s">
        <v>450</v>
      </c>
      <c r="B131" t="s">
        <v>216</v>
      </c>
      <c r="D131" t="s">
        <v>217</v>
      </c>
      <c r="F131" t="s">
        <v>204</v>
      </c>
    </row>
    <row r="132" spans="1:6">
      <c r="A132" s="119" t="s">
        <v>451</v>
      </c>
      <c r="B132" t="s">
        <v>216</v>
      </c>
      <c r="D132" t="s">
        <v>217</v>
      </c>
      <c r="F132" t="s">
        <v>204</v>
      </c>
    </row>
    <row r="133" spans="1:6">
      <c r="A133" s="119" t="s">
        <v>451</v>
      </c>
      <c r="B133" t="s">
        <v>216</v>
      </c>
      <c r="D133" t="s">
        <v>217</v>
      </c>
      <c r="F133" t="s">
        <v>204</v>
      </c>
    </row>
    <row r="134" spans="1:6">
      <c r="A134" s="119">
        <v>41620</v>
      </c>
      <c r="B134" t="s">
        <v>216</v>
      </c>
      <c r="D134" t="s">
        <v>452</v>
      </c>
      <c r="F134" t="s">
        <v>204</v>
      </c>
    </row>
    <row r="135" spans="1:6">
      <c r="A135" s="119">
        <v>41620</v>
      </c>
      <c r="B135" t="s">
        <v>216</v>
      </c>
      <c r="D135" t="s">
        <v>217</v>
      </c>
      <c r="F135" t="s">
        <v>204</v>
      </c>
    </row>
    <row r="136" spans="1:6">
      <c r="A136" s="119">
        <v>41620</v>
      </c>
      <c r="B136" t="s">
        <v>216</v>
      </c>
      <c r="D136" t="s">
        <v>217</v>
      </c>
      <c r="F136" t="s">
        <v>204</v>
      </c>
    </row>
    <row r="137" spans="1:6">
      <c r="A137" s="119" t="s">
        <v>453</v>
      </c>
      <c r="B137" t="s">
        <v>216</v>
      </c>
      <c r="D137" t="s">
        <v>217</v>
      </c>
      <c r="F137" t="s">
        <v>204</v>
      </c>
    </row>
    <row r="138" spans="1:6">
      <c r="A138" s="119" t="s">
        <v>453</v>
      </c>
      <c r="B138" t="s">
        <v>216</v>
      </c>
      <c r="D138" t="s">
        <v>217</v>
      </c>
      <c r="F138" t="s">
        <v>204</v>
      </c>
    </row>
    <row r="139" spans="1:6">
      <c r="A139" s="119"/>
    </row>
    <row r="140" spans="1:6">
      <c r="A140" s="2" t="s">
        <v>220</v>
      </c>
      <c r="E140">
        <f>SUM(C141:C156)</f>
        <v>77.47</v>
      </c>
    </row>
    <row r="141" spans="1:6">
      <c r="A141" s="119">
        <v>41947</v>
      </c>
      <c r="B141" t="s">
        <v>240</v>
      </c>
      <c r="C141">
        <v>9.6300000000000008</v>
      </c>
      <c r="D141" t="s">
        <v>506</v>
      </c>
      <c r="F141" t="s">
        <v>204</v>
      </c>
    </row>
    <row r="142" spans="1:6">
      <c r="A142" s="119" t="s">
        <v>509</v>
      </c>
      <c r="B142" t="s">
        <v>221</v>
      </c>
      <c r="C142">
        <v>58.04</v>
      </c>
      <c r="D142" t="s">
        <v>222</v>
      </c>
      <c r="F142" t="s">
        <v>204</v>
      </c>
    </row>
    <row r="143" spans="1:6">
      <c r="A143" t="s">
        <v>366</v>
      </c>
      <c r="B143" t="s">
        <v>221</v>
      </c>
      <c r="C143">
        <v>9.8000000000000007</v>
      </c>
      <c r="D143" t="s">
        <v>460</v>
      </c>
      <c r="F143" t="s">
        <v>204</v>
      </c>
    </row>
    <row r="144" spans="1:6">
      <c r="A144" t="s">
        <v>386</v>
      </c>
      <c r="B144" t="s">
        <v>221</v>
      </c>
      <c r="D144" t="s">
        <v>454</v>
      </c>
      <c r="F144" t="s">
        <v>204</v>
      </c>
    </row>
    <row r="145" spans="1:6">
      <c r="A145" t="s">
        <v>455</v>
      </c>
      <c r="B145" t="s">
        <v>221</v>
      </c>
      <c r="D145" t="s">
        <v>456</v>
      </c>
      <c r="F145" t="s">
        <v>204</v>
      </c>
    </row>
    <row r="146" spans="1:6">
      <c r="A146" s="119">
        <v>41589</v>
      </c>
      <c r="B146" t="s">
        <v>221</v>
      </c>
      <c r="D146" t="s">
        <v>224</v>
      </c>
      <c r="F146" t="s">
        <v>204</v>
      </c>
    </row>
    <row r="147" spans="1:6">
      <c r="A147" t="s">
        <v>422</v>
      </c>
      <c r="B147" t="s">
        <v>221</v>
      </c>
      <c r="D147" t="s">
        <v>222</v>
      </c>
      <c r="F147" t="s">
        <v>204</v>
      </c>
    </row>
    <row r="148" spans="1:6">
      <c r="A148" t="s">
        <v>457</v>
      </c>
      <c r="B148" t="s">
        <v>221</v>
      </c>
      <c r="D148" t="s">
        <v>222</v>
      </c>
      <c r="F148" t="s">
        <v>204</v>
      </c>
    </row>
    <row r="149" spans="1:6">
      <c r="A149" t="s">
        <v>457</v>
      </c>
      <c r="B149" t="s">
        <v>240</v>
      </c>
      <c r="D149" t="s">
        <v>458</v>
      </c>
      <c r="F149" t="s">
        <v>204</v>
      </c>
    </row>
    <row r="150" spans="1:6">
      <c r="A150" t="s">
        <v>459</v>
      </c>
      <c r="B150" t="s">
        <v>223</v>
      </c>
      <c r="D150" t="s">
        <v>460</v>
      </c>
      <c r="F150" t="s">
        <v>204</v>
      </c>
    </row>
    <row r="151" spans="1:6">
      <c r="A151" s="119">
        <v>41281</v>
      </c>
      <c r="B151" t="s">
        <v>223</v>
      </c>
      <c r="D151" t="s">
        <v>460</v>
      </c>
      <c r="F151" t="s">
        <v>204</v>
      </c>
    </row>
    <row r="152" spans="1:6">
      <c r="A152" s="119">
        <v>41281</v>
      </c>
      <c r="B152" t="s">
        <v>223</v>
      </c>
      <c r="D152" t="s">
        <v>460</v>
      </c>
      <c r="F152" t="s">
        <v>204</v>
      </c>
    </row>
    <row r="153" spans="1:6">
      <c r="A153" s="119">
        <v>41554</v>
      </c>
      <c r="B153" t="s">
        <v>223</v>
      </c>
      <c r="D153" t="s">
        <v>460</v>
      </c>
      <c r="F153" t="s">
        <v>204</v>
      </c>
    </row>
    <row r="154" spans="1:6">
      <c r="A154" s="119" t="s">
        <v>407</v>
      </c>
      <c r="B154" t="s">
        <v>223</v>
      </c>
      <c r="D154" t="s">
        <v>460</v>
      </c>
      <c r="F154" t="s">
        <v>204</v>
      </c>
    </row>
    <row r="155" spans="1:6">
      <c r="A155" s="119" t="s">
        <v>461</v>
      </c>
      <c r="B155" t="s">
        <v>223</v>
      </c>
      <c r="D155" t="s">
        <v>460</v>
      </c>
      <c r="F155" t="s">
        <v>204</v>
      </c>
    </row>
    <row r="156" spans="1:6">
      <c r="A156" s="119">
        <v>41284</v>
      </c>
      <c r="B156" t="s">
        <v>223</v>
      </c>
      <c r="D156" t="s">
        <v>460</v>
      </c>
      <c r="F156" t="s">
        <v>204</v>
      </c>
    </row>
    <row r="157" spans="1:6">
      <c r="A157" s="119"/>
    </row>
    <row r="158" spans="1:6">
      <c r="A158" s="2" t="s">
        <v>505</v>
      </c>
      <c r="E158">
        <f>SUM(C160:C163)</f>
        <v>360.66333333</v>
      </c>
    </row>
    <row r="159" spans="1:6">
      <c r="A159" s="22" t="s">
        <v>462</v>
      </c>
      <c r="C159" s="22" t="s">
        <v>463</v>
      </c>
      <c r="D159" s="22" t="s">
        <v>464</v>
      </c>
    </row>
    <row r="160" spans="1:6">
      <c r="A160" t="s">
        <v>225</v>
      </c>
      <c r="B160" t="s">
        <v>226</v>
      </c>
      <c r="C160">
        <v>65</v>
      </c>
      <c r="D160" t="s">
        <v>227</v>
      </c>
      <c r="F160" t="s">
        <v>204</v>
      </c>
    </row>
    <row r="161" spans="1:6">
      <c r="A161" t="s">
        <v>228</v>
      </c>
      <c r="B161" t="s">
        <v>229</v>
      </c>
      <c r="C161">
        <v>16.66333333</v>
      </c>
      <c r="D161" t="s">
        <v>230</v>
      </c>
      <c r="F161" t="s">
        <v>204</v>
      </c>
    </row>
    <row r="162" spans="1:6">
      <c r="A162" t="s">
        <v>228</v>
      </c>
      <c r="B162" t="s">
        <v>231</v>
      </c>
      <c r="C162">
        <v>146</v>
      </c>
      <c r="D162" t="s">
        <v>232</v>
      </c>
      <c r="F162" t="s">
        <v>204</v>
      </c>
    </row>
    <row r="163" spans="1:6">
      <c r="A163" t="s">
        <v>233</v>
      </c>
      <c r="B163" t="s">
        <v>226</v>
      </c>
      <c r="C163">
        <v>133</v>
      </c>
      <c r="D163" t="s">
        <v>234</v>
      </c>
      <c r="F163" t="s">
        <v>204</v>
      </c>
    </row>
    <row r="166" spans="1:6">
      <c r="A166" s="2" t="s">
        <v>235</v>
      </c>
      <c r="C166">
        <f>SUM(C167:C216)</f>
        <v>0</v>
      </c>
      <c r="D166" t="s">
        <v>236</v>
      </c>
      <c r="E166" s="184">
        <f>0.5*C166</f>
        <v>0</v>
      </c>
    </row>
    <row r="167" spans="1:6">
      <c r="A167" t="s">
        <v>465</v>
      </c>
      <c r="B167" t="s">
        <v>238</v>
      </c>
      <c r="D167" t="s">
        <v>239</v>
      </c>
    </row>
    <row r="168" spans="1:6">
      <c r="A168" t="s">
        <v>465</v>
      </c>
      <c r="B168" t="s">
        <v>423</v>
      </c>
      <c r="D168" t="s">
        <v>239</v>
      </c>
    </row>
    <row r="169" spans="1:6">
      <c r="A169" t="s">
        <v>466</v>
      </c>
      <c r="B169" t="s">
        <v>262</v>
      </c>
      <c r="D169" t="s">
        <v>243</v>
      </c>
      <c r="F169" t="s">
        <v>211</v>
      </c>
    </row>
    <row r="170" spans="1:6">
      <c r="A170" t="s">
        <v>466</v>
      </c>
      <c r="B170" t="s">
        <v>238</v>
      </c>
      <c r="D170" t="s">
        <v>243</v>
      </c>
    </row>
    <row r="171" spans="1:6">
      <c r="A171" t="s">
        <v>467</v>
      </c>
      <c r="B171" t="s">
        <v>468</v>
      </c>
      <c r="D171" t="s">
        <v>469</v>
      </c>
    </row>
    <row r="172" spans="1:6">
      <c r="A172" t="s">
        <v>470</v>
      </c>
      <c r="B172" t="s">
        <v>471</v>
      </c>
      <c r="D172" t="s">
        <v>243</v>
      </c>
    </row>
    <row r="173" spans="1:6">
      <c r="A173" t="s">
        <v>470</v>
      </c>
      <c r="B173" t="s">
        <v>252</v>
      </c>
      <c r="D173" t="s">
        <v>239</v>
      </c>
    </row>
    <row r="174" spans="1:6">
      <c r="A174" s="119">
        <v>41276</v>
      </c>
      <c r="B174" t="s">
        <v>472</v>
      </c>
      <c r="D174" t="s">
        <v>239</v>
      </c>
    </row>
    <row r="175" spans="1:6">
      <c r="A175" s="119">
        <v>41457</v>
      </c>
      <c r="B175" t="s">
        <v>473</v>
      </c>
      <c r="D175" t="s">
        <v>244</v>
      </c>
    </row>
    <row r="176" spans="1:6">
      <c r="A176" s="119">
        <v>41581</v>
      </c>
      <c r="B176" t="s">
        <v>474</v>
      </c>
      <c r="D176" t="s">
        <v>475</v>
      </c>
    </row>
    <row r="177" spans="1:4">
      <c r="A177" s="119" t="s">
        <v>371</v>
      </c>
      <c r="B177" t="s">
        <v>423</v>
      </c>
      <c r="D177" t="s">
        <v>244</v>
      </c>
    </row>
    <row r="178" spans="1:4">
      <c r="A178" s="119" t="s">
        <v>476</v>
      </c>
      <c r="B178" t="s">
        <v>477</v>
      </c>
      <c r="D178" t="s">
        <v>243</v>
      </c>
    </row>
    <row r="179" spans="1:4">
      <c r="A179" s="119">
        <v>41309</v>
      </c>
      <c r="B179" t="s">
        <v>478</v>
      </c>
      <c r="D179" t="s">
        <v>243</v>
      </c>
    </row>
    <row r="180" spans="1:4">
      <c r="A180" s="119">
        <v>41398</v>
      </c>
      <c r="B180" t="s">
        <v>252</v>
      </c>
      <c r="D180" t="s">
        <v>239</v>
      </c>
    </row>
    <row r="181" spans="1:4">
      <c r="A181" s="119">
        <v>41612</v>
      </c>
      <c r="B181" t="s">
        <v>252</v>
      </c>
      <c r="D181" t="s">
        <v>239</v>
      </c>
    </row>
    <row r="182" spans="1:4">
      <c r="A182" s="119" t="s">
        <v>479</v>
      </c>
      <c r="B182" t="s">
        <v>262</v>
      </c>
      <c r="D182" t="s">
        <v>243</v>
      </c>
    </row>
    <row r="183" spans="1:4">
      <c r="A183" s="119" t="s">
        <v>480</v>
      </c>
      <c r="B183" t="s">
        <v>481</v>
      </c>
      <c r="D183" t="s">
        <v>482</v>
      </c>
    </row>
    <row r="184" spans="1:4">
      <c r="A184" s="119">
        <v>41460</v>
      </c>
      <c r="B184" t="s">
        <v>238</v>
      </c>
      <c r="D184" t="s">
        <v>243</v>
      </c>
    </row>
    <row r="185" spans="1:4">
      <c r="A185" t="s">
        <v>383</v>
      </c>
      <c r="B185" t="s">
        <v>241</v>
      </c>
      <c r="D185" t="s">
        <v>239</v>
      </c>
    </row>
    <row r="186" spans="1:4">
      <c r="A186" s="119" t="s">
        <v>250</v>
      </c>
      <c r="B186" t="s">
        <v>251</v>
      </c>
      <c r="D186" t="s">
        <v>239</v>
      </c>
    </row>
    <row r="187" spans="1:4">
      <c r="A187" s="119">
        <v>41461</v>
      </c>
      <c r="B187" t="s">
        <v>483</v>
      </c>
      <c r="D187" t="s">
        <v>244</v>
      </c>
    </row>
    <row r="188" spans="1:4">
      <c r="A188" s="119">
        <v>41523</v>
      </c>
      <c r="B188" t="s">
        <v>241</v>
      </c>
      <c r="D188" t="s">
        <v>469</v>
      </c>
    </row>
    <row r="189" spans="1:4">
      <c r="A189" s="119" t="s">
        <v>259</v>
      </c>
      <c r="B189" t="s">
        <v>252</v>
      </c>
      <c r="D189" t="s">
        <v>239</v>
      </c>
    </row>
    <row r="190" spans="1:4">
      <c r="A190" s="119">
        <v>41493</v>
      </c>
      <c r="B190" t="s">
        <v>238</v>
      </c>
      <c r="D190" t="s">
        <v>239</v>
      </c>
    </row>
    <row r="191" spans="1:4">
      <c r="A191" s="119">
        <v>41493</v>
      </c>
      <c r="B191" t="s">
        <v>484</v>
      </c>
      <c r="D191" t="s">
        <v>239</v>
      </c>
    </row>
    <row r="192" spans="1:4">
      <c r="A192" s="119">
        <v>41525</v>
      </c>
      <c r="B192" t="s">
        <v>485</v>
      </c>
      <c r="D192" t="s">
        <v>486</v>
      </c>
    </row>
    <row r="193" spans="1:5">
      <c r="A193" s="119">
        <v>41525</v>
      </c>
      <c r="B193" t="s">
        <v>487</v>
      </c>
      <c r="D193" t="s">
        <v>486</v>
      </c>
    </row>
    <row r="194" spans="1:5">
      <c r="A194" s="119">
        <v>41525</v>
      </c>
      <c r="B194" t="s">
        <v>488</v>
      </c>
      <c r="D194" t="s">
        <v>486</v>
      </c>
    </row>
    <row r="195" spans="1:5">
      <c r="A195" s="119">
        <v>41555</v>
      </c>
      <c r="B195" t="s">
        <v>489</v>
      </c>
      <c r="D195" t="s">
        <v>486</v>
      </c>
    </row>
    <row r="196" spans="1:5">
      <c r="A196" s="119">
        <v>41555</v>
      </c>
      <c r="B196" t="s">
        <v>490</v>
      </c>
      <c r="D196" t="s">
        <v>486</v>
      </c>
    </row>
    <row r="197" spans="1:5">
      <c r="A197" s="119" t="s">
        <v>491</v>
      </c>
      <c r="B197" t="s">
        <v>251</v>
      </c>
      <c r="D197" t="s">
        <v>239</v>
      </c>
    </row>
    <row r="198" spans="1:5">
      <c r="A198" s="119" t="s">
        <v>461</v>
      </c>
      <c r="B198" t="s">
        <v>492</v>
      </c>
      <c r="D198" t="s">
        <v>469</v>
      </c>
    </row>
    <row r="199" spans="1:5">
      <c r="A199" t="s">
        <v>390</v>
      </c>
      <c r="B199" t="s">
        <v>493</v>
      </c>
      <c r="D199" t="s">
        <v>243</v>
      </c>
    </row>
    <row r="200" spans="1:5">
      <c r="A200" s="119" t="s">
        <v>390</v>
      </c>
      <c r="B200" t="s">
        <v>494</v>
      </c>
      <c r="D200" t="s">
        <v>243</v>
      </c>
    </row>
    <row r="201" spans="1:5">
      <c r="A201" s="119" t="s">
        <v>390</v>
      </c>
      <c r="B201" t="s">
        <v>494</v>
      </c>
      <c r="D201" t="s">
        <v>243</v>
      </c>
    </row>
    <row r="202" spans="1:5">
      <c r="A202" s="119" t="s">
        <v>409</v>
      </c>
      <c r="B202" t="s">
        <v>495</v>
      </c>
      <c r="D202" t="s">
        <v>122</v>
      </c>
      <c r="E202" t="s">
        <v>496</v>
      </c>
    </row>
    <row r="203" spans="1:5">
      <c r="A203" s="119" t="s">
        <v>409</v>
      </c>
      <c r="B203" t="s">
        <v>497</v>
      </c>
      <c r="D203" t="s">
        <v>122</v>
      </c>
      <c r="E203" t="s">
        <v>496</v>
      </c>
    </row>
    <row r="204" spans="1:5">
      <c r="A204" s="119" t="s">
        <v>498</v>
      </c>
      <c r="B204" t="s">
        <v>499</v>
      </c>
      <c r="D204" t="s">
        <v>122</v>
      </c>
      <c r="E204" t="s">
        <v>496</v>
      </c>
    </row>
    <row r="205" spans="1:5">
      <c r="A205" s="119">
        <v>41374</v>
      </c>
      <c r="B205" t="s">
        <v>500</v>
      </c>
      <c r="D205" t="s">
        <v>475</v>
      </c>
    </row>
    <row r="206" spans="1:5">
      <c r="A206" s="119">
        <v>41435</v>
      </c>
      <c r="B206" t="s">
        <v>242</v>
      </c>
      <c r="D206" t="s">
        <v>239</v>
      </c>
    </row>
    <row r="207" spans="1:5">
      <c r="A207" s="119" t="s">
        <v>444</v>
      </c>
      <c r="B207" t="s">
        <v>494</v>
      </c>
      <c r="D207" t="s">
        <v>239</v>
      </c>
    </row>
    <row r="208" spans="1:5">
      <c r="A208" s="119" t="s">
        <v>446</v>
      </c>
      <c r="B208" t="s">
        <v>489</v>
      </c>
      <c r="D208" t="s">
        <v>243</v>
      </c>
    </row>
    <row r="209" spans="1:4">
      <c r="A209" s="119">
        <v>41285</v>
      </c>
      <c r="B209" t="s">
        <v>205</v>
      </c>
      <c r="D209" t="s">
        <v>239</v>
      </c>
    </row>
    <row r="210" spans="1:4">
      <c r="A210" s="119">
        <v>41285</v>
      </c>
      <c r="B210" t="s">
        <v>251</v>
      </c>
      <c r="D210" t="s">
        <v>239</v>
      </c>
    </row>
    <row r="211" spans="1:4">
      <c r="A211" s="119">
        <v>41285</v>
      </c>
      <c r="B211" t="s">
        <v>262</v>
      </c>
      <c r="D211" t="s">
        <v>239</v>
      </c>
    </row>
    <row r="212" spans="1:4">
      <c r="A212" s="119" t="s">
        <v>412</v>
      </c>
      <c r="B212" t="s">
        <v>501</v>
      </c>
      <c r="D212" t="s">
        <v>122</v>
      </c>
    </row>
    <row r="213" spans="1:4">
      <c r="A213" s="119" t="s">
        <v>412</v>
      </c>
      <c r="B213" t="s">
        <v>237</v>
      </c>
      <c r="D213" t="s">
        <v>122</v>
      </c>
    </row>
    <row r="214" spans="1:4">
      <c r="A214" s="119" t="s">
        <v>412</v>
      </c>
      <c r="B214" t="s">
        <v>237</v>
      </c>
      <c r="D214" t="s">
        <v>122</v>
      </c>
    </row>
    <row r="215" spans="1:4">
      <c r="A215" s="119" t="s">
        <v>416</v>
      </c>
      <c r="B215" t="s">
        <v>502</v>
      </c>
      <c r="D215" t="s">
        <v>122</v>
      </c>
    </row>
    <row r="216" spans="1:4">
      <c r="A216" s="119" t="s">
        <v>503</v>
      </c>
      <c r="B216" t="s">
        <v>504</v>
      </c>
      <c r="D216" t="s">
        <v>122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35" sqref="E35"/>
    </sheetView>
  </sheetViews>
  <sheetFormatPr defaultRowHeight="12.75"/>
  <cols>
    <col min="2" max="2" width="14.28515625" customWidth="1"/>
    <col min="4" max="4" width="14" customWidth="1"/>
    <col min="5" max="5" width="15" customWidth="1"/>
  </cols>
  <sheetData>
    <row r="1" spans="1:7">
      <c r="A1" t="s">
        <v>845</v>
      </c>
      <c r="E1" t="s">
        <v>854</v>
      </c>
    </row>
    <row r="2" spans="1:7">
      <c r="B2" s="119">
        <v>38416</v>
      </c>
      <c r="C2" t="s">
        <v>846</v>
      </c>
      <c r="D2" s="263"/>
      <c r="E2" s="125">
        <v>462250</v>
      </c>
    </row>
    <row r="3" spans="1:7">
      <c r="C3" t="s">
        <v>847</v>
      </c>
      <c r="E3" s="125">
        <v>6917.01</v>
      </c>
      <c r="F3" s="268">
        <f>E3/E2</f>
        <v>1.4963785830178475E-2</v>
      </c>
    </row>
    <row r="4" spans="1:7" ht="13.5" thickBot="1">
      <c r="E4" s="264">
        <f>SUM(E2:E3)</f>
        <v>469167.01</v>
      </c>
    </row>
    <row r="5" spans="1:7" ht="13.5" thickTop="1"/>
    <row r="6" spans="1:7">
      <c r="B6" s="119">
        <v>42297</v>
      </c>
      <c r="C6" t="s">
        <v>848</v>
      </c>
      <c r="E6" s="125">
        <v>432000</v>
      </c>
    </row>
    <row r="7" spans="1:7">
      <c r="C7" t="s">
        <v>853</v>
      </c>
      <c r="E7" s="265">
        <f>E6-E2</f>
        <v>-30250</v>
      </c>
      <c r="G7" t="s">
        <v>852</v>
      </c>
    </row>
    <row r="15" spans="1:7">
      <c r="A15" s="213" t="s">
        <v>849</v>
      </c>
      <c r="E15" s="213" t="s">
        <v>864</v>
      </c>
    </row>
    <row r="16" spans="1:7">
      <c r="B16" s="119">
        <v>41348</v>
      </c>
      <c r="C16" t="s">
        <v>846</v>
      </c>
      <c r="E16" s="125">
        <v>316000</v>
      </c>
      <c r="F16" t="s">
        <v>861</v>
      </c>
    </row>
    <row r="17" spans="1:7">
      <c r="C17" t="s">
        <v>850</v>
      </c>
      <c r="E17" s="125">
        <v>3611.13</v>
      </c>
      <c r="F17" s="268">
        <f>E17/E16</f>
        <v>1.1427626582278482E-2</v>
      </c>
    </row>
    <row r="18" spans="1:7" ht="13.5" thickBot="1">
      <c r="E18" s="264">
        <f>SUM(E16:E17)</f>
        <v>319611.13</v>
      </c>
    </row>
    <row r="19" spans="1:7" ht="13.5" thickTop="1">
      <c r="B19" t="s">
        <v>856</v>
      </c>
      <c r="E19" s="216">
        <v>12741.302901920964</v>
      </c>
      <c r="F19" t="s">
        <v>862</v>
      </c>
    </row>
    <row r="21" spans="1:7" ht="13.5" thickBot="1">
      <c r="D21" t="s">
        <v>857</v>
      </c>
      <c r="E21" s="245">
        <f>E18+E19</f>
        <v>332352.43290192098</v>
      </c>
    </row>
    <row r="22" spans="1:7" ht="13.5" thickTop="1"/>
    <row r="29" spans="1:7">
      <c r="A29" t="s">
        <v>851</v>
      </c>
    </row>
    <row r="30" spans="1:7">
      <c r="B30" s="119">
        <v>42252</v>
      </c>
      <c r="C30" t="s">
        <v>846</v>
      </c>
      <c r="E30" s="125">
        <v>418000</v>
      </c>
      <c r="F30" t="s">
        <v>860</v>
      </c>
    </row>
    <row r="31" spans="1:7">
      <c r="C31" t="s">
        <v>850</v>
      </c>
      <c r="E31" s="125">
        <v>14690.78</v>
      </c>
      <c r="F31" s="268">
        <f>E31/E30</f>
        <v>3.5145406698564592E-2</v>
      </c>
      <c r="G31" t="s">
        <v>863</v>
      </c>
    </row>
    <row r="32" spans="1:7" ht="13.5" thickBot="1">
      <c r="E32" s="245">
        <f>SUM(E30:E31)</f>
        <v>432690.78</v>
      </c>
    </row>
    <row r="33" spans="3:5" ht="13.5" thickTop="1"/>
    <row r="34" spans="3:5">
      <c r="C34" t="s">
        <v>855</v>
      </c>
      <c r="E34" s="266">
        <v>125000</v>
      </c>
    </row>
    <row r="35" spans="3:5" ht="13.5" thickBot="1">
      <c r="E35" s="267">
        <f>E32+E34</f>
        <v>557690.78</v>
      </c>
    </row>
    <row r="36" spans="3:5">
      <c r="C36" s="213" t="s">
        <v>859</v>
      </c>
    </row>
    <row r="37" spans="3:5">
      <c r="C37" t="s">
        <v>858</v>
      </c>
      <c r="E37">
        <v>12781.1</v>
      </c>
    </row>
    <row r="39" spans="3:5">
      <c r="C39" t="s">
        <v>865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8" workbookViewId="0">
      <selection activeCell="W39" sqref="W39"/>
    </sheetView>
  </sheetViews>
  <sheetFormatPr defaultRowHeight="12.75"/>
  <cols>
    <col min="2" max="2" width="16.7109375" customWidth="1"/>
    <col min="14" max="15" width="9.140625" customWidth="1"/>
  </cols>
  <sheetData>
    <row r="1" spans="1:14" ht="13.5" thickBot="1">
      <c r="D1" s="285" t="s">
        <v>1059</v>
      </c>
      <c r="E1" s="285" t="s">
        <v>1061</v>
      </c>
      <c r="F1" s="285" t="s">
        <v>1060</v>
      </c>
      <c r="I1" t="s">
        <v>1075</v>
      </c>
      <c r="L1" s="286">
        <f>SUM(L3:L32)</f>
        <v>6334.68</v>
      </c>
    </row>
    <row r="2" spans="1:14">
      <c r="F2">
        <v>2477.4699999999998</v>
      </c>
    </row>
    <row r="3" spans="1:14">
      <c r="A3" s="186">
        <v>42580</v>
      </c>
      <c r="B3" t="s">
        <v>1058</v>
      </c>
      <c r="D3">
        <v>4600</v>
      </c>
      <c r="F3">
        <f>F2+D3-E3</f>
        <v>7077.4699999999993</v>
      </c>
      <c r="I3" t="s">
        <v>1076</v>
      </c>
      <c r="L3">
        <f>SUM(M4:M7)</f>
        <v>240</v>
      </c>
    </row>
    <row r="4" spans="1:14">
      <c r="A4" s="186">
        <v>42586</v>
      </c>
      <c r="B4" t="s">
        <v>598</v>
      </c>
      <c r="E4">
        <v>441.56</v>
      </c>
      <c r="F4">
        <f t="shared" ref="F4:F68" si="0">F3+D4-E4</f>
        <v>6635.9099999999989</v>
      </c>
      <c r="J4" t="s">
        <v>1063</v>
      </c>
      <c r="M4">
        <v>120</v>
      </c>
    </row>
    <row r="5" spans="1:14">
      <c r="A5" s="186">
        <v>42587</v>
      </c>
      <c r="B5" t="s">
        <v>1062</v>
      </c>
      <c r="E5">
        <v>300</v>
      </c>
      <c r="F5">
        <f t="shared" si="0"/>
        <v>6335.9099999999989</v>
      </c>
      <c r="J5" t="s">
        <v>1071</v>
      </c>
      <c r="M5">
        <v>30</v>
      </c>
    </row>
    <row r="6" spans="1:14">
      <c r="A6" s="186">
        <v>42585</v>
      </c>
      <c r="B6" t="s">
        <v>1063</v>
      </c>
      <c r="E6">
        <v>122.35</v>
      </c>
      <c r="F6">
        <f t="shared" si="0"/>
        <v>6213.5599999999986</v>
      </c>
      <c r="J6" t="s">
        <v>1071</v>
      </c>
      <c r="M6">
        <v>30</v>
      </c>
    </row>
    <row r="7" spans="1:14">
      <c r="A7" s="186">
        <v>42587</v>
      </c>
      <c r="B7" t="s">
        <v>1064</v>
      </c>
      <c r="E7">
        <v>610</v>
      </c>
      <c r="F7">
        <f t="shared" si="0"/>
        <v>5603.5599999999986</v>
      </c>
      <c r="J7" t="s">
        <v>1068</v>
      </c>
      <c r="M7">
        <v>60</v>
      </c>
    </row>
    <row r="8" spans="1:14">
      <c r="A8" s="186">
        <v>42588</v>
      </c>
      <c r="B8" t="s">
        <v>1034</v>
      </c>
      <c r="E8">
        <v>120</v>
      </c>
      <c r="F8">
        <f t="shared" si="0"/>
        <v>5483.5599999999986</v>
      </c>
    </row>
    <row r="9" spans="1:14">
      <c r="A9" s="186">
        <v>42587</v>
      </c>
      <c r="B9" t="s">
        <v>1065</v>
      </c>
      <c r="E9">
        <v>129.75</v>
      </c>
      <c r="F9">
        <f t="shared" si="0"/>
        <v>5353.8099999999986</v>
      </c>
      <c r="I9" t="s">
        <v>1077</v>
      </c>
      <c r="L9">
        <f>SUM(M10:M12)</f>
        <v>124.93000000000006</v>
      </c>
    </row>
    <row r="10" spans="1:14">
      <c r="A10" s="186">
        <v>42589</v>
      </c>
      <c r="B10" t="s">
        <v>520</v>
      </c>
      <c r="E10">
        <v>1000</v>
      </c>
      <c r="F10">
        <f t="shared" si="0"/>
        <v>4353.8099999999986</v>
      </c>
      <c r="J10" t="s">
        <v>200</v>
      </c>
      <c r="M10">
        <v>-2500</v>
      </c>
    </row>
    <row r="11" spans="1:14">
      <c r="A11" s="186">
        <v>42591</v>
      </c>
      <c r="B11" t="s">
        <v>1066</v>
      </c>
      <c r="E11">
        <v>1000</v>
      </c>
      <c r="F11">
        <f t="shared" si="0"/>
        <v>3353.8099999999986</v>
      </c>
      <c r="J11" t="s">
        <v>1067</v>
      </c>
      <c r="M11">
        <v>2014.93</v>
      </c>
    </row>
    <row r="12" spans="1:14">
      <c r="A12" s="186">
        <v>42592</v>
      </c>
      <c r="B12" t="s">
        <v>1067</v>
      </c>
      <c r="E12">
        <v>2014.93</v>
      </c>
      <c r="F12">
        <f t="shared" si="0"/>
        <v>1338.8799999999985</v>
      </c>
      <c r="J12" t="s">
        <v>1064</v>
      </c>
      <c r="M12">
        <v>610</v>
      </c>
    </row>
    <row r="13" spans="1:14">
      <c r="A13" s="186">
        <v>42594</v>
      </c>
      <c r="B13" t="s">
        <v>1058</v>
      </c>
      <c r="D13">
        <v>4600</v>
      </c>
      <c r="F13">
        <f t="shared" si="0"/>
        <v>5938.8799999999983</v>
      </c>
    </row>
    <row r="14" spans="1:14">
      <c r="A14" s="186">
        <v>42597</v>
      </c>
      <c r="B14" t="s">
        <v>75</v>
      </c>
      <c r="E14">
        <v>100</v>
      </c>
      <c r="F14">
        <f t="shared" si="0"/>
        <v>5838.8799999999983</v>
      </c>
      <c r="I14" s="213" t="s">
        <v>1078</v>
      </c>
      <c r="J14" s="213"/>
      <c r="K14" s="213"/>
      <c r="L14" s="213">
        <f>M15+M16</f>
        <v>2000</v>
      </c>
      <c r="N14" s="213" t="s">
        <v>1082</v>
      </c>
    </row>
    <row r="15" spans="1:14">
      <c r="A15" s="186">
        <v>42603</v>
      </c>
      <c r="B15" t="s">
        <v>211</v>
      </c>
      <c r="E15">
        <v>1286.8399999999999</v>
      </c>
      <c r="F15">
        <f t="shared" si="0"/>
        <v>4552.0399999999981</v>
      </c>
      <c r="J15" t="s">
        <v>1066</v>
      </c>
      <c r="M15">
        <v>1000</v>
      </c>
    </row>
    <row r="16" spans="1:14">
      <c r="A16" s="186">
        <v>42603</v>
      </c>
      <c r="B16" t="s">
        <v>1068</v>
      </c>
      <c r="E16">
        <v>60</v>
      </c>
      <c r="F16">
        <f t="shared" si="0"/>
        <v>4492.0399999999981</v>
      </c>
      <c r="J16" t="s">
        <v>1066</v>
      </c>
      <c r="M16">
        <v>1000</v>
      </c>
    </row>
    <row r="17" spans="1:14">
      <c r="A17" s="186">
        <v>42608</v>
      </c>
      <c r="B17" t="s">
        <v>1066</v>
      </c>
      <c r="E17">
        <v>1000</v>
      </c>
      <c r="F17">
        <f t="shared" si="0"/>
        <v>3492.0399999999981</v>
      </c>
    </row>
    <row r="18" spans="1:14">
      <c r="A18" s="186"/>
      <c r="B18" s="213" t="s">
        <v>1074</v>
      </c>
      <c r="C18" s="213" t="s">
        <v>1073</v>
      </c>
      <c r="D18" s="213"/>
      <c r="E18" s="213">
        <v>2000</v>
      </c>
      <c r="F18">
        <f t="shared" si="0"/>
        <v>1492.0399999999981</v>
      </c>
      <c r="I18" t="s">
        <v>38</v>
      </c>
      <c r="L18">
        <v>129.75</v>
      </c>
    </row>
    <row r="19" spans="1:14">
      <c r="A19" s="186">
        <v>42608</v>
      </c>
      <c r="B19" t="s">
        <v>1058</v>
      </c>
      <c r="D19">
        <v>4600</v>
      </c>
      <c r="F19">
        <f t="shared" si="0"/>
        <v>6092.0399999999981</v>
      </c>
    </row>
    <row r="20" spans="1:14">
      <c r="B20" t="s">
        <v>1069</v>
      </c>
      <c r="E20">
        <v>220</v>
      </c>
      <c r="F20">
        <f t="shared" si="0"/>
        <v>5872.0399999999981</v>
      </c>
      <c r="I20" t="s">
        <v>1079</v>
      </c>
      <c r="L20">
        <f>M21+M22</f>
        <v>320</v>
      </c>
    </row>
    <row r="21" spans="1:14">
      <c r="B21" t="s">
        <v>1070</v>
      </c>
      <c r="E21">
        <v>100</v>
      </c>
      <c r="F21">
        <f t="shared" si="0"/>
        <v>5772.0399999999981</v>
      </c>
      <c r="J21" t="s">
        <v>1069</v>
      </c>
      <c r="M21">
        <v>220</v>
      </c>
    </row>
    <row r="22" spans="1:14">
      <c r="B22" t="s">
        <v>1071</v>
      </c>
      <c r="E22">
        <v>30</v>
      </c>
      <c r="F22">
        <f t="shared" si="0"/>
        <v>5742.0399999999981</v>
      </c>
      <c r="J22" t="s">
        <v>1070</v>
      </c>
      <c r="M22">
        <v>100</v>
      </c>
    </row>
    <row r="23" spans="1:14">
      <c r="B23" t="s">
        <v>1071</v>
      </c>
      <c r="E23">
        <v>30</v>
      </c>
      <c r="F23">
        <f t="shared" si="0"/>
        <v>5712.0399999999981</v>
      </c>
    </row>
    <row r="24" spans="1:14">
      <c r="A24" s="186">
        <v>42615</v>
      </c>
      <c r="B24" t="s">
        <v>598</v>
      </c>
      <c r="E24">
        <v>400</v>
      </c>
      <c r="F24">
        <f t="shared" si="0"/>
        <v>5312.0399999999981</v>
      </c>
      <c r="I24" t="s">
        <v>273</v>
      </c>
      <c r="L24">
        <f>SUM(M25:M28)</f>
        <v>1520</v>
      </c>
    </row>
    <row r="25" spans="1:14">
      <c r="B25" t="s">
        <v>1062</v>
      </c>
      <c r="E25">
        <v>300</v>
      </c>
      <c r="F25">
        <f t="shared" si="0"/>
        <v>5012.0399999999981</v>
      </c>
      <c r="J25" t="s">
        <v>75</v>
      </c>
      <c r="M25">
        <v>100</v>
      </c>
    </row>
    <row r="26" spans="1:14">
      <c r="B26" t="s">
        <v>1063</v>
      </c>
      <c r="E26">
        <v>200</v>
      </c>
      <c r="F26">
        <f t="shared" si="0"/>
        <v>4812.0399999999981</v>
      </c>
      <c r="J26" t="s">
        <v>520</v>
      </c>
      <c r="M26">
        <v>1000</v>
      </c>
    </row>
    <row r="27" spans="1:14">
      <c r="B27" t="s">
        <v>1064</v>
      </c>
      <c r="E27">
        <v>610</v>
      </c>
      <c r="F27">
        <f t="shared" si="0"/>
        <v>4202.0399999999981</v>
      </c>
      <c r="J27" t="s">
        <v>1034</v>
      </c>
      <c r="M27">
        <v>120</v>
      </c>
    </row>
    <row r="28" spans="1:14">
      <c r="B28" t="s">
        <v>1034</v>
      </c>
      <c r="E28">
        <v>120</v>
      </c>
      <c r="F28">
        <f t="shared" si="0"/>
        <v>4082.0399999999981</v>
      </c>
      <c r="J28" t="s">
        <v>1062</v>
      </c>
      <c r="M28">
        <v>300</v>
      </c>
    </row>
    <row r="29" spans="1:14">
      <c r="B29" t="s">
        <v>1065</v>
      </c>
      <c r="E29">
        <v>129.75</v>
      </c>
      <c r="F29">
        <f t="shared" si="0"/>
        <v>3952.2899999999981</v>
      </c>
      <c r="J29" s="213"/>
      <c r="K29" s="213"/>
      <c r="L29" s="213"/>
      <c r="M29" s="213"/>
    </row>
    <row r="30" spans="1:14">
      <c r="B30" t="s">
        <v>520</v>
      </c>
      <c r="E30">
        <v>1000</v>
      </c>
      <c r="F30">
        <f t="shared" si="0"/>
        <v>2952.2899999999981</v>
      </c>
      <c r="I30" t="s">
        <v>1080</v>
      </c>
      <c r="L30">
        <f>M31+M32</f>
        <v>2000</v>
      </c>
    </row>
    <row r="31" spans="1:14">
      <c r="B31" t="s">
        <v>1066</v>
      </c>
      <c r="E31">
        <v>1000</v>
      </c>
      <c r="F31">
        <f t="shared" si="0"/>
        <v>1952.2899999999981</v>
      </c>
      <c r="J31" t="s">
        <v>598</v>
      </c>
      <c r="M31">
        <v>500</v>
      </c>
      <c r="N31" t="s">
        <v>1081</v>
      </c>
    </row>
    <row r="32" spans="1:14">
      <c r="A32" s="186">
        <v>42623</v>
      </c>
      <c r="B32" t="s">
        <v>1067</v>
      </c>
      <c r="D32">
        <v>2500</v>
      </c>
      <c r="E32">
        <v>2014.93</v>
      </c>
      <c r="F32">
        <f t="shared" si="0"/>
        <v>2437.3599999999979</v>
      </c>
      <c r="J32" t="s">
        <v>211</v>
      </c>
      <c r="M32">
        <v>1500</v>
      </c>
      <c r="N32" s="213" t="s">
        <v>1083</v>
      </c>
    </row>
    <row r="33" spans="1:6">
      <c r="A33" s="186">
        <v>42622</v>
      </c>
      <c r="B33" t="s">
        <v>1058</v>
      </c>
      <c r="D33">
        <v>4600</v>
      </c>
      <c r="F33">
        <f t="shared" si="0"/>
        <v>7037.3599999999979</v>
      </c>
    </row>
    <row r="34" spans="1:6">
      <c r="B34" t="s">
        <v>1072</v>
      </c>
      <c r="E34">
        <v>200</v>
      </c>
      <c r="F34">
        <f t="shared" si="0"/>
        <v>6837.3599999999979</v>
      </c>
    </row>
    <row r="35" spans="1:6">
      <c r="A35" s="186">
        <v>42634</v>
      </c>
      <c r="B35" t="s">
        <v>211</v>
      </c>
      <c r="E35">
        <v>1500</v>
      </c>
      <c r="F35">
        <f t="shared" si="0"/>
        <v>5337.3599999999979</v>
      </c>
    </row>
    <row r="36" spans="1:6">
      <c r="A36" s="186">
        <v>42634</v>
      </c>
      <c r="B36" t="s">
        <v>1068</v>
      </c>
      <c r="E36">
        <v>60</v>
      </c>
      <c r="F36">
        <f t="shared" si="0"/>
        <v>5277.3599999999979</v>
      </c>
    </row>
    <row r="37" spans="1:6">
      <c r="B37" t="s">
        <v>1066</v>
      </c>
      <c r="E37">
        <v>1000</v>
      </c>
      <c r="F37">
        <f t="shared" si="0"/>
        <v>4277.3599999999979</v>
      </c>
    </row>
    <row r="38" spans="1:6">
      <c r="A38" s="186">
        <v>42636</v>
      </c>
      <c r="B38" t="s">
        <v>1058</v>
      </c>
      <c r="D38">
        <v>4600</v>
      </c>
      <c r="F38">
        <f t="shared" si="0"/>
        <v>8877.3599999999969</v>
      </c>
    </row>
    <row r="39" spans="1:6">
      <c r="B39" t="s">
        <v>1069</v>
      </c>
      <c r="E39">
        <v>220</v>
      </c>
      <c r="F39">
        <f t="shared" si="0"/>
        <v>8657.3599999999969</v>
      </c>
    </row>
    <row r="40" spans="1:6">
      <c r="B40" t="s">
        <v>1070</v>
      </c>
      <c r="E40">
        <v>100</v>
      </c>
      <c r="F40">
        <f t="shared" si="0"/>
        <v>8557.3599999999969</v>
      </c>
    </row>
    <row r="41" spans="1:6">
      <c r="B41" t="s">
        <v>1071</v>
      </c>
      <c r="E41">
        <v>30</v>
      </c>
      <c r="F41">
        <f t="shared" si="0"/>
        <v>8527.3599999999969</v>
      </c>
    </row>
    <row r="42" spans="1:6">
      <c r="B42" t="s">
        <v>1071</v>
      </c>
      <c r="E42">
        <v>30</v>
      </c>
      <c r="F42">
        <f t="shared" si="0"/>
        <v>8497.3599999999969</v>
      </c>
    </row>
    <row r="43" spans="1:6">
      <c r="A43" s="186">
        <v>42645</v>
      </c>
      <c r="B43" t="s">
        <v>598</v>
      </c>
      <c r="E43">
        <v>400</v>
      </c>
      <c r="F43">
        <f t="shared" si="0"/>
        <v>8097.3599999999969</v>
      </c>
    </row>
    <row r="44" spans="1:6">
      <c r="B44" t="s">
        <v>1062</v>
      </c>
      <c r="E44">
        <v>300</v>
      </c>
      <c r="F44">
        <f t="shared" si="0"/>
        <v>7797.3599999999969</v>
      </c>
    </row>
    <row r="45" spans="1:6">
      <c r="B45" t="s">
        <v>1063</v>
      </c>
      <c r="E45">
        <v>150</v>
      </c>
      <c r="F45">
        <f t="shared" si="0"/>
        <v>7647.3599999999969</v>
      </c>
    </row>
    <row r="46" spans="1:6">
      <c r="B46" t="s">
        <v>1064</v>
      </c>
      <c r="E46">
        <v>610</v>
      </c>
      <c r="F46">
        <f t="shared" si="0"/>
        <v>7037.3599999999969</v>
      </c>
    </row>
    <row r="47" spans="1:6">
      <c r="B47" t="s">
        <v>1034</v>
      </c>
      <c r="E47">
        <v>120</v>
      </c>
      <c r="F47">
        <f t="shared" si="0"/>
        <v>6917.3599999999969</v>
      </c>
    </row>
    <row r="48" spans="1:6">
      <c r="B48" t="s">
        <v>1065</v>
      </c>
      <c r="E48">
        <v>129.75</v>
      </c>
      <c r="F48">
        <f t="shared" si="0"/>
        <v>6787.6099999999969</v>
      </c>
    </row>
    <row r="49" spans="1:6">
      <c r="B49" t="s">
        <v>520</v>
      </c>
      <c r="E49">
        <v>1000</v>
      </c>
      <c r="F49">
        <f t="shared" si="0"/>
        <v>5787.6099999999969</v>
      </c>
    </row>
    <row r="50" spans="1:6">
      <c r="B50" t="s">
        <v>1066</v>
      </c>
      <c r="E50">
        <v>1000</v>
      </c>
      <c r="F50">
        <f t="shared" si="0"/>
        <v>4787.6099999999969</v>
      </c>
    </row>
    <row r="51" spans="1:6">
      <c r="B51" t="s">
        <v>1067</v>
      </c>
      <c r="D51">
        <v>2500</v>
      </c>
      <c r="E51">
        <v>2014.93</v>
      </c>
      <c r="F51">
        <f t="shared" si="0"/>
        <v>5272.6799999999967</v>
      </c>
    </row>
    <row r="52" spans="1:6" s="213" customFormat="1">
      <c r="B52" s="213" t="s">
        <v>1074</v>
      </c>
      <c r="C52" s="213" t="s">
        <v>1073</v>
      </c>
      <c r="E52" s="213">
        <v>5000</v>
      </c>
      <c r="F52">
        <f t="shared" si="0"/>
        <v>272.67999999999665</v>
      </c>
    </row>
    <row r="53" spans="1:6">
      <c r="A53" s="186">
        <v>42650</v>
      </c>
      <c r="B53" t="s">
        <v>1058</v>
      </c>
      <c r="D53">
        <v>4600</v>
      </c>
      <c r="F53">
        <f t="shared" si="0"/>
        <v>4872.6799999999967</v>
      </c>
    </row>
    <row r="54" spans="1:6">
      <c r="B54" t="s">
        <v>1072</v>
      </c>
      <c r="E54">
        <v>200</v>
      </c>
      <c r="F54">
        <f t="shared" si="0"/>
        <v>4672.6799999999967</v>
      </c>
    </row>
    <row r="55" spans="1:6">
      <c r="B55" t="s">
        <v>211</v>
      </c>
      <c r="E55">
        <v>1500</v>
      </c>
      <c r="F55">
        <f t="shared" si="0"/>
        <v>3172.6799999999967</v>
      </c>
    </row>
    <row r="56" spans="1:6">
      <c r="B56" t="s">
        <v>1068</v>
      </c>
      <c r="E56">
        <v>60</v>
      </c>
      <c r="F56">
        <f t="shared" si="0"/>
        <v>3112.6799999999967</v>
      </c>
    </row>
    <row r="57" spans="1:6">
      <c r="B57" t="s">
        <v>1066</v>
      </c>
      <c r="E57">
        <v>1000</v>
      </c>
      <c r="F57">
        <f t="shared" si="0"/>
        <v>2112.6799999999967</v>
      </c>
    </row>
    <row r="58" spans="1:6">
      <c r="A58" s="186">
        <v>42664</v>
      </c>
      <c r="B58" t="s">
        <v>1058</v>
      </c>
      <c r="D58">
        <v>4600</v>
      </c>
      <c r="F58">
        <f t="shared" si="0"/>
        <v>6712.6799999999967</v>
      </c>
    </row>
    <row r="59" spans="1:6">
      <c r="B59" t="s">
        <v>1069</v>
      </c>
      <c r="E59">
        <v>220</v>
      </c>
      <c r="F59">
        <f t="shared" si="0"/>
        <v>6492.6799999999967</v>
      </c>
    </row>
    <row r="60" spans="1:6">
      <c r="B60" t="s">
        <v>1070</v>
      </c>
      <c r="E60">
        <v>100</v>
      </c>
      <c r="F60">
        <f t="shared" si="0"/>
        <v>6392.6799999999967</v>
      </c>
    </row>
    <row r="61" spans="1:6">
      <c r="B61" t="s">
        <v>1071</v>
      </c>
      <c r="E61">
        <v>30</v>
      </c>
      <c r="F61">
        <f t="shared" si="0"/>
        <v>6362.6799999999967</v>
      </c>
    </row>
    <row r="62" spans="1:6">
      <c r="B62" t="s">
        <v>1071</v>
      </c>
      <c r="E62">
        <v>30</v>
      </c>
      <c r="F62">
        <f t="shared" si="0"/>
        <v>6332.6799999999967</v>
      </c>
    </row>
    <row r="63" spans="1:6">
      <c r="A63" s="186">
        <v>42676</v>
      </c>
      <c r="B63" t="s">
        <v>598</v>
      </c>
      <c r="E63">
        <v>400</v>
      </c>
      <c r="F63">
        <f t="shared" si="0"/>
        <v>5932.6799999999967</v>
      </c>
    </row>
    <row r="64" spans="1:6">
      <c r="B64" t="s">
        <v>1062</v>
      </c>
      <c r="E64">
        <v>300</v>
      </c>
      <c r="F64">
        <f t="shared" si="0"/>
        <v>5632.6799999999967</v>
      </c>
    </row>
    <row r="65" spans="1:6">
      <c r="B65" t="s">
        <v>1063</v>
      </c>
      <c r="E65">
        <v>100</v>
      </c>
      <c r="F65">
        <f t="shared" si="0"/>
        <v>5532.6799999999967</v>
      </c>
    </row>
    <row r="66" spans="1:6">
      <c r="B66" t="s">
        <v>1064</v>
      </c>
      <c r="E66">
        <v>610</v>
      </c>
      <c r="F66">
        <f t="shared" si="0"/>
        <v>4922.6799999999967</v>
      </c>
    </row>
    <row r="67" spans="1:6">
      <c r="B67" t="s">
        <v>1034</v>
      </c>
      <c r="E67">
        <v>120</v>
      </c>
      <c r="F67">
        <f t="shared" si="0"/>
        <v>4802.6799999999967</v>
      </c>
    </row>
    <row r="68" spans="1:6">
      <c r="B68" t="s">
        <v>1065</v>
      </c>
      <c r="E68">
        <v>129.75</v>
      </c>
      <c r="F68">
        <f t="shared" si="0"/>
        <v>4672.9299999999967</v>
      </c>
    </row>
    <row r="69" spans="1:6">
      <c r="B69" t="s">
        <v>520</v>
      </c>
      <c r="E69">
        <v>1000</v>
      </c>
      <c r="F69">
        <f t="shared" ref="F69:F101" si="1">F68+D69-E69</f>
        <v>3672.9299999999967</v>
      </c>
    </row>
    <row r="70" spans="1:6">
      <c r="B70" t="s">
        <v>1066</v>
      </c>
      <c r="E70">
        <v>1000</v>
      </c>
      <c r="F70">
        <f t="shared" si="1"/>
        <v>2672.9299999999967</v>
      </c>
    </row>
    <row r="71" spans="1:6">
      <c r="B71" t="s">
        <v>1067</v>
      </c>
      <c r="D71">
        <v>2500</v>
      </c>
      <c r="E71">
        <v>2014.93</v>
      </c>
      <c r="F71">
        <f t="shared" si="1"/>
        <v>3157.9999999999964</v>
      </c>
    </row>
    <row r="72" spans="1:6">
      <c r="A72" s="186">
        <v>42678</v>
      </c>
      <c r="B72" t="s">
        <v>1058</v>
      </c>
      <c r="D72">
        <v>4600</v>
      </c>
      <c r="F72">
        <f t="shared" si="1"/>
        <v>7757.9999999999964</v>
      </c>
    </row>
    <row r="73" spans="1:6">
      <c r="B73" t="s">
        <v>1072</v>
      </c>
      <c r="E73">
        <v>200</v>
      </c>
      <c r="F73">
        <f t="shared" si="1"/>
        <v>7557.9999999999964</v>
      </c>
    </row>
    <row r="74" spans="1:6">
      <c r="B74" t="s">
        <v>211</v>
      </c>
      <c r="E74">
        <v>1500</v>
      </c>
      <c r="F74">
        <f t="shared" si="1"/>
        <v>6057.9999999999964</v>
      </c>
    </row>
    <row r="75" spans="1:6">
      <c r="B75" t="s">
        <v>1068</v>
      </c>
      <c r="E75">
        <v>60</v>
      </c>
      <c r="F75">
        <f t="shared" si="1"/>
        <v>5997.9999999999964</v>
      </c>
    </row>
    <row r="76" spans="1:6">
      <c r="B76" t="s">
        <v>1066</v>
      </c>
      <c r="E76">
        <v>1000</v>
      </c>
      <c r="F76">
        <f t="shared" si="1"/>
        <v>4997.9999999999964</v>
      </c>
    </row>
    <row r="77" spans="1:6">
      <c r="A77" s="186">
        <v>42692</v>
      </c>
      <c r="B77" t="s">
        <v>1058</v>
      </c>
      <c r="D77">
        <v>4600</v>
      </c>
      <c r="F77">
        <f t="shared" si="1"/>
        <v>9597.9999999999964</v>
      </c>
    </row>
    <row r="78" spans="1:6">
      <c r="B78" t="s">
        <v>1069</v>
      </c>
      <c r="E78">
        <v>220</v>
      </c>
      <c r="F78">
        <f t="shared" si="1"/>
        <v>9377.9999999999964</v>
      </c>
    </row>
    <row r="79" spans="1:6">
      <c r="B79" t="s">
        <v>1070</v>
      </c>
      <c r="E79">
        <v>100</v>
      </c>
      <c r="F79">
        <f t="shared" si="1"/>
        <v>9277.9999999999964</v>
      </c>
    </row>
    <row r="80" spans="1:6">
      <c r="B80" t="s">
        <v>1071</v>
      </c>
      <c r="E80">
        <v>30</v>
      </c>
      <c r="F80">
        <f t="shared" si="1"/>
        <v>9247.9999999999964</v>
      </c>
    </row>
    <row r="81" spans="1:6">
      <c r="B81" t="s">
        <v>1071</v>
      </c>
      <c r="E81">
        <v>30</v>
      </c>
      <c r="F81">
        <f t="shared" si="1"/>
        <v>9217.9999999999964</v>
      </c>
    </row>
    <row r="82" spans="1:6">
      <c r="A82" s="186">
        <v>42706</v>
      </c>
      <c r="B82" t="s">
        <v>1058</v>
      </c>
      <c r="D82">
        <v>4600</v>
      </c>
      <c r="F82">
        <f t="shared" si="1"/>
        <v>13817.999999999996</v>
      </c>
    </row>
    <row r="83" spans="1:6">
      <c r="B83" t="s">
        <v>598</v>
      </c>
      <c r="E83">
        <v>400</v>
      </c>
      <c r="F83">
        <f t="shared" si="1"/>
        <v>13417.999999999996</v>
      </c>
    </row>
    <row r="84" spans="1:6">
      <c r="B84" t="s">
        <v>1062</v>
      </c>
      <c r="E84">
        <v>300</v>
      </c>
      <c r="F84">
        <f t="shared" si="1"/>
        <v>13117.999999999996</v>
      </c>
    </row>
    <row r="85" spans="1:6">
      <c r="B85" t="s">
        <v>1063</v>
      </c>
      <c r="E85">
        <v>100</v>
      </c>
      <c r="F85">
        <f t="shared" si="1"/>
        <v>13017.999999999996</v>
      </c>
    </row>
    <row r="86" spans="1:6">
      <c r="B86" t="s">
        <v>1064</v>
      </c>
      <c r="E86">
        <v>610</v>
      </c>
      <c r="F86">
        <f t="shared" si="1"/>
        <v>12407.999999999996</v>
      </c>
    </row>
    <row r="87" spans="1:6">
      <c r="B87" t="s">
        <v>1034</v>
      </c>
      <c r="E87">
        <v>120</v>
      </c>
      <c r="F87">
        <f t="shared" si="1"/>
        <v>12287.999999999996</v>
      </c>
    </row>
    <row r="88" spans="1:6">
      <c r="B88" t="s">
        <v>1065</v>
      </c>
      <c r="E88">
        <v>129.75</v>
      </c>
      <c r="F88">
        <f t="shared" si="1"/>
        <v>12158.249999999996</v>
      </c>
    </row>
    <row r="89" spans="1:6">
      <c r="B89" t="s">
        <v>520</v>
      </c>
      <c r="E89">
        <v>1000</v>
      </c>
      <c r="F89">
        <f t="shared" si="1"/>
        <v>11158.249999999996</v>
      </c>
    </row>
    <row r="90" spans="1:6">
      <c r="B90" t="s">
        <v>1066</v>
      </c>
      <c r="E90">
        <v>1000</v>
      </c>
      <c r="F90">
        <f t="shared" si="1"/>
        <v>10158.249999999996</v>
      </c>
    </row>
    <row r="91" spans="1:6">
      <c r="B91" t="s">
        <v>1067</v>
      </c>
      <c r="D91">
        <v>2500</v>
      </c>
      <c r="E91">
        <v>2014.93</v>
      </c>
      <c r="F91">
        <f t="shared" si="1"/>
        <v>10643.319999999996</v>
      </c>
    </row>
    <row r="92" spans="1:6">
      <c r="A92" s="186">
        <v>42720</v>
      </c>
      <c r="B92" t="s">
        <v>1058</v>
      </c>
      <c r="D92">
        <v>4600</v>
      </c>
      <c r="F92">
        <f t="shared" si="1"/>
        <v>15243.319999999996</v>
      </c>
    </row>
    <row r="93" spans="1:6">
      <c r="B93" t="s">
        <v>1072</v>
      </c>
      <c r="E93">
        <v>200</v>
      </c>
      <c r="F93">
        <f t="shared" si="1"/>
        <v>15043.319999999996</v>
      </c>
    </row>
    <row r="94" spans="1:6">
      <c r="B94" t="s">
        <v>211</v>
      </c>
      <c r="E94">
        <v>1286.8399999999999</v>
      </c>
      <c r="F94">
        <f t="shared" si="1"/>
        <v>13756.479999999996</v>
      </c>
    </row>
    <row r="95" spans="1:6">
      <c r="B95" t="s">
        <v>1068</v>
      </c>
      <c r="E95">
        <v>60</v>
      </c>
      <c r="F95">
        <f t="shared" si="1"/>
        <v>13696.479999999996</v>
      </c>
    </row>
    <row r="96" spans="1:6">
      <c r="B96" t="s">
        <v>1066</v>
      </c>
      <c r="E96">
        <v>1000</v>
      </c>
      <c r="F96">
        <f t="shared" si="1"/>
        <v>12696.479999999996</v>
      </c>
    </row>
    <row r="97" spans="1:6">
      <c r="A97" s="186">
        <v>42734</v>
      </c>
      <c r="B97" t="s">
        <v>1058</v>
      </c>
      <c r="D97">
        <v>4600</v>
      </c>
      <c r="F97">
        <f t="shared" si="1"/>
        <v>17296.479999999996</v>
      </c>
    </row>
    <row r="98" spans="1:6">
      <c r="B98" t="s">
        <v>1069</v>
      </c>
      <c r="E98">
        <v>220</v>
      </c>
      <c r="F98">
        <f t="shared" si="1"/>
        <v>17076.479999999996</v>
      </c>
    </row>
    <row r="99" spans="1:6">
      <c r="B99" t="s">
        <v>1070</v>
      </c>
      <c r="E99">
        <v>100</v>
      </c>
      <c r="F99">
        <f t="shared" si="1"/>
        <v>16976.479999999996</v>
      </c>
    </row>
    <row r="100" spans="1:6">
      <c r="B100" t="s">
        <v>1071</v>
      </c>
      <c r="E100">
        <v>30</v>
      </c>
      <c r="F100">
        <f t="shared" si="1"/>
        <v>16946.479999999996</v>
      </c>
    </row>
    <row r="101" spans="1:6">
      <c r="B101" t="s">
        <v>1071</v>
      </c>
      <c r="E101">
        <v>30</v>
      </c>
      <c r="F101">
        <f t="shared" si="1"/>
        <v>16916.479999999996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550"/>
  <sheetViews>
    <sheetView topLeftCell="A57" zoomScale="96" zoomScaleNormal="96" workbookViewId="0">
      <selection activeCell="F37" sqref="F37"/>
    </sheetView>
  </sheetViews>
  <sheetFormatPr defaultColWidth="9.42578125" defaultRowHeight="13.5"/>
  <cols>
    <col min="1" max="1" width="31.7109375" style="43" customWidth="1"/>
    <col min="2" max="2" width="17" style="43" customWidth="1"/>
    <col min="3" max="3" width="13.42578125" style="43" customWidth="1"/>
    <col min="4" max="4" width="12.140625" style="43" customWidth="1"/>
    <col min="5" max="5" width="12.5703125" style="43" customWidth="1"/>
    <col min="6" max="6" width="13.85546875" style="43" customWidth="1"/>
    <col min="7" max="9" width="13.5703125" style="43" customWidth="1"/>
    <col min="10" max="10" width="12.140625" style="43" customWidth="1"/>
    <col min="11" max="11" width="3.42578125" style="43" customWidth="1"/>
    <col min="12" max="16384" width="9.42578125" style="43"/>
  </cols>
  <sheetData>
    <row r="1" spans="1:9">
      <c r="A1" s="89" t="s">
        <v>886</v>
      </c>
    </row>
    <row r="2" spans="1:9" ht="12.75" customHeight="1">
      <c r="A2" s="89" t="s">
        <v>843</v>
      </c>
    </row>
    <row r="3" spans="1:9" ht="12.75" customHeight="1">
      <c r="B3" s="89" t="s">
        <v>844</v>
      </c>
    </row>
    <row r="4" spans="1:9" ht="12.75" customHeight="1">
      <c r="B4" s="89" t="s">
        <v>887</v>
      </c>
    </row>
    <row r="5" spans="1:9">
      <c r="B5" s="89" t="s">
        <v>702</v>
      </c>
    </row>
    <row r="6" spans="1:9">
      <c r="B6" s="89" t="s">
        <v>703</v>
      </c>
    </row>
    <row r="8" spans="1:9" ht="31.15" customHeight="1">
      <c r="A8" s="49" t="s">
        <v>868</v>
      </c>
      <c r="B8" s="49"/>
      <c r="D8" s="50"/>
      <c r="F8" s="51"/>
      <c r="G8" s="60" t="s">
        <v>139</v>
      </c>
      <c r="H8" s="51"/>
      <c r="I8" s="60" t="s">
        <v>140</v>
      </c>
    </row>
    <row r="9" spans="1:9" ht="17.25" customHeight="1">
      <c r="A9" s="43" t="s">
        <v>954</v>
      </c>
      <c r="B9" s="49"/>
      <c r="D9" s="50"/>
      <c r="G9" s="232">
        <f>175000*0.55</f>
        <v>96250.000000000015</v>
      </c>
      <c r="I9" s="232">
        <f>G9/12</f>
        <v>8020.8333333333348</v>
      </c>
    </row>
    <row r="10" spans="1:9" ht="17.25" customHeight="1">
      <c r="A10" s="43" t="s">
        <v>676</v>
      </c>
      <c r="B10" s="49"/>
      <c r="D10" s="50"/>
      <c r="G10" s="43">
        <f>15000*85%</f>
        <v>12750</v>
      </c>
      <c r="I10" s="232">
        <f>G10/12</f>
        <v>1062.5</v>
      </c>
    </row>
    <row r="11" spans="1:9" ht="17.25" customHeight="1">
      <c r="A11" s="43" t="s">
        <v>955</v>
      </c>
      <c r="B11" s="49"/>
      <c r="D11" s="50"/>
      <c r="G11" s="43">
        <f>45000*0.89*0.45</f>
        <v>18022.5</v>
      </c>
      <c r="I11" s="43">
        <v>0</v>
      </c>
    </row>
    <row r="12" spans="1:9" ht="17.25" customHeight="1">
      <c r="B12" s="49"/>
      <c r="D12" s="50"/>
    </row>
    <row r="13" spans="1:9" ht="17.25" customHeight="1" thickBot="1">
      <c r="B13" s="49"/>
      <c r="D13" s="50"/>
      <c r="G13" s="233">
        <f>SUM(G9:G11)</f>
        <v>127022.50000000001</v>
      </c>
      <c r="H13" s="61"/>
      <c r="I13" s="233">
        <f>SUM(I9:I11)</f>
        <v>9083.3333333333358</v>
      </c>
    </row>
    <row r="14" spans="1:9" ht="15" customHeight="1" thickTop="1">
      <c r="A14" s="49"/>
      <c r="B14" s="53"/>
    </row>
    <row r="15" spans="1:9" ht="15" customHeight="1">
      <c r="A15" s="49"/>
      <c r="B15" s="53"/>
      <c r="F15" s="46" t="s">
        <v>30</v>
      </c>
      <c r="H15" s="52" t="s">
        <v>31</v>
      </c>
    </row>
    <row r="16" spans="1:9" ht="15" customHeight="1">
      <c r="A16" s="49"/>
      <c r="B16" s="53"/>
      <c r="F16" s="46" t="s">
        <v>32</v>
      </c>
      <c r="G16" s="43" t="s">
        <v>33</v>
      </c>
      <c r="H16" s="54" t="s">
        <v>34</v>
      </c>
      <c r="I16" s="43" t="s">
        <v>35</v>
      </c>
    </row>
    <row r="17" spans="1:9" ht="15.95" customHeight="1">
      <c r="A17" s="49" t="s">
        <v>128</v>
      </c>
      <c r="B17" s="53"/>
      <c r="F17" s="46">
        <f>Jan!G11+Feb!G12+Mar!G12+Apr!G12+May!G12+Jun!G12+July!G12+Aug!G12+Sep!G12+Oct!G12+Nov!G12+Dec!G12</f>
        <v>1350</v>
      </c>
      <c r="G17" s="43">
        <f>I17*12</f>
        <v>18000</v>
      </c>
      <c r="H17" s="55">
        <f>G17-F17</f>
        <v>16650</v>
      </c>
      <c r="I17" s="43">
        <v>1500</v>
      </c>
    </row>
    <row r="18" spans="1:9" ht="15.95" customHeight="1">
      <c r="A18" s="49"/>
      <c r="B18" s="53"/>
      <c r="F18" s="46"/>
      <c r="H18" s="55"/>
    </row>
    <row r="19" spans="1:9" ht="15.95" customHeight="1">
      <c r="A19" s="49" t="s">
        <v>880</v>
      </c>
      <c r="B19" s="53"/>
      <c r="F19" s="46">
        <f>Jan!G14+Feb!G14+Mar!G14+Apr!G14+May!G14+Jun!G14+July!G14+Aug!G14+Sep!G14+Oct!G14+Nov!G14+Dec!G14</f>
        <v>4600.2</v>
      </c>
      <c r="G19" s="43">
        <f t="shared" ref="G19:G26" si="0">I19*12</f>
        <v>4800</v>
      </c>
      <c r="H19" s="55">
        <f t="shared" ref="H19:H26" si="1">G19-F19</f>
        <v>199.80000000000018</v>
      </c>
      <c r="I19" s="43">
        <v>400</v>
      </c>
    </row>
    <row r="20" spans="1:9" ht="15.95" customHeight="1">
      <c r="A20" s="49" t="s">
        <v>129</v>
      </c>
      <c r="B20" s="53"/>
      <c r="F20" s="46">
        <f>Jan!G15+Feb!G15+Mar!G15+Apr!G15+May!G15+Jun!G15+July!G15+Aug!G15+Sep!G15+Oct!G15+Nov!G15+Dec!G15</f>
        <v>0</v>
      </c>
      <c r="G20" s="43">
        <f t="shared" si="0"/>
        <v>2400</v>
      </c>
      <c r="H20" s="55">
        <f t="shared" si="1"/>
        <v>2400</v>
      </c>
      <c r="I20" s="43">
        <v>200</v>
      </c>
    </row>
    <row r="21" spans="1:9" ht="15.95" customHeight="1">
      <c r="A21" s="49" t="s">
        <v>155</v>
      </c>
      <c r="B21" s="53"/>
      <c r="F21" s="46">
        <f>Jan!G16+Feb!G16+Mar!G16+Apr!G16+May!G16+Jun!G16+July!G16+Aug!G16+Sep!G16+Oct!G16+Nov!G16+Dec!G16</f>
        <v>0</v>
      </c>
      <c r="G21" s="43">
        <f t="shared" si="0"/>
        <v>3600</v>
      </c>
      <c r="H21" s="55">
        <f t="shared" si="1"/>
        <v>3600</v>
      </c>
      <c r="I21" s="43">
        <v>300</v>
      </c>
    </row>
    <row r="22" spans="1:9" ht="15.95" customHeight="1">
      <c r="A22" s="49" t="s">
        <v>313</v>
      </c>
      <c r="B22" s="53"/>
      <c r="F22" s="46">
        <f>Jan!G17+Feb!G17+Mar!G17+Apr!G17+May!G17+Jun!G17+July!G17+Aug!G17+Sep!G17+Oct!G17+Nov!G17+Dec!G17</f>
        <v>0</v>
      </c>
      <c r="G22" s="43">
        <f t="shared" si="0"/>
        <v>2400</v>
      </c>
      <c r="H22" s="55">
        <f t="shared" si="1"/>
        <v>2400</v>
      </c>
      <c r="I22" s="43">
        <v>200</v>
      </c>
    </row>
    <row r="23" spans="1:9" ht="15.95" customHeight="1">
      <c r="A23" s="49" t="s">
        <v>131</v>
      </c>
      <c r="B23" s="53"/>
      <c r="F23" s="46">
        <f>Jan!G18+Feb!G18+Mar!G18+Apr!G18+May!G18+Jun!G18+July!G18+Aug!G18+Sep!G18+Oct!G18+Nov!G18+Dec!G18</f>
        <v>0</v>
      </c>
      <c r="G23" s="43">
        <f t="shared" si="0"/>
        <v>600</v>
      </c>
      <c r="H23" s="55">
        <f t="shared" si="1"/>
        <v>600</v>
      </c>
      <c r="I23" s="43">
        <v>50</v>
      </c>
    </row>
    <row r="24" spans="1:9" ht="15.95" customHeight="1">
      <c r="A24" s="49" t="s">
        <v>130</v>
      </c>
      <c r="F24" s="46">
        <f>Jan!G19+Feb!G19+Mar!G19+Apr!G19+May!G19+Jun!G19+July!G19+Aug!G19+Sep!G19+Oct!G19+Nov!G19+Dec!G19</f>
        <v>0</v>
      </c>
      <c r="G24" s="43">
        <f t="shared" si="0"/>
        <v>2400</v>
      </c>
      <c r="H24" s="55">
        <f t="shared" si="1"/>
        <v>2400</v>
      </c>
      <c r="I24" s="43">
        <v>200</v>
      </c>
    </row>
    <row r="25" spans="1:9" ht="15.95" customHeight="1">
      <c r="A25" s="49" t="s">
        <v>156</v>
      </c>
      <c r="B25" s="53"/>
      <c r="F25" s="46">
        <f>Jan!G20+Feb!G20+Mar!G20+Apr!G20+May!G20+Jun!G20+July!G20+Aug!G20+Sep!G20+Oct!G20+Nov!G20+Dec!G20</f>
        <v>0</v>
      </c>
      <c r="G25" s="43">
        <f t="shared" si="0"/>
        <v>3600</v>
      </c>
      <c r="H25" s="55">
        <f t="shared" si="1"/>
        <v>3600</v>
      </c>
      <c r="I25" s="43">
        <v>300</v>
      </c>
    </row>
    <row r="26" spans="1:9" ht="15.95" customHeight="1">
      <c r="A26" s="49" t="s">
        <v>132</v>
      </c>
      <c r="B26" s="53"/>
      <c r="F26" s="46">
        <f>Jan!G22+Feb!G22+Mar!G22+Apr!G22+May!G22+Jun!G22+July!G22+Aug!G22+Sep!G22+Oct!G22+Nov!G22+Dec!G22</f>
        <v>0</v>
      </c>
      <c r="G26" s="43">
        <f t="shared" si="0"/>
        <v>0</v>
      </c>
      <c r="H26" s="55">
        <f t="shared" si="1"/>
        <v>0</v>
      </c>
      <c r="I26" s="43">
        <v>0</v>
      </c>
    </row>
    <row r="27" spans="1:9" ht="15.95" customHeight="1">
      <c r="A27" s="49"/>
      <c r="B27" s="53"/>
      <c r="F27" s="46"/>
      <c r="H27" s="55"/>
    </row>
    <row r="28" spans="1:9" ht="15.95" customHeight="1">
      <c r="A28" s="49" t="s">
        <v>123</v>
      </c>
      <c r="B28" s="53"/>
      <c r="F28" s="46">
        <f>Jan!G25+Feb!G25+Mar!G25+Apr!G25+May!G25+Jun!G25+July!G25+Aug!G25+Sep!G25+Oct!G25+Nov!G25+Dec!G25</f>
        <v>0</v>
      </c>
      <c r="G28" s="43">
        <f>I28*12</f>
        <v>6000</v>
      </c>
      <c r="H28" s="52">
        <f>G28-F28</f>
        <v>6000</v>
      </c>
      <c r="I28" s="43">
        <v>500</v>
      </c>
    </row>
    <row r="29" spans="1:9" ht="12.75" customHeight="1">
      <c r="A29" s="49" t="s">
        <v>133</v>
      </c>
      <c r="B29" s="49">
        <f>F29</f>
        <v>0</v>
      </c>
      <c r="F29" s="46">
        <f>Jan!G26+Feb!G26+Mar!G26+Apr!G26+May!G26+Jun!G26+July!G26+Aug!G26+Sep!G26+Oct!G26+Nov!G26+Dec!G26</f>
        <v>0</v>
      </c>
      <c r="G29" s="43">
        <f>I29*12</f>
        <v>3600</v>
      </c>
      <c r="H29" s="52">
        <f>G29-F29</f>
        <v>3600</v>
      </c>
      <c r="I29" s="43">
        <v>300</v>
      </c>
    </row>
    <row r="30" spans="1:9" ht="12.75" customHeight="1">
      <c r="A30" s="49"/>
      <c r="B30" s="49"/>
      <c r="C30" s="279">
        <f>H35-C35</f>
        <v>2700</v>
      </c>
      <c r="F30" s="57"/>
      <c r="G30" s="57"/>
      <c r="H30" s="59"/>
      <c r="I30" s="57"/>
    </row>
    <row r="31" spans="1:9" ht="12.75" customHeight="1" thickBot="1">
      <c r="A31" s="49"/>
      <c r="B31" s="49"/>
      <c r="F31" s="58">
        <f>SUM(F17:F29)</f>
        <v>5950.2</v>
      </c>
      <c r="G31" s="58">
        <f>SUM(G17:G29)</f>
        <v>47400</v>
      </c>
      <c r="H31" s="58">
        <f>SUM(H17:H29)</f>
        <v>41449.800000000003</v>
      </c>
      <c r="I31" s="58">
        <f>SUM(I17:I29)</f>
        <v>3950</v>
      </c>
    </row>
    <row r="32" spans="1:9" ht="12.75" customHeight="1" thickTop="1">
      <c r="A32" s="49" t="s">
        <v>319</v>
      </c>
      <c r="B32" s="166">
        <f>G13-G31-H35</f>
        <v>24339.100000000013</v>
      </c>
      <c r="H32" s="52"/>
    </row>
    <row r="33" spans="1:10" ht="12.75" customHeight="1">
      <c r="A33" s="48" t="s">
        <v>29</v>
      </c>
      <c r="B33" s="49"/>
      <c r="H33" s="52"/>
    </row>
    <row r="34" spans="1:10" ht="12.75" customHeight="1">
      <c r="B34" s="43" t="s">
        <v>510</v>
      </c>
      <c r="C34" s="43" t="s">
        <v>511</v>
      </c>
      <c r="D34" s="185" t="s">
        <v>512</v>
      </c>
      <c r="G34" s="43" t="s">
        <v>362</v>
      </c>
      <c r="H34" s="43" t="s">
        <v>147</v>
      </c>
      <c r="I34" s="52"/>
      <c r="J34" s="43" t="s">
        <v>363</v>
      </c>
    </row>
    <row r="35" spans="1:10" ht="12.75" customHeight="1" thickBot="1">
      <c r="B35" s="43">
        <f ca="1">B36+B66+B136</f>
        <v>0</v>
      </c>
      <c r="C35" s="43">
        <f>C36+C66+C136</f>
        <v>52583.4</v>
      </c>
      <c r="D35" s="43">
        <f ca="1">D36+D66+D136</f>
        <v>0</v>
      </c>
      <c r="G35" s="51">
        <f ca="1">SUM(G38:G151)</f>
        <v>0</v>
      </c>
      <c r="H35" s="51">
        <f>SUM(H38:H151)</f>
        <v>55283.4</v>
      </c>
      <c r="I35" s="51">
        <f ca="1">SUM(I38:I151)</f>
        <v>0</v>
      </c>
      <c r="J35" s="51">
        <f>SUM(J38:J151)</f>
        <v>4626.9500000000007</v>
      </c>
    </row>
    <row r="36" spans="1:10" ht="12.75" customHeight="1" thickBot="1">
      <c r="A36" s="89" t="s">
        <v>292</v>
      </c>
      <c r="B36" s="188">
        <f>B37+B50+B54+B59+G64</f>
        <v>32385.050000000003</v>
      </c>
      <c r="C36" s="188">
        <f>C37+C50+C54+C59+H64</f>
        <v>11075.400000000001</v>
      </c>
      <c r="D36" s="187">
        <f>D37+D50+D54+D59+I64</f>
        <v>-21309.65</v>
      </c>
      <c r="I36" s="52"/>
    </row>
    <row r="37" spans="1:10" ht="12.75" customHeight="1">
      <c r="A37" s="49" t="s">
        <v>278</v>
      </c>
      <c r="B37" s="49">
        <f>SUM(G38:G46)</f>
        <v>29482.200000000004</v>
      </c>
      <c r="C37" s="49">
        <f>SUM(H38:H46)</f>
        <v>5495.4000000000015</v>
      </c>
      <c r="D37" s="49">
        <f>SUM(I38:I46)</f>
        <v>-23986.800000000003</v>
      </c>
      <c r="I37" s="52"/>
    </row>
    <row r="38" spans="1:10" ht="12.75" customHeight="1">
      <c r="B38" s="43" t="s">
        <v>185</v>
      </c>
      <c r="G38" s="43">
        <f>Jan!G49+Feb!G49+Mar!G49+Apr!G49+May!G49+Jun!G49+July!G49+Aug!G49+Sep!G49+Oct!G49+Nov!G49+Dec!G49</f>
        <v>0</v>
      </c>
      <c r="H38" s="43">
        <f t="shared" ref="H38:H46" si="2">J38*12</f>
        <v>0</v>
      </c>
      <c r="I38" s="52">
        <f>H38-G38</f>
        <v>0</v>
      </c>
      <c r="J38" s="43">
        <v>0</v>
      </c>
    </row>
    <row r="39" spans="1:10" ht="12.75" customHeight="1">
      <c r="A39" s="49"/>
      <c r="B39" s="43" t="s">
        <v>280</v>
      </c>
      <c r="G39" s="43">
        <f>Jan!G50+Feb!G50+Mar!G50+Apr!G50+May!G50+Jun!G50+July!G50+Aug!G50+Sep!G50+Oct!G50+Nov!G50+Dec!G50</f>
        <v>0</v>
      </c>
      <c r="H39" s="43">
        <f t="shared" si="2"/>
        <v>0</v>
      </c>
      <c r="I39" s="52">
        <f t="shared" ref="I39:I45" si="3">H39-G39</f>
        <v>0</v>
      </c>
      <c r="J39" s="43">
        <v>0</v>
      </c>
    </row>
    <row r="40" spans="1:10" ht="12.75" customHeight="1">
      <c r="A40" s="49"/>
      <c r="B40" s="43" t="s">
        <v>281</v>
      </c>
      <c r="G40" s="43">
        <f>Jan!G51+Feb!G51+Mar!G51+Apr!G51+May!G51+Jun!G51+July!G51+Aug!G51+Sep!G51+Oct!G51+Nov!G51+Dec!G51</f>
        <v>165</v>
      </c>
      <c r="H40" s="43">
        <f t="shared" si="2"/>
        <v>1200</v>
      </c>
      <c r="I40" s="52">
        <f t="shared" si="3"/>
        <v>1035</v>
      </c>
      <c r="J40" s="43">
        <v>100</v>
      </c>
    </row>
    <row r="41" spans="1:10" ht="12.75" customHeight="1">
      <c r="A41" s="49"/>
      <c r="B41" s="43" t="s">
        <v>279</v>
      </c>
      <c r="G41" s="43">
        <f>Jan!G52+Feb!G52+Mar!G52+Apr!G52+May!G52+Jun!G52+July!G52+Aug!G52+Sep!G52+Oct!G52+Nov!G52+Dec!G52</f>
        <v>0</v>
      </c>
      <c r="H41" s="43">
        <f t="shared" si="2"/>
        <v>1200</v>
      </c>
      <c r="I41" s="52">
        <f t="shared" si="3"/>
        <v>1200</v>
      </c>
      <c r="J41" s="43">
        <v>100</v>
      </c>
    </row>
    <row r="42" spans="1:10" ht="12.75" customHeight="1">
      <c r="A42" s="49"/>
      <c r="B42" s="43" t="s">
        <v>597</v>
      </c>
      <c r="G42" s="43">
        <f>Jan!G53+Feb!G53+Mar!G53+Apr!G53+May!G53+Jun!G53+July!G53+Aug!G53+Sep!G53+Oct!G53+Nov!G53+Dec!G53</f>
        <v>7320</v>
      </c>
      <c r="H42" s="43">
        <f t="shared" si="2"/>
        <v>7320</v>
      </c>
      <c r="I42" s="52">
        <f t="shared" si="3"/>
        <v>0</v>
      </c>
      <c r="J42" s="43">
        <v>610</v>
      </c>
    </row>
    <row r="43" spans="1:10" ht="12.75" customHeight="1">
      <c r="A43" s="49"/>
      <c r="B43" s="43" t="s">
        <v>288</v>
      </c>
      <c r="G43" s="43">
        <f>Jan!G54+Feb!G54+Mar!G54+Apr!G54+May!G54+Jun!G54+July!G54+Aug!G54+Sep!G54+Oct!G54+Nov!G54+Dec!G54</f>
        <v>601</v>
      </c>
      <c r="H43" s="43">
        <f t="shared" si="2"/>
        <v>960</v>
      </c>
      <c r="I43" s="52">
        <f t="shared" si="3"/>
        <v>359</v>
      </c>
      <c r="J43" s="43">
        <v>80</v>
      </c>
    </row>
    <row r="44" spans="1:10" ht="12.75" customHeight="1">
      <c r="A44" s="49"/>
      <c r="B44" s="43" t="s">
        <v>186</v>
      </c>
      <c r="G44" s="43">
        <f>Jan!G55+Feb!G55+Mar!G55+Apr!G55+May!G55+Jun!G55+July!G55+Aug!G55+Sep!G55+Oct!G55+Nov!G55+Dec!G55</f>
        <v>47003.48</v>
      </c>
      <c r="H44" s="43">
        <f t="shared" si="2"/>
        <v>19640.16</v>
      </c>
      <c r="I44" s="52">
        <f t="shared" si="3"/>
        <v>-27363.320000000003</v>
      </c>
      <c r="J44" s="43">
        <v>1636.68</v>
      </c>
    </row>
    <row r="45" spans="1:10" ht="12.75" customHeight="1">
      <c r="A45" s="49"/>
      <c r="B45" s="43" t="s">
        <v>246</v>
      </c>
      <c r="G45" s="43">
        <f>Jan!G56+Feb!G56+Mar!G56+Apr!G56+May!G56+Jun!G56+July!G56+Aug!G56+Sep!G56+Oct!G56+Nov!G56+Dec!G56</f>
        <v>4392.7199999999993</v>
      </c>
      <c r="H45" s="43">
        <f t="shared" si="2"/>
        <v>5175.24</v>
      </c>
      <c r="I45" s="52">
        <f t="shared" si="3"/>
        <v>782.52000000000044</v>
      </c>
      <c r="J45" s="43">
        <v>431.27</v>
      </c>
    </row>
    <row r="46" spans="1:10" ht="12.75" customHeight="1">
      <c r="A46" s="49"/>
      <c r="B46" s="43" t="s">
        <v>200</v>
      </c>
      <c r="G46" s="43">
        <f>Jan!G57+Feb!G57+Mar!G57+Apr!G57+May!G57+Jun!G57+July!G57+Aug!G57+Sep!G57+Oct!G57+Nov!G57+Dec!G57</f>
        <v>-30000</v>
      </c>
      <c r="H46" s="43">
        <f t="shared" si="2"/>
        <v>-30000</v>
      </c>
      <c r="I46" s="52">
        <f>H46-G46</f>
        <v>0</v>
      </c>
      <c r="J46" s="43">
        <v>-2500</v>
      </c>
    </row>
    <row r="47" spans="1:10" ht="12.75" customHeight="1">
      <c r="I47" s="52"/>
    </row>
    <row r="48" spans="1:10" ht="12.75" customHeight="1">
      <c r="I48" s="52"/>
    </row>
    <row r="49" spans="1:10" ht="12.75" customHeight="1">
      <c r="A49" s="49" t="s">
        <v>286</v>
      </c>
      <c r="I49" s="52"/>
    </row>
    <row r="50" spans="1:10" ht="12.75" customHeight="1">
      <c r="A50" s="49"/>
      <c r="B50" s="49">
        <f>SUM(G51:G52)</f>
        <v>1490.73</v>
      </c>
      <c r="C50" s="49">
        <f>SUM(H51:H52)</f>
        <v>3120</v>
      </c>
      <c r="D50" s="49">
        <f>C50-B50</f>
        <v>1629.27</v>
      </c>
      <c r="I50" s="52"/>
    </row>
    <row r="51" spans="1:10" ht="12.75" customHeight="1">
      <c r="A51" s="49"/>
      <c r="B51" s="43" t="s">
        <v>881</v>
      </c>
      <c r="G51" s="43">
        <f>Jan!G62+Feb!G62+Mar!G62+Apr!G62+May!G62+Jun!G62+July!G62+Aug!G62+Sep!G62+Oct!G62+Nov!G62+Dec!G62</f>
        <v>850.54</v>
      </c>
      <c r="H51" s="43">
        <f>J51*12</f>
        <v>1800</v>
      </c>
      <c r="I51" s="52">
        <f>H51-G51</f>
        <v>949.46</v>
      </c>
      <c r="J51" s="43">
        <v>150</v>
      </c>
    </row>
    <row r="52" spans="1:10" ht="12.75" customHeight="1">
      <c r="A52" s="49"/>
      <c r="B52" s="43" t="s">
        <v>290</v>
      </c>
      <c r="D52" s="56"/>
      <c r="G52" s="43">
        <f>Jan!G63+Feb!G63+Mar!G63+Apr!G63+May!G63+Jun!G63+July!G63+Aug!G63+Sep!G63+Oct!G63+Nov!G63+Dec!G63</f>
        <v>640.18999999999994</v>
      </c>
      <c r="H52" s="43">
        <f>J52*12</f>
        <v>1320</v>
      </c>
      <c r="I52" s="52">
        <f>H52-G52</f>
        <v>679.81000000000006</v>
      </c>
      <c r="J52" s="43">
        <v>110</v>
      </c>
    </row>
    <row r="53" spans="1:10" ht="12.75" customHeight="1">
      <c r="A53" s="49"/>
      <c r="I53" s="52"/>
    </row>
    <row r="54" spans="1:10" ht="12.75" customHeight="1">
      <c r="A54" s="49" t="s">
        <v>287</v>
      </c>
      <c r="B54" s="49">
        <f>SUM(G55:G57)</f>
        <v>209.01</v>
      </c>
      <c r="C54" s="49">
        <f>SUM(H55:H57)</f>
        <v>720</v>
      </c>
      <c r="D54" s="49">
        <f>C54-B54</f>
        <v>510.99</v>
      </c>
      <c r="I54" s="52"/>
    </row>
    <row r="55" spans="1:10" ht="12.75" customHeight="1">
      <c r="B55" s="43" t="s">
        <v>902</v>
      </c>
      <c r="G55" s="43">
        <f>Jan!G66+Feb!G66+Mar!G66+Apr!G66+May!G66+Jun!G66+July!G66+Aug!G66+Sep!G66+Oct!G66+Nov!G66+Dec!G66</f>
        <v>137.25</v>
      </c>
      <c r="H55" s="43">
        <f>J55*12</f>
        <v>360</v>
      </c>
      <c r="I55" s="52">
        <f>H55-G55</f>
        <v>222.75</v>
      </c>
      <c r="J55" s="43">
        <v>30</v>
      </c>
    </row>
    <row r="56" spans="1:10" ht="12.75" customHeight="1">
      <c r="B56" s="43" t="s">
        <v>903</v>
      </c>
      <c r="G56" s="43">
        <f>Jan!G67+Feb!G67+Mar!G67+Apr!G67+May!G67+Jun!G67+July!G67+Aug!G67+Sep!G67+Oct!G67+Nov!G67+Dec!G67</f>
        <v>19.010000000000002</v>
      </c>
      <c r="I56" s="52"/>
      <c r="J56" s="43">
        <v>20</v>
      </c>
    </row>
    <row r="57" spans="1:10" ht="12.75" customHeight="1">
      <c r="B57" s="43" t="s">
        <v>904</v>
      </c>
      <c r="D57" s="43" t="s">
        <v>901</v>
      </c>
      <c r="G57" s="43">
        <f>Jan!G68+Feb!G68+Mar!G68+Apr!G68+May!G68+Jun!G68+July!G68+Aug!G68+Sep!G68+Oct!G68+Nov!G68+Dec!G68</f>
        <v>52.75</v>
      </c>
      <c r="H57" s="43">
        <f>J57*12</f>
        <v>360</v>
      </c>
      <c r="I57" s="52">
        <f>H57-G57</f>
        <v>307.25</v>
      </c>
      <c r="J57" s="43">
        <v>30</v>
      </c>
    </row>
    <row r="58" spans="1:10" ht="12.75" customHeight="1">
      <c r="I58" s="52"/>
    </row>
    <row r="59" spans="1:10" ht="12.75" customHeight="1">
      <c r="A59" s="49" t="s">
        <v>282</v>
      </c>
      <c r="B59" s="49">
        <f>SUM(G60:G62)</f>
        <v>744.75</v>
      </c>
      <c r="C59" s="49">
        <f>SUM(H60:H62)</f>
        <v>840</v>
      </c>
      <c r="D59" s="49">
        <f>C59-B59</f>
        <v>95.25</v>
      </c>
      <c r="I59" s="52"/>
    </row>
    <row r="60" spans="1:10" ht="12.75" customHeight="1">
      <c r="B60" s="43" t="s">
        <v>283</v>
      </c>
      <c r="G60" s="43">
        <f>Jan!G71+Feb!G71+Mar!G71+Apr!G71+May!G71+Jun!G71+July!G71+Aug!G71+Sep!G71+Oct!G71+Nov!G71+Dec!G71</f>
        <v>466.68000000000006</v>
      </c>
      <c r="H60" s="43">
        <f>J60*12</f>
        <v>300</v>
      </c>
      <c r="I60" s="52">
        <f>H60-G60</f>
        <v>-166.68000000000006</v>
      </c>
      <c r="J60" s="43">
        <v>25</v>
      </c>
    </row>
    <row r="61" spans="1:10" ht="12.75" customHeight="1">
      <c r="A61" s="49"/>
      <c r="B61" s="43" t="s">
        <v>284</v>
      </c>
      <c r="G61" s="43">
        <f>Jan!G72+Feb!G72+Mar!G72+Apr!G72+May!G72+Jun!G72+July!G72+Aug!G72+Sep!G72+Oct!G72+Nov!G72+Dec!G72</f>
        <v>0</v>
      </c>
      <c r="H61" s="43">
        <f>J61*12</f>
        <v>300</v>
      </c>
      <c r="I61" s="52">
        <f>H61-G61</f>
        <v>300</v>
      </c>
      <c r="J61" s="43">
        <v>25</v>
      </c>
    </row>
    <row r="62" spans="1:10" ht="12.75" customHeight="1">
      <c r="A62" s="49"/>
      <c r="B62" s="43" t="s">
        <v>289</v>
      </c>
      <c r="G62" s="43">
        <f>Jan!G73+Feb!G73+Mar!G73+Apr!G73+May!G73+Jun!G73+July!G73+Aug!G73+Sep!G73+Oct!G73+Nov!G73+Dec!G73</f>
        <v>278.07</v>
      </c>
      <c r="H62" s="43">
        <f>J62*12</f>
        <v>240</v>
      </c>
      <c r="I62" s="52">
        <f>H62-G62</f>
        <v>-38.069999999999993</v>
      </c>
      <c r="J62" s="43">
        <v>20</v>
      </c>
    </row>
    <row r="63" spans="1:10" ht="12.75" customHeight="1">
      <c r="A63" s="49"/>
      <c r="I63" s="52"/>
    </row>
    <row r="64" spans="1:10" ht="12.75" customHeight="1">
      <c r="A64" s="49" t="s">
        <v>285</v>
      </c>
      <c r="B64" s="43" t="s">
        <v>45</v>
      </c>
      <c r="G64" s="43">
        <f>Jan!G75+Feb!G75+Mar!G75+Apr!G75+May!G75+Jun!G75+July!G75+Aug!G75+Sep!G75+Oct!G75+Nov!G75+Dec!G75</f>
        <v>458.36000000000007</v>
      </c>
      <c r="H64" s="43">
        <f>J64*12</f>
        <v>900</v>
      </c>
      <c r="I64" s="52">
        <f>H64-G64</f>
        <v>441.63999999999993</v>
      </c>
      <c r="J64" s="43">
        <v>75</v>
      </c>
    </row>
    <row r="65" spans="1:12" ht="12.75" customHeight="1" thickBot="1">
      <c r="A65" s="49"/>
      <c r="I65" s="52"/>
    </row>
    <row r="66" spans="1:12" ht="12.75" customHeight="1" thickBot="1">
      <c r="A66" s="89" t="s">
        <v>291</v>
      </c>
      <c r="B66" s="187">
        <f>B69+B75+B80+B89+B94+B100+B106+B119+B122+B127+B130</f>
        <v>21089.15</v>
      </c>
      <c r="C66" s="187">
        <f>C69+C75+C80+C89+C94+C100+C106+C119+C122+C127+C130</f>
        <v>34188</v>
      </c>
      <c r="D66" s="187">
        <f>D69+D75+D80+D89+D94+D100+D106+D119+D122+D127+D130</f>
        <v>13098.85</v>
      </c>
      <c r="I66" s="52"/>
    </row>
    <row r="67" spans="1:12" ht="12.75" customHeight="1">
      <c r="A67" s="89"/>
      <c r="B67" s="195"/>
      <c r="C67" s="195"/>
      <c r="D67" s="195"/>
      <c r="I67" s="52"/>
    </row>
    <row r="68" spans="1:12" ht="12.75" customHeight="1">
      <c r="A68" s="49" t="s">
        <v>905</v>
      </c>
      <c r="I68" s="52"/>
    </row>
    <row r="69" spans="1:12" ht="12.75" customHeight="1">
      <c r="A69" s="49" t="s">
        <v>885</v>
      </c>
      <c r="B69" s="49">
        <f>SUM(G70:G73)</f>
        <v>1681.2000000000003</v>
      </c>
      <c r="C69" s="49">
        <f>SUM(H70:H73)</f>
        <v>3480</v>
      </c>
      <c r="D69" s="49">
        <f>C69-B69</f>
        <v>1798.7999999999997</v>
      </c>
      <c r="I69" s="52"/>
    </row>
    <row r="70" spans="1:12" ht="12.75" customHeight="1">
      <c r="B70" s="43" t="s">
        <v>25</v>
      </c>
      <c r="D70" s="43" t="s">
        <v>882</v>
      </c>
      <c r="G70" s="43">
        <f>Jan!G81+Feb!G81+Mar!G81+Apr!G81+May!G81+Jun!G81+July!G81+Aug!G81+Sep!G81+Oct!G81+Nov!G81+Dec!G81</f>
        <v>632.44000000000005</v>
      </c>
      <c r="H70" s="43">
        <f>J70*12</f>
        <v>1200</v>
      </c>
      <c r="I70" s="52">
        <f>H70-G70</f>
        <v>567.55999999999995</v>
      </c>
      <c r="J70" s="43">
        <v>100</v>
      </c>
    </row>
    <row r="71" spans="1:12" ht="12.75" customHeight="1">
      <c r="B71" s="43" t="s">
        <v>596</v>
      </c>
      <c r="D71" s="43" t="s">
        <v>883</v>
      </c>
      <c r="G71" s="43">
        <f>Jan!G82+Feb!G82+Mar!G82+Apr!G82+May!G82+Jun!G82+July!G82+Aug!G82+Sep!G82+Oct!G82+Nov!G82+Dec!G82</f>
        <v>415.36</v>
      </c>
      <c r="H71" s="43">
        <f>J71*12</f>
        <v>720</v>
      </c>
      <c r="I71" s="52">
        <f>H71-G71</f>
        <v>304.64</v>
      </c>
      <c r="J71" s="43">
        <v>60</v>
      </c>
    </row>
    <row r="72" spans="1:12" ht="12.75" customHeight="1">
      <c r="B72" s="43" t="s">
        <v>602</v>
      </c>
      <c r="C72" s="43" t="s">
        <v>733</v>
      </c>
      <c r="D72" s="43" t="s">
        <v>617</v>
      </c>
      <c r="G72" s="43">
        <f>Jan!G83+Feb!G83+Mar!G83+Apr!G83+May!G83+Jun!G83+July!G83+Aug!G83+Sep!G83+Oct!G83+Nov!G83+Dec!G83</f>
        <v>401.88000000000011</v>
      </c>
      <c r="H72" s="43">
        <f>J72*12</f>
        <v>1200</v>
      </c>
      <c r="I72" s="52">
        <f>H72-G72</f>
        <v>798.11999999999989</v>
      </c>
      <c r="J72" s="43">
        <v>100</v>
      </c>
    </row>
    <row r="73" spans="1:12" ht="12.75" customHeight="1">
      <c r="B73" s="43" t="s">
        <v>890</v>
      </c>
      <c r="C73" s="43" t="s">
        <v>733</v>
      </c>
      <c r="D73" s="43" t="s">
        <v>617</v>
      </c>
      <c r="G73" s="43">
        <f>Jan!G84+Feb!G84+Mar!G84+Apr!G84+May!G84+Jun!G84+July!G84+Aug!G84+Sep!G84+Oct!G84+Nov!G84+Dec!G84</f>
        <v>231.51999999999998</v>
      </c>
      <c r="H73" s="43">
        <f>J73*12</f>
        <v>360</v>
      </c>
      <c r="I73" s="52">
        <f>H73-G73</f>
        <v>128.48000000000002</v>
      </c>
      <c r="J73" s="43">
        <v>30</v>
      </c>
    </row>
    <row r="74" spans="1:12" ht="12.75" customHeight="1">
      <c r="I74" s="52"/>
    </row>
    <row r="75" spans="1:12" ht="12.75" customHeight="1">
      <c r="A75" s="49" t="s">
        <v>37</v>
      </c>
      <c r="B75" s="49">
        <f>SUM(G76:G78)</f>
        <v>571.25</v>
      </c>
      <c r="C75" s="49">
        <f>SUM(H76:H78)</f>
        <v>4032</v>
      </c>
      <c r="D75" s="49">
        <f>C75-B75</f>
        <v>3460.75</v>
      </c>
      <c r="I75" s="52"/>
    </row>
    <row r="76" spans="1:12" ht="12.75" customHeight="1">
      <c r="B76" s="43" t="s">
        <v>884</v>
      </c>
      <c r="D76" s="43" t="s">
        <v>896</v>
      </c>
      <c r="G76" s="43">
        <f>Jan!G87+Feb!G87+Mar!G87+Apr!G87+May!G87+Jun!G87+July!G87+Aug!G87+Sep!G87+Oct!G87+Nov!G87+Dec!G87</f>
        <v>0</v>
      </c>
      <c r="H76" s="43">
        <f>J76*12</f>
        <v>1200</v>
      </c>
      <c r="I76" s="52">
        <f>H76-G76</f>
        <v>1200</v>
      </c>
      <c r="J76" s="43">
        <v>100</v>
      </c>
      <c r="L76" s="43" t="s">
        <v>891</v>
      </c>
    </row>
    <row r="77" spans="1:12" ht="12.75" customHeight="1">
      <c r="B77" s="43" t="s">
        <v>38</v>
      </c>
      <c r="D77" s="43" t="s">
        <v>642</v>
      </c>
      <c r="G77" s="43">
        <f>Jan!G88+Feb!G88+Mar!G88+Apr!G88+May!G88+Jun!G88+July!G88+Aug!G88+Sep!G88+Oct!G88+Nov!G88+Dec!G88</f>
        <v>571.25</v>
      </c>
      <c r="H77" s="43">
        <f>J77*12</f>
        <v>2400</v>
      </c>
      <c r="I77" s="52">
        <f>H77-G77</f>
        <v>1828.75</v>
      </c>
      <c r="J77" s="43">
        <v>200</v>
      </c>
    </row>
    <row r="78" spans="1:12" ht="12.75" customHeight="1">
      <c r="B78" s="43" t="s">
        <v>39</v>
      </c>
      <c r="D78" s="43" t="s">
        <v>643</v>
      </c>
      <c r="G78" s="43">
        <f>Jan!G89+Feb!G89+Mar!G89+Apr!G89+May!G89+Jun!G89+July!G89+Aug!G89+Sep!G89+Oct!G89+Nov!G89+Dec!G89</f>
        <v>0</v>
      </c>
      <c r="H78" s="43">
        <f>J78*12</f>
        <v>432</v>
      </c>
      <c r="I78" s="52">
        <f>H78-G78</f>
        <v>432</v>
      </c>
      <c r="J78" s="43">
        <v>36</v>
      </c>
    </row>
    <row r="79" spans="1:12" ht="12.75" customHeight="1">
      <c r="I79" s="52"/>
    </row>
    <row r="80" spans="1:12" ht="12.75" customHeight="1">
      <c r="A80" s="49" t="s">
        <v>40</v>
      </c>
      <c r="B80" s="49">
        <f>SUM(G81:G87)</f>
        <v>11.45</v>
      </c>
      <c r="C80" s="49">
        <f>SUM(H81:H87)</f>
        <v>2136</v>
      </c>
      <c r="D80" s="49">
        <f>C80-B80</f>
        <v>2124.5500000000002</v>
      </c>
      <c r="I80" s="52"/>
    </row>
    <row r="81" spans="1:10" ht="12.75" customHeight="1">
      <c r="B81" s="43" t="s">
        <v>293</v>
      </c>
      <c r="G81" s="43">
        <f>Jan!G92+Feb!G92+Mar!G92+Apr!G92+May!G92+Jun!G92+July!G92+Aug!G92+Sep!G92+Oct!G92+Nov!G92+Dec!G92</f>
        <v>11.45</v>
      </c>
      <c r="H81" s="43">
        <f t="shared" ref="H81:H86" si="4">J81*12</f>
        <v>240</v>
      </c>
      <c r="I81" s="52">
        <f t="shared" ref="I81:I87" si="5">H81-G81</f>
        <v>228.55</v>
      </c>
      <c r="J81" s="43">
        <v>20</v>
      </c>
    </row>
    <row r="82" spans="1:10" ht="12.75" customHeight="1">
      <c r="B82" s="43" t="s">
        <v>294</v>
      </c>
      <c r="G82" s="43">
        <f>Jan!G93+Feb!G93+Mar!G93+Apr!G93+May!G93+Jun!G93+July!G93+Aug!G93+Sep!G93+Oct!G93+Nov!G93+Dec!G93</f>
        <v>0</v>
      </c>
      <c r="H82" s="43">
        <f t="shared" si="4"/>
        <v>60</v>
      </c>
      <c r="I82" s="52">
        <f t="shared" si="5"/>
        <v>60</v>
      </c>
      <c r="J82" s="43">
        <v>5</v>
      </c>
    </row>
    <row r="83" spans="1:10" ht="12.75" customHeight="1">
      <c r="B83" s="43" t="s">
        <v>165</v>
      </c>
      <c r="G83" s="43">
        <f>Jan!G94+Feb!G94+Mar!G94+Apr!G94+May!G94+Jun!G94+July!G94+Aug!G94+Sep!G94+Oct!G94+Nov!G94+Dec!G94</f>
        <v>0</v>
      </c>
      <c r="H83" s="43">
        <f t="shared" si="4"/>
        <v>780</v>
      </c>
      <c r="I83" s="52">
        <f t="shared" si="5"/>
        <v>780</v>
      </c>
      <c r="J83" s="43">
        <v>65</v>
      </c>
    </row>
    <row r="84" spans="1:10" ht="12.75" customHeight="1">
      <c r="B84" s="43" t="s">
        <v>127</v>
      </c>
      <c r="G84" s="43">
        <f>Jan!G95+Feb!G95+Mar!G95+Apr!G95+May!G95+Jun!G95+July!G95+Aug!G95+Sep!G95+Oct!G95+Nov!G95+Dec!G95</f>
        <v>0</v>
      </c>
      <c r="H84" s="43">
        <f t="shared" si="4"/>
        <v>180</v>
      </c>
      <c r="I84" s="52">
        <f t="shared" si="5"/>
        <v>180</v>
      </c>
      <c r="J84" s="43">
        <v>15</v>
      </c>
    </row>
    <row r="85" spans="1:10" ht="12.75" customHeight="1">
      <c r="B85" s="43" t="s">
        <v>906</v>
      </c>
      <c r="G85" s="43">
        <f>Jan!G96+Feb!G96+Mar!G96+Apr!G96+May!G96+Jun!G96+July!G96+Aug!G96+Sep!G96+Oct!G96+Nov!G96+Dec!G96</f>
        <v>0</v>
      </c>
      <c r="H85" s="43">
        <f t="shared" si="4"/>
        <v>420</v>
      </c>
      <c r="I85" s="52">
        <f t="shared" si="5"/>
        <v>420</v>
      </c>
      <c r="J85" s="43">
        <v>35</v>
      </c>
    </row>
    <row r="86" spans="1:10" ht="12.75" customHeight="1">
      <c r="B86" s="43" t="s">
        <v>295</v>
      </c>
      <c r="G86" s="43">
        <f>Jan!G97+Feb!G97+Mar!G97+Apr!G97+May!G97+Jun!G97+July!G97+Aug!G97+Sep!G97+Oct!G97+Nov!G97+Dec!G97</f>
        <v>0</v>
      </c>
      <c r="H86" s="43">
        <f t="shared" si="4"/>
        <v>312</v>
      </c>
      <c r="I86" s="52">
        <f t="shared" si="5"/>
        <v>312</v>
      </c>
      <c r="J86" s="43">
        <v>26</v>
      </c>
    </row>
    <row r="87" spans="1:10" ht="12.75" customHeight="1">
      <c r="B87" s="43" t="s">
        <v>296</v>
      </c>
      <c r="G87" s="43">
        <f>Jan!G98+Feb!G98+Mar!G98+Apr!G98+May!G98+Jun!G98+July!G98+Aug!G98+Sep!G98+Oct!G98+Nov!G98+Dec!G98</f>
        <v>0</v>
      </c>
      <c r="H87" s="43">
        <f>J87*12</f>
        <v>144</v>
      </c>
      <c r="I87" s="52">
        <f t="shared" si="5"/>
        <v>144</v>
      </c>
      <c r="J87" s="43">
        <v>12</v>
      </c>
    </row>
    <row r="88" spans="1:10" ht="12.75" customHeight="1">
      <c r="I88" s="52"/>
    </row>
    <row r="89" spans="1:10" ht="12.75" customHeight="1">
      <c r="A89" s="49" t="s">
        <v>108</v>
      </c>
      <c r="B89" s="49">
        <f>SUM(G90:G92)</f>
        <v>1229.69</v>
      </c>
      <c r="C89" s="49">
        <f>SUM(H90:H92)</f>
        <v>2040</v>
      </c>
      <c r="D89" s="49">
        <f>C89-B89</f>
        <v>810.31</v>
      </c>
      <c r="I89" s="52"/>
    </row>
    <row r="90" spans="1:10" ht="12.75" customHeight="1">
      <c r="B90" s="43" t="s">
        <v>322</v>
      </c>
      <c r="G90" s="43">
        <f>Jan!G101+Feb!G101+Mar!G101+Apr!G101+May!G101+Jun!G101+July!G101+Aug!G101+Sep!G101+Oct!G101+Nov!G101+Dec!G101</f>
        <v>0</v>
      </c>
      <c r="H90" s="43">
        <f>J90*12</f>
        <v>720</v>
      </c>
      <c r="I90" s="52">
        <f>H90-G90</f>
        <v>720</v>
      </c>
      <c r="J90" s="43">
        <v>60</v>
      </c>
    </row>
    <row r="91" spans="1:10" ht="12.75" customHeight="1">
      <c r="B91" s="89" t="s">
        <v>645</v>
      </c>
      <c r="G91" s="43">
        <f>Jan!G102+Feb!G102+Mar!G102+Apr!G102+May!G102+Jun!G102+July!G102+Aug!G102+Sep!G102+Oct!G102+Nov!G102+Dec!G102</f>
        <v>1229.69</v>
      </c>
      <c r="H91" s="43">
        <f>J91*12</f>
        <v>1200</v>
      </c>
      <c r="I91" s="52">
        <f>H91-G91</f>
        <v>-29.690000000000055</v>
      </c>
      <c r="J91" s="43">
        <v>100</v>
      </c>
    </row>
    <row r="92" spans="1:10" ht="12.75" customHeight="1">
      <c r="B92" s="43" t="s">
        <v>126</v>
      </c>
      <c r="G92" s="43">
        <f>Jan!G103+Feb!G103+Mar!G103+Apr!G103+May!G103+Jun!G103+July!G103+Aug!G103+Sep!G103+Oct!G103+Nov!G103+Dec!G103</f>
        <v>0</v>
      </c>
      <c r="H92" s="43">
        <f>J92*12</f>
        <v>120</v>
      </c>
      <c r="I92" s="52">
        <f>H92-G92</f>
        <v>120</v>
      </c>
      <c r="J92" s="43">
        <v>10</v>
      </c>
    </row>
    <row r="93" spans="1:10" ht="12.75" customHeight="1">
      <c r="I93" s="52"/>
    </row>
    <row r="94" spans="1:10" ht="12.75" customHeight="1">
      <c r="A94" s="49" t="s">
        <v>44</v>
      </c>
      <c r="B94" s="49">
        <f>SUM(G95:G97)</f>
        <v>872.47</v>
      </c>
      <c r="C94" s="49">
        <f>SUM(H95:H97)</f>
        <v>2400</v>
      </c>
      <c r="D94" s="49">
        <f>C94-B94</f>
        <v>1527.53</v>
      </c>
      <c r="I94" s="52"/>
    </row>
    <row r="95" spans="1:10" ht="12.75" customHeight="1">
      <c r="B95" s="43" t="s">
        <v>297</v>
      </c>
      <c r="G95" s="43">
        <f>Jan!G106+Feb!G106+Mar!G106+Apr!G106+May!G106+Jun!G106+July!G106+Aug!G106+Sep!G106+Oct!G106+Nov!G106+Dec!G106</f>
        <v>212.86</v>
      </c>
      <c r="H95" s="43">
        <f>J95*12</f>
        <v>1200</v>
      </c>
      <c r="I95" s="52">
        <f>H95-G95</f>
        <v>987.14</v>
      </c>
      <c r="J95" s="43">
        <v>100</v>
      </c>
    </row>
    <row r="96" spans="1:10" ht="12.75" customHeight="1">
      <c r="B96" s="43" t="s">
        <v>644</v>
      </c>
      <c r="G96" s="43">
        <f>Jan!G107+Feb!G107+Mar!G107+Apr!G107+May!G107+Jun!G107+July!G107+Aug!G107+Sep!G107+Oct!G107+Nov!G107+Dec!G107</f>
        <v>551.5</v>
      </c>
      <c r="H96" s="43">
        <f>J96*12</f>
        <v>300</v>
      </c>
      <c r="I96" s="52">
        <f>H96-G96</f>
        <v>-251.5</v>
      </c>
      <c r="J96" s="43">
        <v>25</v>
      </c>
    </row>
    <row r="97" spans="1:10" ht="12.75" customHeight="1">
      <c r="B97" s="43" t="s">
        <v>897</v>
      </c>
      <c r="D97" s="43" t="s">
        <v>899</v>
      </c>
      <c r="G97" s="43">
        <f>Jan!G108+Feb!G108+Mar!G108+Apr!G108+May!G108+Jun!G108+July!G108+Aug!G108+Sep!G108+Oct!G108+Nov!G108+Dec!G108</f>
        <v>108.11</v>
      </c>
      <c r="H97" s="43">
        <f>J97*12</f>
        <v>900</v>
      </c>
      <c r="I97" s="52">
        <f>H97-G97</f>
        <v>791.89</v>
      </c>
      <c r="J97" s="43">
        <v>75</v>
      </c>
    </row>
    <row r="98" spans="1:10" ht="12.75" customHeight="1">
      <c r="B98" s="43" t="s">
        <v>898</v>
      </c>
      <c r="D98" s="43" t="s">
        <v>900</v>
      </c>
      <c r="G98" s="43">
        <f>Jan!G109+Feb!G109+Mar!G109+Apr!G109+May!G109+Jun!G109+July!G109+Aug!G109+Sep!G109+Oct!G109+Nov!G109+Dec!G109</f>
        <v>107.23</v>
      </c>
      <c r="H98" s="43">
        <f>J98*12</f>
        <v>300</v>
      </c>
      <c r="I98" s="52">
        <f>H98-G98</f>
        <v>192.76999999999998</v>
      </c>
      <c r="J98" s="43">
        <v>25</v>
      </c>
    </row>
    <row r="99" spans="1:10" ht="12.75" customHeight="1">
      <c r="I99" s="52"/>
    </row>
    <row r="100" spans="1:10">
      <c r="A100" s="49" t="s">
        <v>46</v>
      </c>
      <c r="B100" s="49">
        <f>SUM(G101:G104)</f>
        <v>9677.4600000000009</v>
      </c>
      <c r="C100" s="49">
        <f>SUM(H101:H103)</f>
        <v>4980</v>
      </c>
      <c r="D100" s="49">
        <f>C100-B100</f>
        <v>-4697.4600000000009</v>
      </c>
      <c r="I100" s="52"/>
    </row>
    <row r="101" spans="1:10">
      <c r="B101" s="43" t="s">
        <v>324</v>
      </c>
      <c r="D101" s="43" t="s">
        <v>47</v>
      </c>
      <c r="G101" s="43">
        <f>Jan!G112+Feb!G112+Mar!G112+Apr!G112+May!G112+Jun!G112+July!G112+Aug!G112+Sep!G112+Oct!G112+Nov!G112+Dec!G112</f>
        <v>1318.22</v>
      </c>
      <c r="H101" s="43">
        <f>J101*12</f>
        <v>1800</v>
      </c>
      <c r="I101" s="52">
        <f>H101-G101</f>
        <v>481.78</v>
      </c>
      <c r="J101" s="43">
        <v>150</v>
      </c>
    </row>
    <row r="102" spans="1:10">
      <c r="A102" s="49"/>
      <c r="B102" s="43" t="s">
        <v>323</v>
      </c>
      <c r="G102" s="43">
        <f>Jan!G113+Feb!G113+Mar!G113+Apr!G113+May!G113+Jun!G113+July!G113+Aug!G113+Sep!G113+Oct!G113+Nov!G113+Dec!G113</f>
        <v>1455.71</v>
      </c>
      <c r="H102" s="43">
        <f>J102*12</f>
        <v>2580</v>
      </c>
      <c r="I102" s="52">
        <f>H102-G102</f>
        <v>1124.29</v>
      </c>
      <c r="J102" s="43">
        <v>215</v>
      </c>
    </row>
    <row r="103" spans="1:10">
      <c r="A103" s="49"/>
      <c r="B103" s="43" t="s">
        <v>317</v>
      </c>
      <c r="G103" s="43">
        <f>Jan!G114+Feb!G114+Mar!G114+Apr!G114+May!G114+Jun!G114+July!G114+Aug!G114+Sep!G114+Oct!G114+Nov!G114+Dec!G114</f>
        <v>6903.5300000000007</v>
      </c>
      <c r="H103" s="43">
        <f>J103*12</f>
        <v>600</v>
      </c>
      <c r="I103" s="52">
        <f>H103-G103</f>
        <v>-6303.5300000000007</v>
      </c>
      <c r="J103" s="43">
        <v>50</v>
      </c>
    </row>
    <row r="104" spans="1:10">
      <c r="A104" s="49"/>
      <c r="B104" s="43" t="s">
        <v>907</v>
      </c>
      <c r="G104" s="43">
        <f>Jan!G115+Feb!G115+Mar!G115+Apr!G115+May!G115+Jun!G115+July!G115+Aug!G115+Sep!G115+Oct!G115+Nov!G115+Dec!G115</f>
        <v>0</v>
      </c>
      <c r="H104" s="43">
        <f>J104*12</f>
        <v>1200</v>
      </c>
      <c r="I104" s="52">
        <f>H104-G104</f>
        <v>1200</v>
      </c>
      <c r="J104" s="43">
        <v>100</v>
      </c>
    </row>
    <row r="105" spans="1:10">
      <c r="A105" s="49"/>
      <c r="I105" s="52"/>
    </row>
    <row r="106" spans="1:10">
      <c r="A106" s="49" t="s">
        <v>41</v>
      </c>
      <c r="B106" s="49">
        <f>SUM(G107:G117)</f>
        <v>5555.73</v>
      </c>
      <c r="C106" s="49">
        <f>SUM(H107:H117)</f>
        <v>9840</v>
      </c>
      <c r="D106" s="49">
        <f>C106-B106</f>
        <v>4284.2700000000004</v>
      </c>
      <c r="I106" s="52"/>
    </row>
    <row r="107" spans="1:10">
      <c r="B107" s="43" t="s">
        <v>42</v>
      </c>
      <c r="G107" s="43">
        <f>Jan!G118+Feb!G118+Mar!G118+Apr!G118+May!G118+Jun!G118+July!G118+Aug!G118+Sep!G118+Oct!G118+Nov!G118+Dec!G118</f>
        <v>1443</v>
      </c>
      <c r="H107" s="43">
        <f>J107*12</f>
        <v>1200</v>
      </c>
      <c r="I107" s="52">
        <f t="shared" ref="I107:I117" si="6">H107-G107</f>
        <v>-243</v>
      </c>
      <c r="J107" s="43">
        <v>100</v>
      </c>
    </row>
    <row r="108" spans="1:10">
      <c r="B108" s="43" t="s">
        <v>908</v>
      </c>
      <c r="G108" s="43">
        <f>Jan!G119+Feb!G119+Mar!G119+Apr!G119+May!G119+Jun!G119+July!G119+Aug!G119+Sep!G119+Oct!G119+Nov!G119+Dec!G119</f>
        <v>619.08000000000004</v>
      </c>
      <c r="H108" s="43">
        <f>J108*12</f>
        <v>1200</v>
      </c>
      <c r="I108" s="52">
        <f t="shared" si="6"/>
        <v>580.91999999999996</v>
      </c>
      <c r="J108" s="43">
        <v>100</v>
      </c>
    </row>
    <row r="109" spans="1:10" ht="14.25" thickBot="1">
      <c r="B109" s="43" t="s">
        <v>304</v>
      </c>
      <c r="G109" s="43">
        <f>Jan!G120+Feb!G120+Mar!G120+Apr!G120+May!G120+Jun!G120+July!G120+Aug!G120+Sep!G120+Oct!G120+Nov!G120+Dec!G120</f>
        <v>3029</v>
      </c>
      <c r="H109" s="43">
        <f>J109*12</f>
        <v>6000</v>
      </c>
      <c r="I109" s="52">
        <f t="shared" si="6"/>
        <v>2971</v>
      </c>
      <c r="J109" s="43">
        <v>500</v>
      </c>
    </row>
    <row r="110" spans="1:10" ht="14.25" thickBot="1">
      <c r="C110" s="43" t="s">
        <v>298</v>
      </c>
      <c r="E110" s="79">
        <f>Jan!E121+Feb!E121+Mar!E121+Apr!E121+May!E121+Jun!E121+July!E121+Aug!E121+Sep!E121+Oct!E121+Nov!E121+Dec!E121</f>
        <v>87.32</v>
      </c>
      <c r="I110" s="52"/>
    </row>
    <row r="111" spans="1:10">
      <c r="B111" s="43" t="s">
        <v>164</v>
      </c>
      <c r="G111" s="43">
        <f>Jan!G122+Feb!G122+Mar!G122+Apr!G122+May!G122+Jun!G122+July!G122+Aug!G122+Sep!G122+Oct!G122+Nov!G122+Dec!G122</f>
        <v>11.210000000000008</v>
      </c>
      <c r="H111" s="43">
        <f t="shared" ref="H111:H117" si="7">J111*12</f>
        <v>600</v>
      </c>
      <c r="I111" s="52">
        <f t="shared" si="6"/>
        <v>588.79</v>
      </c>
      <c r="J111" s="43">
        <v>50</v>
      </c>
    </row>
    <row r="112" spans="1:10" ht="14.25" thickBot="1">
      <c r="B112" s="43" t="s">
        <v>43</v>
      </c>
      <c r="G112" s="43">
        <f>Jan!G123+Feb!G123+Mar!G123+Apr!G123+May!G123+Jun!G123+July!G123+Aug!G123+Sep!G123+Oct!G123+Nov!G123+Dec!G123</f>
        <v>380.37</v>
      </c>
      <c r="H112" s="43">
        <f t="shared" si="7"/>
        <v>600</v>
      </c>
      <c r="I112" s="52">
        <f t="shared" si="6"/>
        <v>219.63</v>
      </c>
      <c r="J112" s="43">
        <v>50</v>
      </c>
    </row>
    <row r="113" spans="1:10" ht="14.25" thickBot="1">
      <c r="C113" s="157" t="s">
        <v>299</v>
      </c>
      <c r="D113" s="158"/>
      <c r="E113" s="79">
        <f>Jan!E124+Feb!E124+Mar!E124+Apr!E124+May!E124+Jun!E124+July!E124+Aug!E124+Sep!E124+Oct!E124+Nov!E124+Dec!E124</f>
        <v>135.63</v>
      </c>
      <c r="I113" s="52"/>
    </row>
    <row r="114" spans="1:10" ht="14.25" thickBot="1">
      <c r="C114" s="157" t="s">
        <v>300</v>
      </c>
      <c r="D114" s="158"/>
      <c r="E114" s="79">
        <f>Jan!E125+Feb!E125+Mar!E125+Apr!E125+May!E125+Jun!E125+July!E125+Aug!E125+Sep!E125+Oct!E125+Nov!E125+Dec!E125</f>
        <v>0</v>
      </c>
      <c r="I114" s="52"/>
    </row>
    <row r="115" spans="1:10" ht="14.25" thickBot="1">
      <c r="C115" s="157" t="s">
        <v>301</v>
      </c>
      <c r="D115" s="158"/>
      <c r="E115" s="79">
        <f>Jan!E126+Feb!E126+Mar!E126+Apr!E126+May!E126+Jun!E126+July!E126+Aug!E126+Sep!E126+Oct!E126+Nov!E126+Dec!E126</f>
        <v>20.93</v>
      </c>
      <c r="I115" s="52"/>
    </row>
    <row r="116" spans="1:10" ht="14.25" thickBot="1">
      <c r="C116" s="157" t="s">
        <v>302</v>
      </c>
      <c r="D116" s="158"/>
      <c r="E116" s="79">
        <f>Jan!E127+Feb!E127+Mar!E127+Apr!E127+May!E127+Jun!E127+July!E127+Aug!E127+Sep!E127+Oct!E127+Nov!E127+Dec!E127</f>
        <v>71.02</v>
      </c>
      <c r="I116" s="52"/>
    </row>
    <row r="117" spans="1:10">
      <c r="B117" s="43" t="s">
        <v>303</v>
      </c>
      <c r="G117" s="43">
        <f>Jan!G128+Feb!G128+Mar!G128+Apr!G128+May!G128+Jun!G128+July!G128+Aug!G128+Sep!G128+Oct!G128+Nov!G128+Dec!G128</f>
        <v>73.069999999999993</v>
      </c>
      <c r="H117" s="43">
        <f t="shared" si="7"/>
        <v>240</v>
      </c>
      <c r="I117" s="52">
        <f t="shared" si="6"/>
        <v>166.93</v>
      </c>
      <c r="J117" s="43">
        <v>20</v>
      </c>
    </row>
    <row r="118" spans="1:10">
      <c r="I118" s="52"/>
    </row>
    <row r="119" spans="1:10">
      <c r="A119" s="49" t="s">
        <v>52</v>
      </c>
      <c r="B119" s="49">
        <f>G120</f>
        <v>110.02000000000001</v>
      </c>
      <c r="C119" s="49">
        <f>H120</f>
        <v>600</v>
      </c>
      <c r="D119" s="49">
        <f>I120</f>
        <v>489.98</v>
      </c>
      <c r="I119" s="52"/>
    </row>
    <row r="120" spans="1:10">
      <c r="B120" s="43" t="s">
        <v>53</v>
      </c>
      <c r="G120" s="43">
        <f>Jan!G131+Feb!G131+Mar!G131+Apr!G131+May!G131+Jun!G131+July!G131+Aug!G131+Sep!G131+Oct!G131+Nov!G131+Dec!G131</f>
        <v>110.02000000000001</v>
      </c>
      <c r="H120" s="43">
        <f>J120*12</f>
        <v>600</v>
      </c>
      <c r="I120" s="52">
        <f>H120-G120</f>
        <v>489.98</v>
      </c>
      <c r="J120" s="43">
        <v>50</v>
      </c>
    </row>
    <row r="121" spans="1:10">
      <c r="I121" s="52"/>
    </row>
    <row r="122" spans="1:10">
      <c r="A122" s="49" t="s">
        <v>909</v>
      </c>
      <c r="B122" s="49">
        <f>SUM(G124:G125)</f>
        <v>27.400000000000013</v>
      </c>
      <c r="C122" s="49">
        <f>SUM(H124:H125)</f>
        <v>1560</v>
      </c>
      <c r="D122" s="49">
        <f>C122-B122</f>
        <v>1532.6</v>
      </c>
      <c r="I122" s="52"/>
    </row>
    <row r="123" spans="1:10">
      <c r="A123" s="49"/>
      <c r="B123" s="43" t="s">
        <v>910</v>
      </c>
      <c r="C123" s="49"/>
      <c r="D123" s="49"/>
      <c r="G123" s="43">
        <f>Jan!G134+Feb!G134+Mar!G134+Apr!G134+May!G134+Jun!G134+July!G134+Aug!G134+Sep!G134+Oct!G134+Nov!G134+Dec!G134</f>
        <v>403</v>
      </c>
      <c r="H123" s="43">
        <f>J123*12</f>
        <v>1200</v>
      </c>
      <c r="I123" s="52">
        <f>H123-G123</f>
        <v>797</v>
      </c>
      <c r="J123" s="43">
        <v>100</v>
      </c>
    </row>
    <row r="124" spans="1:10">
      <c r="B124" s="43" t="s">
        <v>305</v>
      </c>
      <c r="G124" s="43">
        <f>Jan!G135+Feb!G135+Mar!G135+Apr!G135+May!G135+Jun!G135+July!G135+Aug!G135+Sep!G135+Oct!G135+Nov!G135+Dec!G135</f>
        <v>24.140000000000015</v>
      </c>
      <c r="H124" s="43">
        <f>J124*12</f>
        <v>1200</v>
      </c>
      <c r="I124" s="52">
        <f>H124-G124</f>
        <v>1175.8599999999999</v>
      </c>
      <c r="J124" s="43">
        <v>100</v>
      </c>
    </row>
    <row r="125" spans="1:10">
      <c r="B125" s="43" t="s">
        <v>306</v>
      </c>
      <c r="G125" s="43">
        <f>Jan!G136+Feb!G136+Mar!G136+Apr!G136+May!G136+Jun!G136+July!G136+Aug!G136+Sep!G136+Oct!G136+Nov!G136+Dec!G136</f>
        <v>3.26</v>
      </c>
      <c r="H125" s="43">
        <f>J125*12</f>
        <v>360</v>
      </c>
      <c r="I125" s="52">
        <f>H125-G125</f>
        <v>356.74</v>
      </c>
      <c r="J125" s="43">
        <v>30</v>
      </c>
    </row>
    <row r="126" spans="1:10">
      <c r="I126" s="52"/>
    </row>
    <row r="127" spans="1:10">
      <c r="A127" s="49" t="s">
        <v>54</v>
      </c>
      <c r="B127" s="49">
        <f>G128</f>
        <v>25.5</v>
      </c>
      <c r="C127" s="49">
        <f>H128</f>
        <v>120</v>
      </c>
      <c r="D127" s="49">
        <f>C127-B127</f>
        <v>94.5</v>
      </c>
      <c r="I127" s="52"/>
    </row>
    <row r="128" spans="1:10">
      <c r="B128" s="43" t="s">
        <v>911</v>
      </c>
      <c r="G128" s="43">
        <f>Jan!G139+Feb!G139+Mar!G139+Apr!G139+May!G139+Jun!G139+July!G139+Aug!G139+Sep!G139+Oct!G139+Nov!G139+Dec!G139</f>
        <v>25.5</v>
      </c>
      <c r="H128" s="43">
        <f>J128*12</f>
        <v>120</v>
      </c>
      <c r="I128" s="52">
        <f>H128-G128</f>
        <v>94.5</v>
      </c>
      <c r="J128" s="43">
        <v>10</v>
      </c>
    </row>
    <row r="129" spans="1:10">
      <c r="I129" s="52"/>
    </row>
    <row r="130" spans="1:10">
      <c r="A130" s="49" t="s">
        <v>136</v>
      </c>
      <c r="B130" s="49">
        <f>SUM(G131:G132)</f>
        <v>1326.98</v>
      </c>
      <c r="C130" s="49">
        <f>SUM(H131:H132)</f>
        <v>3000</v>
      </c>
      <c r="D130" s="49">
        <f>C130-B130</f>
        <v>1673.02</v>
      </c>
      <c r="I130" s="52"/>
    </row>
    <row r="131" spans="1:10">
      <c r="B131" s="43" t="s">
        <v>50</v>
      </c>
      <c r="G131" s="43">
        <f>Jan!G142+Feb!G142+Mar!G142+Apr!G142+May!G142+Jun!G142+July!G142+Aug!G142+Sep!G142+Oct!G142+Nov!G142+Dec!G142</f>
        <v>761.74</v>
      </c>
      <c r="H131" s="43">
        <f>J131*12</f>
        <v>1800</v>
      </c>
      <c r="I131" s="52">
        <f>H131-G131</f>
        <v>1038.26</v>
      </c>
      <c r="J131" s="43">
        <v>150</v>
      </c>
    </row>
    <row r="132" spans="1:10">
      <c r="B132" s="43" t="s">
        <v>51</v>
      </c>
      <c r="D132" s="43" t="s">
        <v>137</v>
      </c>
      <c r="G132" s="43">
        <f>Jan!G143+Feb!G143+Mar!G143+Apr!G143+May!G143+Jun!G143+July!G143+Aug!G143+Sep!G143+Oct!G143+Nov!G143+Dec!G143</f>
        <v>565.24</v>
      </c>
      <c r="H132" s="43">
        <f>J132*12</f>
        <v>1200</v>
      </c>
      <c r="I132" s="52">
        <f>H132-G132</f>
        <v>634.76</v>
      </c>
      <c r="J132" s="43">
        <v>100</v>
      </c>
    </row>
    <row r="133" spans="1:10">
      <c r="I133" s="52"/>
    </row>
    <row r="134" spans="1:10">
      <c r="I134" s="52"/>
    </row>
    <row r="135" spans="1:10" ht="14.25" thickBot="1">
      <c r="A135" s="49" t="s">
        <v>310</v>
      </c>
      <c r="I135" s="52"/>
    </row>
    <row r="136" spans="1:10" ht="14.25" thickBot="1">
      <c r="B136" s="126">
        <f ca="1">SUM(G137:G151)</f>
        <v>0</v>
      </c>
      <c r="C136" s="126">
        <f>SUM(H137:H151)</f>
        <v>7320</v>
      </c>
      <c r="D136" s="126">
        <f ca="1">C136-B136</f>
        <v>0</v>
      </c>
      <c r="I136" s="52"/>
    </row>
    <row r="137" spans="1:10">
      <c r="A137" s="49" t="s">
        <v>312</v>
      </c>
      <c r="I137" s="52"/>
    </row>
    <row r="138" spans="1:10" ht="14.25" thickBot="1">
      <c r="B138" s="43" t="s">
        <v>134</v>
      </c>
      <c r="G138" s="43">
        <f>Jan!G149+Feb!G149+Mar!G149+Apr!G149+May!G149+Jun!G149+July!G149+Aug!G149+Sep!G149+Oct!G149+Nov!G149+Dec!G149</f>
        <v>340</v>
      </c>
      <c r="H138" s="43">
        <f t="shared" ref="H138:H151" si="8">J138*12</f>
        <v>1200</v>
      </c>
      <c r="I138" s="52">
        <f t="shared" ref="I138:I151" si="9">H138-G138</f>
        <v>860</v>
      </c>
      <c r="J138" s="43">
        <v>100</v>
      </c>
    </row>
    <row r="139" spans="1:10" ht="14.25" thickBot="1">
      <c r="A139" s="79">
        <f>SUM(G138:G142)</f>
        <v>340</v>
      </c>
      <c r="B139" s="43" t="s">
        <v>135</v>
      </c>
      <c r="G139" s="43">
        <f>Jan!G150+Feb!G150+Mar!G150+Apr!G150+May!G150+Jun!G150+July!G150+Aug!G150+Sep!G150+Oct!G150+Nov!G150+Dec!G150</f>
        <v>0</v>
      </c>
      <c r="H139" s="43">
        <f t="shared" si="8"/>
        <v>1200</v>
      </c>
      <c r="I139" s="52">
        <f t="shared" si="9"/>
        <v>1200</v>
      </c>
      <c r="J139" s="43">
        <v>100</v>
      </c>
    </row>
    <row r="140" spans="1:10">
      <c r="B140" s="43" t="s">
        <v>48</v>
      </c>
      <c r="G140" s="43">
        <f>Jan!G151+Feb!G151+Mar!G151+Apr!G151+May!G151+Jun!G151+July!G151+Aug!G151+Sep!G151+Oct!G151+Nov!G151+Dec!G151</f>
        <v>0</v>
      </c>
      <c r="H140" s="43">
        <f t="shared" si="8"/>
        <v>360</v>
      </c>
      <c r="I140" s="52">
        <f t="shared" si="9"/>
        <v>360</v>
      </c>
      <c r="J140" s="43">
        <v>30</v>
      </c>
    </row>
    <row r="141" spans="1:10">
      <c r="B141" s="43" t="s">
        <v>49</v>
      </c>
      <c r="G141" s="43">
        <f>Jan!G152+Feb!G152+Mar!G152+Apr!G152+May!G152+Jun!G152+July!G152+Aug!G152+Sep!G152+Oct!G152+Nov!G152+Dec!G152</f>
        <v>0</v>
      </c>
      <c r="H141" s="43">
        <f t="shared" si="8"/>
        <v>600</v>
      </c>
      <c r="I141" s="52">
        <f t="shared" si="9"/>
        <v>600</v>
      </c>
      <c r="J141" s="43">
        <v>50</v>
      </c>
    </row>
    <row r="142" spans="1:10">
      <c r="B142" s="43" t="s">
        <v>326</v>
      </c>
      <c r="G142" s="43">
        <f>Jan!G153+Feb!G153+Mar!G153+Apr!G153+May!G153+Jun!G153+July!G153+Aug!G153+Sep!G153+Oct!G153+Nov!G153+Dec!G153</f>
        <v>0</v>
      </c>
      <c r="H142" s="43">
        <f t="shared" si="8"/>
        <v>120</v>
      </c>
      <c r="I142" s="52">
        <f t="shared" si="9"/>
        <v>120</v>
      </c>
      <c r="J142" s="43">
        <v>10</v>
      </c>
    </row>
    <row r="143" spans="1:10">
      <c r="I143" s="52"/>
    </row>
    <row r="144" spans="1:10">
      <c r="A144" s="49" t="s">
        <v>311</v>
      </c>
      <c r="I144" s="52"/>
    </row>
    <row r="145" spans="1:10" ht="14.25" thickBot="1">
      <c r="B145" s="43" t="s">
        <v>307</v>
      </c>
      <c r="G145" s="43">
        <f>Jan!G156+Feb!G156+Mar!G156+Apr!G156+May!G156+Jun!G156+July!G156+Aug!G156+Sep!G156+Oct!G156+Nov!G156+Dec!G156</f>
        <v>54.45</v>
      </c>
      <c r="H145" s="43">
        <f t="shared" si="8"/>
        <v>360</v>
      </c>
      <c r="I145" s="52">
        <f t="shared" si="9"/>
        <v>305.55</v>
      </c>
      <c r="J145" s="43">
        <v>30</v>
      </c>
    </row>
    <row r="146" spans="1:10" ht="14.25" thickBot="1">
      <c r="A146" s="79">
        <f ca="1">SUM(G145:G149)</f>
        <v>0</v>
      </c>
      <c r="B146" s="43" t="s">
        <v>308</v>
      </c>
      <c r="G146" s="43">
        <f ca="1">Jan!G157+Feb!G157+Mar!G157+Apr!G157+May!G157+Jun!G157+July!G157+Aug!G157+Sep!G157+Oct!G157+Nov!G157+Dec!G157</f>
        <v>0</v>
      </c>
      <c r="H146" s="43">
        <f t="shared" si="8"/>
        <v>360</v>
      </c>
      <c r="I146" s="52">
        <f t="shared" ca="1" si="9"/>
        <v>360</v>
      </c>
      <c r="J146" s="43">
        <v>30</v>
      </c>
    </row>
    <row r="147" spans="1:10">
      <c r="B147" s="43" t="s">
        <v>326</v>
      </c>
      <c r="G147" s="43">
        <f>Jan!G158+Feb!G158+Mar!G158+Apr!G158+May!G158+Jun!G158+July!G158+Aug!G158+Sep!G158+Oct!G158+Nov!G158+Dec!G158</f>
        <v>0</v>
      </c>
      <c r="H147" s="43">
        <f t="shared" si="8"/>
        <v>360</v>
      </c>
      <c r="I147" s="52">
        <f t="shared" si="9"/>
        <v>360</v>
      </c>
      <c r="J147" s="43">
        <v>30</v>
      </c>
    </row>
    <row r="148" spans="1:10">
      <c r="B148" s="43" t="s">
        <v>309</v>
      </c>
      <c r="G148" s="43">
        <f>Jan!G159+Feb!G159+Mar!G159+Apr!G159+May!G159+Jun!G159+July!G159+Aug!G159+Sep!G159+Oct!G159+Nov!G159+Dec!G159</f>
        <v>0</v>
      </c>
      <c r="H148" s="43">
        <f t="shared" si="8"/>
        <v>360</v>
      </c>
      <c r="I148" s="52">
        <f t="shared" si="9"/>
        <v>360</v>
      </c>
      <c r="J148" s="43">
        <v>30</v>
      </c>
    </row>
    <row r="149" spans="1:10">
      <c r="B149" s="43" t="s">
        <v>325</v>
      </c>
      <c r="G149" s="43">
        <f>Jan!G160+Feb!G160+Mar!G160+Apr!G160+May!G160+Jun!G160+July!G160+Aug!G160+Sep!G160+Oct!G160+Nov!G160+Dec!G160</f>
        <v>1500</v>
      </c>
      <c r="H149" s="43">
        <f t="shared" si="8"/>
        <v>1200</v>
      </c>
      <c r="I149" s="52">
        <f t="shared" si="9"/>
        <v>-300</v>
      </c>
      <c r="J149" s="43">
        <v>100</v>
      </c>
    </row>
    <row r="150" spans="1:10">
      <c r="I150" s="52"/>
    </row>
    <row r="151" spans="1:10">
      <c r="A151" s="49" t="s">
        <v>138</v>
      </c>
      <c r="G151" s="43">
        <f>Jan!G162+Feb!G162+Mar!G162+Apr!G162+May!G162+Jun!G162+July!G162+Aug!G162+Sep!G162+Oct!G162+Nov!G162+Dec!G162</f>
        <v>0</v>
      </c>
      <c r="H151" s="43">
        <f t="shared" si="8"/>
        <v>1200</v>
      </c>
      <c r="I151" s="52">
        <f t="shared" si="9"/>
        <v>1200</v>
      </c>
      <c r="J151" s="43">
        <v>100</v>
      </c>
    </row>
    <row r="65550" ht="13.5" customHeight="1"/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zoomScale="84" zoomScaleNormal="84" workbookViewId="0">
      <pane ySplit="1335" topLeftCell="A35" activePane="bottomLeft"/>
      <selection activeCell="A2" sqref="A2"/>
      <selection pane="bottomLeft" activeCell="I61" sqref="I61"/>
    </sheetView>
  </sheetViews>
  <sheetFormatPr defaultColWidth="11.5703125" defaultRowHeight="15.75"/>
  <cols>
    <col min="1" max="1" width="46.140625" style="92" customWidth="1"/>
    <col min="2" max="2" width="14.85546875" style="31" customWidth="1"/>
    <col min="3" max="3" width="12.42578125" style="31" customWidth="1"/>
    <col min="4" max="7" width="12.28515625" style="31" customWidth="1"/>
    <col min="8" max="8" width="12.42578125" style="31" customWidth="1"/>
    <col min="9" max="10" width="12.28515625" style="31" customWidth="1"/>
    <col min="11" max="11" width="12.42578125" style="31" customWidth="1"/>
    <col min="12" max="12" width="12.28515625" style="31" customWidth="1"/>
    <col min="13" max="13" width="12.42578125" style="31" customWidth="1"/>
    <col min="14" max="14" width="12.28515625" style="31" customWidth="1"/>
    <col min="15" max="15" width="15" style="31" customWidth="1"/>
    <col min="16" max="16384" width="11.5703125" style="31"/>
  </cols>
  <sheetData>
    <row r="1" spans="1:16">
      <c r="A1" s="156" t="s">
        <v>829</v>
      </c>
      <c r="B1" s="32"/>
    </row>
    <row r="2" spans="1:16">
      <c r="A2" s="169" t="s">
        <v>352</v>
      </c>
    </row>
    <row r="3" spans="1:16">
      <c r="A3" s="92" t="s">
        <v>109</v>
      </c>
      <c r="B3" s="177" t="s">
        <v>110</v>
      </c>
    </row>
    <row r="4" spans="1:16">
      <c r="B4" s="177" t="s">
        <v>111</v>
      </c>
      <c r="C4" s="177" t="s">
        <v>88</v>
      </c>
      <c r="D4" s="177" t="s">
        <v>89</v>
      </c>
      <c r="E4" s="177" t="s">
        <v>90</v>
      </c>
      <c r="F4" s="177" t="s">
        <v>91</v>
      </c>
      <c r="G4" s="177" t="s">
        <v>10</v>
      </c>
      <c r="H4" s="177" t="s">
        <v>92</v>
      </c>
      <c r="I4" s="177" t="s">
        <v>93</v>
      </c>
      <c r="J4" s="177" t="s">
        <v>95</v>
      </c>
      <c r="K4" s="177" t="s">
        <v>96</v>
      </c>
      <c r="L4" s="177" t="s">
        <v>97</v>
      </c>
      <c r="M4" s="177" t="s">
        <v>98</v>
      </c>
      <c r="N4" s="177" t="s">
        <v>99</v>
      </c>
      <c r="O4" s="177" t="s">
        <v>65</v>
      </c>
    </row>
    <row r="5" spans="1:16">
      <c r="A5" s="93" t="s">
        <v>841</v>
      </c>
    </row>
    <row r="6" spans="1:16">
      <c r="A6" s="94" t="s">
        <v>104</v>
      </c>
      <c r="B6" s="31">
        <v>4720.42</v>
      </c>
      <c r="C6" s="33">
        <f>Jan!$G$14</f>
        <v>0</v>
      </c>
      <c r="D6" s="33">
        <f>Feb!$G$14</f>
        <v>0</v>
      </c>
      <c r="E6" s="33">
        <f>Mar!$G$14</f>
        <v>0</v>
      </c>
      <c r="F6" s="33">
        <f>Apr!$G$14</f>
        <v>0</v>
      </c>
      <c r="G6" s="33">
        <f>May!$G$14</f>
        <v>0</v>
      </c>
      <c r="H6" s="33">
        <f>Jun!$G$14</f>
        <v>0</v>
      </c>
      <c r="I6" s="33">
        <f>July!$G$14</f>
        <v>4600.2</v>
      </c>
      <c r="J6" s="33">
        <f>Aug!$G$14</f>
        <v>0</v>
      </c>
      <c r="K6" s="33">
        <f>Sep!$G$14</f>
        <v>0</v>
      </c>
      <c r="L6" s="33">
        <f>Oct!$G$14</f>
        <v>0</v>
      </c>
      <c r="M6" s="33">
        <f>Nov!$G$14</f>
        <v>0</v>
      </c>
      <c r="N6" s="33">
        <f>Dec!$G$14</f>
        <v>0</v>
      </c>
      <c r="O6" s="33">
        <f>SUM(B6:N6)</f>
        <v>9320.619999999999</v>
      </c>
    </row>
    <row r="7" spans="1:16">
      <c r="A7" s="94" t="s">
        <v>112</v>
      </c>
      <c r="B7" s="31">
        <v>5073.42</v>
      </c>
      <c r="C7" s="33"/>
      <c r="D7" s="33"/>
      <c r="E7" s="33"/>
      <c r="F7" s="33"/>
      <c r="G7" s="33"/>
      <c r="H7" s="33"/>
      <c r="I7" s="33">
        <v>4600.2</v>
      </c>
      <c r="J7" s="33"/>
      <c r="K7" s="33"/>
      <c r="L7" s="33"/>
      <c r="M7" s="33"/>
      <c r="N7" s="33"/>
      <c r="O7" s="33">
        <f>SUM(B7:N7)</f>
        <v>9673.619999999999</v>
      </c>
    </row>
    <row r="8" spans="1:16">
      <c r="A8" s="94" t="s">
        <v>113</v>
      </c>
      <c r="B8" s="34">
        <v>-353</v>
      </c>
      <c r="C8" s="35">
        <f t="shared" ref="C8:O8" si="0">C6-C7</f>
        <v>0</v>
      </c>
      <c r="D8" s="35">
        <f t="shared" si="0"/>
        <v>0</v>
      </c>
      <c r="E8" s="35">
        <f t="shared" si="0"/>
        <v>0</v>
      </c>
      <c r="F8" s="35">
        <f t="shared" si="0"/>
        <v>0</v>
      </c>
      <c r="G8" s="35">
        <f t="shared" si="0"/>
        <v>0</v>
      </c>
      <c r="H8" s="35">
        <f t="shared" si="0"/>
        <v>0</v>
      </c>
      <c r="I8" s="35">
        <f t="shared" si="0"/>
        <v>0</v>
      </c>
      <c r="J8" s="35">
        <f t="shared" si="0"/>
        <v>0</v>
      </c>
      <c r="K8" s="35">
        <f t="shared" si="0"/>
        <v>0</v>
      </c>
      <c r="L8" s="35">
        <f t="shared" si="0"/>
        <v>0</v>
      </c>
      <c r="M8" s="35">
        <f t="shared" si="0"/>
        <v>0</v>
      </c>
      <c r="N8" s="35">
        <f t="shared" si="0"/>
        <v>0</v>
      </c>
      <c r="O8" s="35">
        <f t="shared" si="0"/>
        <v>-353</v>
      </c>
    </row>
    <row r="9" spans="1:16">
      <c r="A9" s="94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6">
      <c r="A10" s="95" t="s">
        <v>105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</row>
    <row r="11" spans="1:16">
      <c r="A11" s="94" t="s">
        <v>27</v>
      </c>
      <c r="B11" s="31">
        <v>1800</v>
      </c>
      <c r="C11" s="33">
        <f>Jan!$G$15</f>
        <v>0</v>
      </c>
      <c r="D11" s="33">
        <f>Feb!$G$15</f>
        <v>0</v>
      </c>
      <c r="E11" s="33">
        <f>Mar!$G$15</f>
        <v>0</v>
      </c>
      <c r="F11" s="33">
        <f>Apr!$G$15</f>
        <v>0</v>
      </c>
      <c r="G11" s="33">
        <f>May!$G$15</f>
        <v>0</v>
      </c>
      <c r="H11" s="33">
        <f>Jun!$G$15</f>
        <v>0</v>
      </c>
      <c r="I11" s="33">
        <f>July!$G$15</f>
        <v>0</v>
      </c>
      <c r="J11" s="33">
        <f>Aug!$G$15</f>
        <v>0</v>
      </c>
      <c r="K11" s="33">
        <f>Sep!$G$15</f>
        <v>0</v>
      </c>
      <c r="L11" s="33">
        <f>Oct!$G$15</f>
        <v>0</v>
      </c>
      <c r="M11" s="33">
        <f>Nov!$G$15</f>
        <v>0</v>
      </c>
      <c r="N11" s="33">
        <f>Dec!$G$15</f>
        <v>0</v>
      </c>
      <c r="O11" s="33">
        <f>SUM(B11:N11)</f>
        <v>1800</v>
      </c>
    </row>
    <row r="12" spans="1:16">
      <c r="A12" s="94" t="s">
        <v>166</v>
      </c>
      <c r="C12" s="33"/>
      <c r="D12" s="33">
        <v>-1000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>
        <f>SUM(B12:N12)</f>
        <v>-1000</v>
      </c>
      <c r="P12" s="31" t="s">
        <v>940</v>
      </c>
    </row>
    <row r="13" spans="1:16">
      <c r="A13" s="94" t="s">
        <v>161</v>
      </c>
      <c r="B13" s="31">
        <v>4330</v>
      </c>
      <c r="C13" s="33">
        <f>Jan!$G$16</f>
        <v>0</v>
      </c>
      <c r="D13" s="33">
        <f>Feb!$G$16</f>
        <v>0</v>
      </c>
      <c r="E13" s="33">
        <f>Mar!$G$16</f>
        <v>0</v>
      </c>
      <c r="F13" s="33">
        <f>Apr!$G$16</f>
        <v>0</v>
      </c>
      <c r="G13" s="33">
        <f>May!$G$16</f>
        <v>0</v>
      </c>
      <c r="H13" s="33">
        <f>Jun!$G$16</f>
        <v>0</v>
      </c>
      <c r="I13" s="33">
        <f>July!$G$16</f>
        <v>0</v>
      </c>
      <c r="J13" s="33">
        <f>Aug!$G$16</f>
        <v>0</v>
      </c>
      <c r="K13" s="33">
        <f>Sep!$G$16</f>
        <v>0</v>
      </c>
      <c r="L13" s="33">
        <f>Oct!$G$16</f>
        <v>0</v>
      </c>
      <c r="M13" s="33">
        <f>Nov!$G$16</f>
        <v>0</v>
      </c>
      <c r="N13" s="33">
        <f>Dec!$G$16</f>
        <v>0</v>
      </c>
      <c r="O13" s="33">
        <f>SUM(B13:N13)</f>
        <v>4330</v>
      </c>
    </row>
    <row r="14" spans="1:16">
      <c r="A14" s="94" t="s">
        <v>162</v>
      </c>
      <c r="B14" s="31">
        <v>-1040</v>
      </c>
      <c r="C14" s="33">
        <v>0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>
        <f>SUM(B14:N14)</f>
        <v>-1040</v>
      </c>
    </row>
    <row r="15" spans="1:16">
      <c r="A15" s="94" t="s">
        <v>113</v>
      </c>
      <c r="B15" s="34">
        <v>5090</v>
      </c>
      <c r="C15" s="34">
        <f t="shared" ref="C15:O15" si="1">SUM(C11:C14)</f>
        <v>0</v>
      </c>
      <c r="D15" s="34">
        <f t="shared" si="1"/>
        <v>-1000</v>
      </c>
      <c r="E15" s="34">
        <f t="shared" si="1"/>
        <v>0</v>
      </c>
      <c r="F15" s="34">
        <f t="shared" si="1"/>
        <v>0</v>
      </c>
      <c r="G15" s="34">
        <f t="shared" si="1"/>
        <v>0</v>
      </c>
      <c r="H15" s="34">
        <f t="shared" si="1"/>
        <v>0</v>
      </c>
      <c r="I15" s="34">
        <f t="shared" si="1"/>
        <v>0</v>
      </c>
      <c r="J15" s="34">
        <f t="shared" si="1"/>
        <v>0</v>
      </c>
      <c r="K15" s="34">
        <f t="shared" si="1"/>
        <v>0</v>
      </c>
      <c r="L15" s="34">
        <f t="shared" si="1"/>
        <v>0</v>
      </c>
      <c r="M15" s="34">
        <f t="shared" si="1"/>
        <v>0</v>
      </c>
      <c r="N15" s="34">
        <f t="shared" si="1"/>
        <v>0</v>
      </c>
      <c r="O15" s="34">
        <f t="shared" si="1"/>
        <v>4090</v>
      </c>
    </row>
    <row r="16" spans="1:16"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5">
      <c r="A17" s="95" t="s">
        <v>333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1:15" ht="16.5" thickBot="1">
      <c r="A18" s="94" t="s">
        <v>334</v>
      </c>
      <c r="B18" s="31">
        <v>2200</v>
      </c>
      <c r="C18" s="33">
        <f>Jan!$G$17</f>
        <v>0</v>
      </c>
      <c r="D18" s="33">
        <f>Feb!$G$17</f>
        <v>0</v>
      </c>
      <c r="E18" s="33">
        <f>Mar!$G$17</f>
        <v>0</v>
      </c>
      <c r="F18" s="33">
        <f>Apr!$G$17</f>
        <v>0</v>
      </c>
      <c r="G18" s="33">
        <f>May!$G$17</f>
        <v>0</v>
      </c>
      <c r="H18" s="33">
        <f>Jun!$G$17</f>
        <v>0</v>
      </c>
      <c r="I18" s="33">
        <f>July!$G$17</f>
        <v>0</v>
      </c>
      <c r="J18" s="33">
        <f>Aug!$G$17</f>
        <v>0</v>
      </c>
      <c r="K18" s="33">
        <f>Sep!$G$17</f>
        <v>0</v>
      </c>
      <c r="L18" s="33">
        <f>Oct!$G$17</f>
        <v>0</v>
      </c>
      <c r="M18" s="33">
        <f>Nov!$G$17</f>
        <v>0</v>
      </c>
      <c r="N18" s="33">
        <f>Dec!$G$17</f>
        <v>0</v>
      </c>
      <c r="O18" s="33">
        <f t="shared" ref="O18:O27" si="2">SUM(B18:N18)</f>
        <v>2200</v>
      </c>
    </row>
    <row r="19" spans="1:15" ht="16.5" thickBot="1">
      <c r="A19" s="94" t="s">
        <v>526</v>
      </c>
      <c r="B19" s="31">
        <v>2967.39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191" t="e">
        <f ca="1">SUM(O20:O24)</f>
        <v>#REF!</v>
      </c>
    </row>
    <row r="20" spans="1:15" ht="13.5">
      <c r="A20" s="43" t="s">
        <v>307</v>
      </c>
      <c r="B20" s="31">
        <v>33.17</v>
      </c>
      <c r="C20" s="33">
        <f>Jan!G153</f>
        <v>0</v>
      </c>
      <c r="D20" s="33">
        <f>Feb!G153</f>
        <v>0</v>
      </c>
      <c r="E20" s="33">
        <f>Mar!G153</f>
        <v>0</v>
      </c>
      <c r="F20" s="33">
        <f>Apr!G153</f>
        <v>0</v>
      </c>
      <c r="G20" s="33">
        <f>May!G153</f>
        <v>0</v>
      </c>
      <c r="H20" s="33">
        <f>Jun!G153</f>
        <v>0</v>
      </c>
      <c r="I20" s="33">
        <f>July!G153</f>
        <v>0</v>
      </c>
      <c r="J20" s="33">
        <f>Aug!G153</f>
        <v>0</v>
      </c>
      <c r="K20" s="33">
        <f>Sep!G153</f>
        <v>0</v>
      </c>
      <c r="L20" s="33">
        <f>Oct!G153</f>
        <v>0</v>
      </c>
      <c r="M20" s="33">
        <f>Nov!G153</f>
        <v>0</v>
      </c>
      <c r="N20" s="33">
        <f>Dec!G153</f>
        <v>0</v>
      </c>
      <c r="O20" s="33">
        <f t="shared" si="2"/>
        <v>33.17</v>
      </c>
    </row>
    <row r="21" spans="1:15" ht="13.5">
      <c r="A21" s="43" t="s">
        <v>308</v>
      </c>
      <c r="B21" s="31">
        <v>2934.22</v>
      </c>
      <c r="C21" s="33">
        <f>Jan!G154</f>
        <v>0</v>
      </c>
      <c r="D21" s="33">
        <f>Feb!G154</f>
        <v>0</v>
      </c>
      <c r="E21" s="33">
        <f>Mar!G154</f>
        <v>0</v>
      </c>
      <c r="F21" s="33">
        <f>Apr!G154</f>
        <v>0</v>
      </c>
      <c r="G21" s="33">
        <f>May!G154</f>
        <v>0</v>
      </c>
      <c r="H21" s="33">
        <f>Jun!G154</f>
        <v>0</v>
      </c>
      <c r="I21" s="33">
        <f>July!G154</f>
        <v>0</v>
      </c>
      <c r="J21" s="33">
        <f>Aug!G154</f>
        <v>0</v>
      </c>
      <c r="K21" s="33">
        <f>Sep!G154</f>
        <v>0</v>
      </c>
      <c r="L21" s="33">
        <f>Oct!G154</f>
        <v>0</v>
      </c>
      <c r="M21" s="33">
        <f>Nov!G154</f>
        <v>0</v>
      </c>
      <c r="N21" s="33">
        <f>Dec!G154</f>
        <v>0</v>
      </c>
      <c r="O21" s="33">
        <f t="shared" si="2"/>
        <v>2934.22</v>
      </c>
    </row>
    <row r="22" spans="1:15" ht="13.5">
      <c r="A22" s="43" t="s">
        <v>326</v>
      </c>
      <c r="B22" s="31">
        <v>0</v>
      </c>
      <c r="C22" s="33">
        <f>Jan!G155</f>
        <v>0</v>
      </c>
      <c r="D22" s="33">
        <f>Feb!G155</f>
        <v>0</v>
      </c>
      <c r="E22" s="33">
        <f>Mar!G155</f>
        <v>0</v>
      </c>
      <c r="F22" s="33">
        <f>Apr!G155</f>
        <v>0</v>
      </c>
      <c r="G22" s="33">
        <f>May!G155</f>
        <v>0</v>
      </c>
      <c r="H22" s="33">
        <f>Jun!G155</f>
        <v>0</v>
      </c>
      <c r="I22" s="33">
        <f>July!G155</f>
        <v>0</v>
      </c>
      <c r="J22" s="33">
        <f>Aug!G155</f>
        <v>0</v>
      </c>
      <c r="K22" s="33">
        <f>Sep!G155</f>
        <v>0</v>
      </c>
      <c r="L22" s="33">
        <f>Oct!G155</f>
        <v>0</v>
      </c>
      <c r="M22" s="33">
        <f>Nov!G155</f>
        <v>0</v>
      </c>
      <c r="N22" s="33">
        <f>Dec!G155</f>
        <v>0</v>
      </c>
      <c r="O22" s="33">
        <f t="shared" si="2"/>
        <v>0</v>
      </c>
    </row>
    <row r="23" spans="1:15" ht="13.5">
      <c r="A23" s="43" t="s">
        <v>309</v>
      </c>
      <c r="B23" s="31">
        <v>0</v>
      </c>
      <c r="C23" s="33">
        <f>Jan!G156</f>
        <v>0</v>
      </c>
      <c r="D23" s="33">
        <f>Feb!G156</f>
        <v>54.45</v>
      </c>
      <c r="E23" s="33">
        <f>Mar!G156</f>
        <v>0</v>
      </c>
      <c r="F23" s="33">
        <f>Apr!G156</f>
        <v>0</v>
      </c>
      <c r="G23" s="33">
        <f>May!G156</f>
        <v>0</v>
      </c>
      <c r="H23" s="33">
        <f>Jun!G156</f>
        <v>0</v>
      </c>
      <c r="I23" s="33">
        <f>July!G156</f>
        <v>0</v>
      </c>
      <c r="J23" s="33">
        <f>Aug!G156</f>
        <v>0</v>
      </c>
      <c r="K23" s="33">
        <f>Sep!G156</f>
        <v>0</v>
      </c>
      <c r="L23" s="33">
        <f>Oct!G156</f>
        <v>0</v>
      </c>
      <c r="M23" s="33">
        <f>Nov!G156</f>
        <v>0</v>
      </c>
      <c r="N23" s="33">
        <f>Dec!G156</f>
        <v>0</v>
      </c>
      <c r="O23" s="33">
        <f t="shared" si="2"/>
        <v>54.45</v>
      </c>
    </row>
    <row r="24" spans="1:15" ht="13.5">
      <c r="A24" s="43" t="s">
        <v>325</v>
      </c>
      <c r="B24" s="31">
        <v>0</v>
      </c>
      <c r="C24" s="33">
        <f>Jan!G157</f>
        <v>664.54999999999973</v>
      </c>
      <c r="D24" s="33">
        <f>Feb!G157</f>
        <v>0</v>
      </c>
      <c r="E24" s="33">
        <f>Mar!G157</f>
        <v>0</v>
      </c>
      <c r="F24" s="33">
        <f>Apr!G157</f>
        <v>0</v>
      </c>
      <c r="G24" s="33">
        <f>May!G157</f>
        <v>0</v>
      </c>
      <c r="H24" s="33">
        <f ca="1">Jun!G157</f>
        <v>0</v>
      </c>
      <c r="I24" s="33">
        <f>July!G157</f>
        <v>0</v>
      </c>
      <c r="J24" s="33">
        <f>Aug!G157</f>
        <v>0</v>
      </c>
      <c r="K24" s="33">
        <f>Sep!G157</f>
        <v>0</v>
      </c>
      <c r="L24" s="33">
        <f>Oct!G157</f>
        <v>0</v>
      </c>
      <c r="M24" s="33">
        <f>Nov!G157</f>
        <v>0</v>
      </c>
      <c r="N24" s="33">
        <f>Dec!G157</f>
        <v>0</v>
      </c>
      <c r="O24" s="33">
        <f ca="1">SUM(B24:N24)</f>
        <v>0</v>
      </c>
    </row>
    <row r="25" spans="1:15" ht="13.5">
      <c r="A25" s="4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 ht="13.5">
      <c r="A26" s="43" t="s">
        <v>517</v>
      </c>
      <c r="B26" s="31">
        <v>0</v>
      </c>
      <c r="C26" s="33">
        <f>C52</f>
        <v>0</v>
      </c>
      <c r="D26" s="33">
        <f t="shared" ref="D26:N26" si="3">D52</f>
        <v>0</v>
      </c>
      <c r="E26" s="33">
        <f t="shared" si="3"/>
        <v>0</v>
      </c>
      <c r="F26" s="33">
        <f t="shared" si="3"/>
        <v>0</v>
      </c>
      <c r="G26" s="33">
        <f t="shared" si="3"/>
        <v>0</v>
      </c>
      <c r="H26" s="33">
        <f t="shared" si="3"/>
        <v>0</v>
      </c>
      <c r="I26" s="33">
        <f t="shared" si="3"/>
        <v>0</v>
      </c>
      <c r="J26" s="33">
        <f t="shared" si="3"/>
        <v>0</v>
      </c>
      <c r="K26" s="33">
        <f t="shared" si="3"/>
        <v>0</v>
      </c>
      <c r="L26" s="33">
        <f t="shared" si="3"/>
        <v>0</v>
      </c>
      <c r="M26" s="33">
        <f t="shared" si="3"/>
        <v>0</v>
      </c>
      <c r="N26" s="33">
        <f t="shared" si="3"/>
        <v>0</v>
      </c>
      <c r="O26" s="33">
        <f t="shared" si="2"/>
        <v>0</v>
      </c>
    </row>
    <row r="27" spans="1:15">
      <c r="A27" s="94" t="s">
        <v>113</v>
      </c>
      <c r="B27" s="34">
        <v>2200</v>
      </c>
      <c r="C27" s="35">
        <f>C18-C19+C26</f>
        <v>0</v>
      </c>
      <c r="D27" s="35">
        <f t="shared" ref="D27:N27" si="4">D18-D19+D26</f>
        <v>0</v>
      </c>
      <c r="E27" s="35">
        <f t="shared" si="4"/>
        <v>0</v>
      </c>
      <c r="F27" s="35">
        <f t="shared" si="4"/>
        <v>0</v>
      </c>
      <c r="G27" s="35">
        <f t="shared" si="4"/>
        <v>0</v>
      </c>
      <c r="H27" s="35">
        <f t="shared" si="4"/>
        <v>0</v>
      </c>
      <c r="I27" s="35">
        <f t="shared" si="4"/>
        <v>0</v>
      </c>
      <c r="J27" s="35">
        <f t="shared" si="4"/>
        <v>0</v>
      </c>
      <c r="K27" s="35">
        <f t="shared" si="4"/>
        <v>0</v>
      </c>
      <c r="L27" s="35">
        <f t="shared" si="4"/>
        <v>0</v>
      </c>
      <c r="M27" s="35">
        <f t="shared" si="4"/>
        <v>0</v>
      </c>
      <c r="N27" s="35">
        <f t="shared" si="4"/>
        <v>0</v>
      </c>
      <c r="O27" s="35">
        <f t="shared" si="2"/>
        <v>2200</v>
      </c>
    </row>
    <row r="28" spans="1:15"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</row>
    <row r="29" spans="1:15">
      <c r="A29" s="95" t="s">
        <v>114</v>
      </c>
    </row>
    <row r="30" spans="1:15">
      <c r="A30" s="94" t="s">
        <v>104</v>
      </c>
      <c r="B30" s="31">
        <v>550</v>
      </c>
      <c r="C30" s="31">
        <f>Jan!$G$18</f>
        <v>0</v>
      </c>
      <c r="D30" s="31">
        <f>Feb!$G$18</f>
        <v>0</v>
      </c>
      <c r="E30" s="31">
        <f>Mar!$G$18</f>
        <v>0</v>
      </c>
      <c r="F30" s="31">
        <f>Apr!$G$18</f>
        <v>0</v>
      </c>
      <c r="G30" s="42">
        <f>May!$G$18</f>
        <v>0</v>
      </c>
      <c r="H30" s="31">
        <f>Jun!$G$18</f>
        <v>0</v>
      </c>
      <c r="I30" s="31">
        <f>July!$G$18</f>
        <v>0</v>
      </c>
      <c r="J30" s="31">
        <f>Aug!$G$18</f>
        <v>0</v>
      </c>
      <c r="K30" s="31">
        <f>Sep!$G$18</f>
        <v>0</v>
      </c>
      <c r="L30" s="31">
        <f>Oct!$G$18</f>
        <v>0</v>
      </c>
      <c r="M30" s="31">
        <f>Nov!$G$18</f>
        <v>0</v>
      </c>
      <c r="N30" s="31">
        <f>Dec!$G$18</f>
        <v>0</v>
      </c>
      <c r="O30" s="33">
        <f>SUM(B30:N30)</f>
        <v>550</v>
      </c>
    </row>
    <row r="31" spans="1:15">
      <c r="A31" s="94" t="s">
        <v>354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</row>
    <row r="32" spans="1:15">
      <c r="A32" s="94" t="s">
        <v>113</v>
      </c>
      <c r="B32" s="34">
        <v>550</v>
      </c>
      <c r="C32" s="35">
        <f>C30-C31</f>
        <v>0</v>
      </c>
      <c r="D32" s="35">
        <f t="shared" ref="D32:N32" si="5">D30-D31</f>
        <v>0</v>
      </c>
      <c r="E32" s="35">
        <f t="shared" si="5"/>
        <v>0</v>
      </c>
      <c r="F32" s="35">
        <f t="shared" si="5"/>
        <v>0</v>
      </c>
      <c r="G32" s="35">
        <f t="shared" si="5"/>
        <v>0</v>
      </c>
      <c r="H32" s="35">
        <f t="shared" si="5"/>
        <v>0</v>
      </c>
      <c r="I32" s="35">
        <f t="shared" si="5"/>
        <v>0</v>
      </c>
      <c r="J32" s="35">
        <f t="shared" si="5"/>
        <v>0</v>
      </c>
      <c r="K32" s="35">
        <f t="shared" si="5"/>
        <v>0</v>
      </c>
      <c r="L32" s="35">
        <f t="shared" si="5"/>
        <v>0</v>
      </c>
      <c r="M32" s="35">
        <f t="shared" si="5"/>
        <v>0</v>
      </c>
      <c r="N32" s="35">
        <f t="shared" si="5"/>
        <v>0</v>
      </c>
      <c r="O32" s="35">
        <f>O30-O31</f>
        <v>550</v>
      </c>
    </row>
    <row r="33" spans="1:15">
      <c r="A33" s="94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</row>
    <row r="35" spans="1:15">
      <c r="A35" s="95" t="s">
        <v>151</v>
      </c>
      <c r="B35" s="34"/>
      <c r="C35" s="35">
        <f>Jan!$G$30</f>
        <v>0</v>
      </c>
      <c r="D35" s="35">
        <f>Feb!$G$30</f>
        <v>0</v>
      </c>
      <c r="E35" s="35">
        <f>Mar!$G$30</f>
        <v>0</v>
      </c>
      <c r="F35" s="35">
        <f>Apr!$G$30</f>
        <v>0</v>
      </c>
      <c r="G35" s="35">
        <f>May!$G$30</f>
        <v>17669.45</v>
      </c>
      <c r="H35" s="35">
        <f>Jun!$G$30</f>
        <v>468</v>
      </c>
      <c r="I35" s="35">
        <f>July!$G$30</f>
        <v>0</v>
      </c>
      <c r="J35" s="35">
        <f>Aug!$G$30</f>
        <v>0</v>
      </c>
      <c r="K35" s="35">
        <f>Sep!$G$30</f>
        <v>0</v>
      </c>
      <c r="L35" s="35">
        <f>Oct!$G$30</f>
        <v>0</v>
      </c>
      <c r="M35" s="35">
        <f>Nov!$G$30</f>
        <v>0</v>
      </c>
      <c r="N35" s="35">
        <f>Dec!$G$30</f>
        <v>0</v>
      </c>
      <c r="O35" s="35">
        <f>SUM(B35:N35)</f>
        <v>18137.45</v>
      </c>
    </row>
    <row r="36" spans="1:15">
      <c r="A36" s="99"/>
      <c r="B36" s="36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97" t="s">
        <v>168</v>
      </c>
      <c r="B37" s="90"/>
      <c r="C37" s="91">
        <f>Jan!$G$33</f>
        <v>810.57000000000153</v>
      </c>
      <c r="D37" s="91">
        <f>Feb!$G$33</f>
        <v>2213.4900000000007</v>
      </c>
      <c r="E37" s="91">
        <f>Mar!$G$33</f>
        <v>3185.3899999999958</v>
      </c>
      <c r="F37" s="91">
        <f>Apr!$G$33</f>
        <v>8404.6500000000015</v>
      </c>
      <c r="G37" s="91">
        <f>May!$G$33</f>
        <v>22823.260000000002</v>
      </c>
      <c r="H37" s="91">
        <f>Jun!$G$33</f>
        <v>0</v>
      </c>
      <c r="I37" s="91">
        <f>July!$G$33</f>
        <v>3300.1199999999994</v>
      </c>
      <c r="J37" s="91">
        <f>Aug!$G$33</f>
        <v>4787.3700000000008</v>
      </c>
      <c r="K37" s="91">
        <f>Sep!$G$33</f>
        <v>-1897.9500000000003</v>
      </c>
      <c r="L37" s="91">
        <f>Oct!$G$33</f>
        <v>-1697.9500000000003</v>
      </c>
      <c r="M37" s="91">
        <f>Nov!$G$33</f>
        <v>-2797.9500000000003</v>
      </c>
      <c r="N37" s="91">
        <f>Dec!$G$33</f>
        <v>-6897.9500000000007</v>
      </c>
      <c r="O37" s="90">
        <f>SUM(B37:N37)</f>
        <v>32233.050000000014</v>
      </c>
    </row>
    <row r="38" spans="1:15">
      <c r="A38" s="99"/>
      <c r="B38" s="36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96"/>
      <c r="B39" s="177" t="s">
        <v>110</v>
      </c>
      <c r="C39" s="177"/>
      <c r="D39" s="177"/>
      <c r="E39" s="177"/>
      <c r="F39" s="177"/>
      <c r="G39" s="177"/>
      <c r="H39" s="177"/>
      <c r="I39" s="177"/>
      <c r="J39" s="177"/>
      <c r="K39" s="177"/>
      <c r="L39" s="177"/>
      <c r="M39" s="177"/>
      <c r="N39" s="177"/>
      <c r="O39" s="177"/>
    </row>
    <row r="40" spans="1:15">
      <c r="A40" s="98" t="s">
        <v>124</v>
      </c>
      <c r="B40" s="177" t="s">
        <v>111</v>
      </c>
      <c r="C40" s="177" t="s">
        <v>88</v>
      </c>
      <c r="D40" s="177" t="s">
        <v>89</v>
      </c>
      <c r="E40" s="177" t="s">
        <v>90</v>
      </c>
      <c r="F40" s="177" t="s">
        <v>91</v>
      </c>
      <c r="G40" s="177" t="s">
        <v>10</v>
      </c>
      <c r="H40" s="177" t="s">
        <v>92</v>
      </c>
      <c r="I40" s="177" t="s">
        <v>93</v>
      </c>
      <c r="J40" s="177" t="s">
        <v>95</v>
      </c>
      <c r="K40" s="177" t="s">
        <v>96</v>
      </c>
      <c r="L40" s="177" t="s">
        <v>97</v>
      </c>
      <c r="M40" s="177" t="s">
        <v>98</v>
      </c>
      <c r="N40" s="177" t="s">
        <v>99</v>
      </c>
      <c r="O40" s="177" t="s">
        <v>65</v>
      </c>
    </row>
    <row r="41" spans="1:15">
      <c r="A41" s="99" t="s">
        <v>167</v>
      </c>
      <c r="B41" s="36">
        <v>0</v>
      </c>
      <c r="C41" s="38">
        <f>Jan!$G$26</f>
        <v>0</v>
      </c>
      <c r="D41" s="38">
        <f>Feb!$G$26</f>
        <v>0</v>
      </c>
      <c r="E41" s="38">
        <f>Mar!$G$26</f>
        <v>0</v>
      </c>
      <c r="F41" s="38">
        <f>Apr!$G$26</f>
        <v>0</v>
      </c>
      <c r="G41" s="38">
        <f>May!$G$26</f>
        <v>0</v>
      </c>
      <c r="H41" s="38">
        <f>Jun!$G$26</f>
        <v>0</v>
      </c>
      <c r="I41" s="38">
        <f>July!$G$26</f>
        <v>0</v>
      </c>
      <c r="J41" s="38">
        <f>Aug!$G$26</f>
        <v>0</v>
      </c>
      <c r="K41" s="38">
        <f>Sep!$G$26</f>
        <v>0</v>
      </c>
      <c r="L41" s="38">
        <f>Oct!$G$26</f>
        <v>0</v>
      </c>
      <c r="M41" s="38">
        <f>Nov!$G$26</f>
        <v>0</v>
      </c>
      <c r="N41" s="38">
        <f>Dec!$G$26</f>
        <v>0</v>
      </c>
      <c r="O41" s="39">
        <f>SUM(B41:N41)</f>
        <v>0</v>
      </c>
    </row>
    <row r="42" spans="1:15">
      <c r="A42" s="100" t="s">
        <v>150</v>
      </c>
      <c r="B42" s="39">
        <v>54203.30000000009</v>
      </c>
      <c r="C42" s="174">
        <f>Jan!$G$33</f>
        <v>810.57000000000153</v>
      </c>
      <c r="D42" s="174">
        <f>Feb!$G$33</f>
        <v>2213.4900000000007</v>
      </c>
      <c r="E42" s="174">
        <f>Mar!$G$33</f>
        <v>3185.3899999999958</v>
      </c>
      <c r="F42" s="174">
        <f>Apr!$G$33</f>
        <v>8404.6500000000015</v>
      </c>
      <c r="G42" s="174">
        <f>May!$G$33</f>
        <v>22823.260000000002</v>
      </c>
      <c r="H42" s="174">
        <f>Jun!G32</f>
        <v>-18151.070000000003</v>
      </c>
      <c r="I42" s="174">
        <f>July!$G$33</f>
        <v>3300.1199999999994</v>
      </c>
      <c r="J42" s="174">
        <f>Aug!$G$33</f>
        <v>4787.3700000000008</v>
      </c>
      <c r="K42" s="174">
        <f>Sep!$G$33</f>
        <v>-1897.9500000000003</v>
      </c>
      <c r="L42" s="174">
        <f>Oct!$G$33</f>
        <v>-1697.9500000000003</v>
      </c>
      <c r="M42" s="174">
        <f>Nov!$G$33</f>
        <v>-2797.9500000000003</v>
      </c>
      <c r="N42" s="174">
        <f>Dec!$G$33</f>
        <v>-6897.9500000000007</v>
      </c>
      <c r="O42" s="39">
        <f>SUM(B42:N42)</f>
        <v>68285.280000000086</v>
      </c>
    </row>
    <row r="43" spans="1:15">
      <c r="A43" s="100" t="s">
        <v>261</v>
      </c>
      <c r="B43" s="39">
        <v>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>
        <f>SUM(B43:N43)</f>
        <v>0</v>
      </c>
    </row>
    <row r="44" spans="1:15">
      <c r="A44" s="100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</row>
    <row r="45" spans="1:15">
      <c r="A45" s="101" t="s">
        <v>172</v>
      </c>
      <c r="B45" s="36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>
      <c r="A46" s="102" t="s">
        <v>159</v>
      </c>
      <c r="B46" s="31">
        <v>0</v>
      </c>
      <c r="O46" s="39">
        <f>SUM(B46:N46)</f>
        <v>0</v>
      </c>
    </row>
    <row r="47" spans="1:15">
      <c r="A47" s="102" t="s">
        <v>160</v>
      </c>
      <c r="B47" s="31">
        <v>0</v>
      </c>
      <c r="O47" s="39">
        <f t="shared" ref="O47:O58" si="6">SUM(B47:N47)</f>
        <v>0</v>
      </c>
    </row>
    <row r="48" spans="1:15">
      <c r="A48" s="102" t="s">
        <v>163</v>
      </c>
      <c r="B48" s="31">
        <v>0</v>
      </c>
      <c r="O48" s="39">
        <f t="shared" si="6"/>
        <v>0</v>
      </c>
    </row>
    <row r="49" spans="1:16">
      <c r="A49" s="102" t="s">
        <v>169</v>
      </c>
      <c r="B49" s="31">
        <v>0</v>
      </c>
      <c r="O49" s="39">
        <f t="shared" si="6"/>
        <v>0</v>
      </c>
    </row>
    <row r="50" spans="1:16">
      <c r="A50" s="102" t="s">
        <v>348</v>
      </c>
      <c r="B50" s="31">
        <v>-10000</v>
      </c>
      <c r="O50" s="39">
        <f t="shared" si="6"/>
        <v>-10000</v>
      </c>
      <c r="P50" s="31" t="s">
        <v>824</v>
      </c>
    </row>
    <row r="51" spans="1:16">
      <c r="A51" s="102" t="s">
        <v>188</v>
      </c>
      <c r="B51" s="31">
        <v>-300</v>
      </c>
      <c r="O51" s="39">
        <f t="shared" si="6"/>
        <v>-300</v>
      </c>
    </row>
    <row r="52" spans="1:16">
      <c r="A52" s="102" t="s">
        <v>518</v>
      </c>
      <c r="B52" s="31">
        <v>0</v>
      </c>
      <c r="O52" s="39">
        <f t="shared" si="6"/>
        <v>0</v>
      </c>
    </row>
    <row r="53" spans="1:16">
      <c r="A53" s="102" t="s">
        <v>519</v>
      </c>
      <c r="B53" s="31">
        <v>0</v>
      </c>
      <c r="O53" s="39">
        <f t="shared" si="6"/>
        <v>0</v>
      </c>
    </row>
    <row r="54" spans="1:16">
      <c r="A54" s="102" t="s">
        <v>545</v>
      </c>
      <c r="B54" s="31">
        <v>-5660.21</v>
      </c>
      <c r="O54" s="39">
        <f t="shared" si="6"/>
        <v>-5660.21</v>
      </c>
    </row>
    <row r="55" spans="1:16">
      <c r="A55" s="102" t="s">
        <v>544</v>
      </c>
      <c r="B55" s="31">
        <v>-36095.78</v>
      </c>
      <c r="O55" s="39">
        <f t="shared" si="6"/>
        <v>-36095.78</v>
      </c>
    </row>
    <row r="56" spans="1:16">
      <c r="A56" s="102" t="s">
        <v>355</v>
      </c>
      <c r="B56" s="31">
        <v>-10000</v>
      </c>
      <c r="O56" s="39">
        <f t="shared" si="6"/>
        <v>-10000</v>
      </c>
    </row>
    <row r="57" spans="1:16">
      <c r="A57" s="102" t="s">
        <v>260</v>
      </c>
      <c r="B57" s="31">
        <v>-8961.81</v>
      </c>
      <c r="O57" s="39">
        <f t="shared" si="6"/>
        <v>-8961.81</v>
      </c>
    </row>
    <row r="58" spans="1:16">
      <c r="A58" s="121" t="s">
        <v>360</v>
      </c>
      <c r="B58" s="31">
        <v>121.26000000000002</v>
      </c>
      <c r="C58" s="31">
        <v>10.61</v>
      </c>
      <c r="D58" s="31">
        <v>9.49</v>
      </c>
      <c r="E58" s="31">
        <v>8.68</v>
      </c>
      <c r="F58" s="31">
        <v>6.98</v>
      </c>
      <c r="G58" s="31">
        <v>9.89</v>
      </c>
      <c r="H58" s="31">
        <v>18.8</v>
      </c>
      <c r="O58" s="39">
        <f t="shared" si="6"/>
        <v>185.71000000000004</v>
      </c>
    </row>
    <row r="59" spans="1:16" ht="15">
      <c r="A59" s="120" t="s">
        <v>180</v>
      </c>
      <c r="B59" s="218">
        <v>-16693.239999999907</v>
      </c>
      <c r="C59" s="114">
        <f>C41+C42+SUM(C46:C58)</f>
        <v>821.18000000000154</v>
      </c>
      <c r="D59" s="114">
        <f>D41+D42+SUM(D46:D58)</f>
        <v>2222.9800000000005</v>
      </c>
      <c r="E59" s="114">
        <f>E41+E42+SUM(E46:E58)</f>
        <v>3194.0699999999956</v>
      </c>
      <c r="F59" s="114">
        <f>F41+F42+SUM(F46:F58)</f>
        <v>8411.630000000001</v>
      </c>
      <c r="G59" s="114">
        <f>G41+G42+SUM(G46:G58)</f>
        <v>22833.15</v>
      </c>
      <c r="H59" s="114">
        <f t="shared" ref="H59:L59" si="7">H41+H42+SUM(H46:H58)</f>
        <v>-18132.270000000004</v>
      </c>
      <c r="I59" s="114">
        <f t="shared" si="7"/>
        <v>3300.1199999999994</v>
      </c>
      <c r="J59" s="114">
        <f t="shared" si="7"/>
        <v>4787.3700000000008</v>
      </c>
      <c r="K59" s="114">
        <f t="shared" si="7"/>
        <v>-1897.9500000000003</v>
      </c>
      <c r="L59" s="114">
        <f t="shared" si="7"/>
        <v>-1697.9500000000003</v>
      </c>
      <c r="M59" s="114"/>
      <c r="N59" s="114"/>
      <c r="O59" s="114">
        <f>SUM(B59:N59)</f>
        <v>7149.0900000000893</v>
      </c>
      <c r="P59" s="31">
        <f>SUM(O41:O42)+SUM(O46:O58)</f>
        <v>-2546.8099999999104</v>
      </c>
    </row>
    <row r="60" spans="1:16" ht="15">
      <c r="A60" s="220"/>
      <c r="B60" s="221"/>
      <c r="C60" s="221"/>
      <c r="D60" s="221"/>
      <c r="E60" s="221"/>
      <c r="F60" s="221"/>
      <c r="G60" s="221"/>
      <c r="H60" s="221"/>
      <c r="I60" s="221"/>
      <c r="J60" s="221"/>
      <c r="K60" s="221"/>
      <c r="L60" s="221"/>
      <c r="M60" s="221"/>
      <c r="N60" s="221"/>
      <c r="O60" s="221"/>
    </row>
    <row r="61" spans="1:16" thickBot="1">
      <c r="A61" s="222" t="s">
        <v>653</v>
      </c>
      <c r="B61" s="223">
        <v>-9206.239999999907</v>
      </c>
      <c r="C61" s="223">
        <f>C8+C15+C27+C32+C59</f>
        <v>821.18000000000154</v>
      </c>
      <c r="D61" s="223">
        <f t="shared" ref="D61:N61" si="8">D8+D15+D27+D32+D59</f>
        <v>1222.9800000000005</v>
      </c>
      <c r="E61" s="223">
        <f t="shared" si="8"/>
        <v>3194.0699999999956</v>
      </c>
      <c r="F61" s="223">
        <f t="shared" si="8"/>
        <v>8411.630000000001</v>
      </c>
      <c r="G61" s="223">
        <f t="shared" si="8"/>
        <v>22833.15</v>
      </c>
      <c r="H61" s="223">
        <f t="shared" si="8"/>
        <v>-18132.270000000004</v>
      </c>
      <c r="I61" s="223">
        <f t="shared" si="8"/>
        <v>3300.1199999999994</v>
      </c>
      <c r="J61" s="223">
        <f t="shared" si="8"/>
        <v>4787.3700000000008</v>
      </c>
      <c r="K61" s="223">
        <f t="shared" si="8"/>
        <v>-1897.9500000000003</v>
      </c>
      <c r="L61" s="223">
        <f t="shared" si="8"/>
        <v>-1697.9500000000003</v>
      </c>
      <c r="M61" s="223">
        <f t="shared" si="8"/>
        <v>0</v>
      </c>
      <c r="N61" s="223">
        <f t="shared" si="8"/>
        <v>0</v>
      </c>
      <c r="O61" s="223">
        <f>O8+O15+O27+O32+O59</f>
        <v>13636.090000000089</v>
      </c>
    </row>
    <row r="62" spans="1:16" ht="16.5" thickTop="1">
      <c r="A62" s="92" t="s">
        <v>361</v>
      </c>
      <c r="D62" s="179"/>
      <c r="E62" s="179"/>
      <c r="F62" s="179"/>
      <c r="G62" s="179"/>
      <c r="I62" s="179"/>
    </row>
    <row r="63" spans="1:16" ht="12.75">
      <c r="A63" s="168" t="s">
        <v>823</v>
      </c>
    </row>
    <row r="64" spans="1:16" s="37" customFormat="1" ht="12.75">
      <c r="A64" s="168" t="s">
        <v>336</v>
      </c>
    </row>
    <row r="65" spans="1:16" ht="12.75">
      <c r="A65" s="168" t="s">
        <v>553</v>
      </c>
    </row>
    <row r="66" spans="1:16" ht="12.75">
      <c r="A66" s="168"/>
    </row>
    <row r="67" spans="1:16">
      <c r="A67" s="169" t="s">
        <v>353</v>
      </c>
    </row>
    <row r="68" spans="1:16" ht="12.75">
      <c r="A68" s="31"/>
    </row>
    <row r="69" spans="1:16">
      <c r="A69" s="98" t="s">
        <v>257</v>
      </c>
      <c r="B69" s="168" t="s">
        <v>516</v>
      </c>
    </row>
    <row r="70" spans="1:16">
      <c r="A70" s="96" t="s">
        <v>170</v>
      </c>
      <c r="B70" s="31">
        <v>10500</v>
      </c>
      <c r="C70" s="31">
        <f>Jan!$G$25</f>
        <v>0</v>
      </c>
      <c r="D70" s="31">
        <f>Feb!$G$25</f>
        <v>0</v>
      </c>
      <c r="E70" s="31">
        <f>Mar!$G$25</f>
        <v>0</v>
      </c>
      <c r="F70" s="31">
        <f>Apr!$G$25</f>
        <v>0</v>
      </c>
      <c r="G70" s="31">
        <f>May!$G$25</f>
        <v>0</v>
      </c>
      <c r="H70" s="31">
        <f>Jun!$G$25</f>
        <v>0</v>
      </c>
      <c r="I70" s="31">
        <f>July!$G$25</f>
        <v>0</v>
      </c>
      <c r="J70" s="31">
        <f>Aug!$G$25</f>
        <v>0</v>
      </c>
      <c r="K70" s="31">
        <f>Sep!$G$25</f>
        <v>0</v>
      </c>
      <c r="L70" s="31">
        <f>Oct!$G$25</f>
        <v>0</v>
      </c>
      <c r="M70" s="31">
        <f>Nov!$G$25</f>
        <v>0</v>
      </c>
      <c r="N70" s="31">
        <f>Dec!$G$25</f>
        <v>0</v>
      </c>
      <c r="O70" s="31">
        <f t="shared" ref="O70:O82" si="9">SUM(B70:N70)</f>
        <v>10500</v>
      </c>
    </row>
    <row r="71" spans="1:16">
      <c r="A71" s="96" t="s">
        <v>171</v>
      </c>
      <c r="B71" s="31">
        <v>4500</v>
      </c>
      <c r="O71" s="31">
        <f t="shared" si="9"/>
        <v>4500</v>
      </c>
    </row>
    <row r="72" spans="1:16">
      <c r="A72" s="92" t="s">
        <v>349</v>
      </c>
      <c r="B72" s="31">
        <v>12450</v>
      </c>
      <c r="C72" s="31">
        <v>0</v>
      </c>
      <c r="D72" s="31">
        <v>0</v>
      </c>
      <c r="O72" s="31">
        <f t="shared" si="9"/>
        <v>12450</v>
      </c>
    </row>
    <row r="73" spans="1:16">
      <c r="A73" s="92" t="s">
        <v>350</v>
      </c>
      <c r="B73" s="31">
        <v>12450</v>
      </c>
      <c r="C73" s="31">
        <v>0</v>
      </c>
      <c r="D73" s="31">
        <v>0</v>
      </c>
      <c r="O73" s="31">
        <f t="shared" si="9"/>
        <v>12450</v>
      </c>
    </row>
    <row r="74" spans="1:16">
      <c r="A74" s="92" t="s">
        <v>265</v>
      </c>
      <c r="B74" s="31">
        <v>5500</v>
      </c>
      <c r="O74" s="31">
        <f t="shared" si="9"/>
        <v>5500</v>
      </c>
    </row>
    <row r="75" spans="1:16">
      <c r="A75" s="92" t="s">
        <v>266</v>
      </c>
      <c r="B75" s="31">
        <v>5500</v>
      </c>
      <c r="O75" s="31">
        <f t="shared" si="9"/>
        <v>5500</v>
      </c>
    </row>
    <row r="76" spans="1:16">
      <c r="A76" s="92" t="s">
        <v>253</v>
      </c>
      <c r="B76" s="31">
        <v>0</v>
      </c>
      <c r="O76" s="31">
        <f t="shared" si="9"/>
        <v>0</v>
      </c>
    </row>
    <row r="77" spans="1:16">
      <c r="A77" s="92" t="s">
        <v>254</v>
      </c>
      <c r="B77" s="31">
        <v>0</v>
      </c>
      <c r="O77" s="31">
        <f t="shared" si="9"/>
        <v>0</v>
      </c>
    </row>
    <row r="78" spans="1:16">
      <c r="A78" s="92" t="s">
        <v>175</v>
      </c>
      <c r="B78" s="31">
        <v>1800</v>
      </c>
      <c r="O78" s="31">
        <f t="shared" si="9"/>
        <v>1800</v>
      </c>
    </row>
    <row r="79" spans="1:16">
      <c r="A79" s="92" t="s">
        <v>546</v>
      </c>
      <c r="B79" s="31">
        <v>-52700</v>
      </c>
      <c r="O79" s="31">
        <f t="shared" si="9"/>
        <v>-52700</v>
      </c>
      <c r="P79" s="31" t="s">
        <v>554</v>
      </c>
    </row>
    <row r="80" spans="1:16">
      <c r="A80" s="92" t="s">
        <v>544</v>
      </c>
      <c r="B80" s="31">
        <v>0</v>
      </c>
      <c r="O80" s="31">
        <f t="shared" si="9"/>
        <v>0</v>
      </c>
    </row>
    <row r="81" spans="1:16">
      <c r="A81" s="92" t="s">
        <v>521</v>
      </c>
      <c r="B81" s="31">
        <v>0</v>
      </c>
      <c r="O81" s="31">
        <f t="shared" si="9"/>
        <v>0</v>
      </c>
    </row>
    <row r="82" spans="1:16">
      <c r="A82" s="92" t="s">
        <v>524</v>
      </c>
      <c r="B82" s="31">
        <v>0</v>
      </c>
      <c r="O82" s="31">
        <f t="shared" si="9"/>
        <v>0</v>
      </c>
    </row>
    <row r="83" spans="1:16" ht="15">
      <c r="A83" s="104" t="s">
        <v>179</v>
      </c>
      <c r="B83" s="219">
        <f>SUM(B69:B82)</f>
        <v>0</v>
      </c>
      <c r="C83" s="108">
        <f t="shared" ref="C83:N83" si="10">SUM(C69:C82)</f>
        <v>0</v>
      </c>
      <c r="D83" s="108">
        <f t="shared" si="10"/>
        <v>0</v>
      </c>
      <c r="E83" s="108">
        <f t="shared" si="10"/>
        <v>0</v>
      </c>
      <c r="F83" s="108">
        <f t="shared" si="10"/>
        <v>0</v>
      </c>
      <c r="G83" s="108">
        <f t="shared" si="10"/>
        <v>0</v>
      </c>
      <c r="H83" s="108">
        <f t="shared" si="10"/>
        <v>0</v>
      </c>
      <c r="I83" s="108">
        <f t="shared" si="10"/>
        <v>0</v>
      </c>
      <c r="J83" s="108">
        <f t="shared" si="10"/>
        <v>0</v>
      </c>
      <c r="K83" s="108">
        <f t="shared" si="10"/>
        <v>0</v>
      </c>
      <c r="L83" s="108">
        <f t="shared" si="10"/>
        <v>0</v>
      </c>
      <c r="M83" s="108">
        <f t="shared" si="10"/>
        <v>0</v>
      </c>
      <c r="N83" s="108">
        <f t="shared" si="10"/>
        <v>0</v>
      </c>
      <c r="O83" s="110">
        <f>SUM(O69:O82)</f>
        <v>0</v>
      </c>
    </row>
    <row r="84" spans="1:16" ht="15">
      <c r="A84" s="104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173"/>
    </row>
    <row r="85" spans="1:16" ht="12.75">
      <c r="A85" s="168" t="s">
        <v>351</v>
      </c>
    </row>
    <row r="86" spans="1:16" ht="12.75">
      <c r="A86" s="168" t="s">
        <v>365</v>
      </c>
    </row>
    <row r="87" spans="1:16" ht="12.75">
      <c r="A87" s="168"/>
    </row>
    <row r="88" spans="1:16">
      <c r="A88" s="98" t="s">
        <v>173</v>
      </c>
    </row>
    <row r="89" spans="1:16">
      <c r="A89" s="92" t="s">
        <v>335</v>
      </c>
      <c r="B89" s="40">
        <v>68119.969999999987</v>
      </c>
      <c r="C89" s="31">
        <v>30.83</v>
      </c>
      <c r="D89" s="31">
        <v>28.86</v>
      </c>
      <c r="F89" s="31">
        <v>20.71</v>
      </c>
      <c r="G89" s="42">
        <v>15.6</v>
      </c>
      <c r="H89" s="31">
        <v>41.44</v>
      </c>
      <c r="O89" s="40">
        <f t="shared" ref="O89:O96" si="11">SUM(B89:N89)</f>
        <v>68257.41</v>
      </c>
    </row>
    <row r="90" spans="1:16">
      <c r="A90" s="92" t="s">
        <v>356</v>
      </c>
      <c r="B90" s="31">
        <v>1200</v>
      </c>
      <c r="D90" s="31">
        <v>-1090</v>
      </c>
      <c r="O90" s="40">
        <f t="shared" si="11"/>
        <v>110</v>
      </c>
      <c r="P90" s="31" t="s">
        <v>941</v>
      </c>
    </row>
    <row r="91" spans="1:16">
      <c r="A91" s="92" t="s">
        <v>183</v>
      </c>
      <c r="B91" s="40">
        <v>6000</v>
      </c>
      <c r="C91" s="33">
        <f>Jan!$G$19</f>
        <v>0</v>
      </c>
      <c r="D91" s="31">
        <f>Feb!$G$19</f>
        <v>0</v>
      </c>
      <c r="E91" s="31">
        <f>Mar!$G$19</f>
        <v>0</v>
      </c>
      <c r="F91" s="31">
        <f>Apr!$G$19</f>
        <v>0</v>
      </c>
      <c r="G91" s="42">
        <f>May!$G$19</f>
        <v>0</v>
      </c>
      <c r="H91" s="31">
        <f>Jun!$G$19</f>
        <v>0</v>
      </c>
      <c r="I91" s="31">
        <f>July!$G$19</f>
        <v>0</v>
      </c>
      <c r="J91" s="31">
        <f>Aug!$G$19</f>
        <v>0</v>
      </c>
      <c r="K91" s="31">
        <f>Sep!$G$19</f>
        <v>0</v>
      </c>
      <c r="L91" s="31">
        <f>Oct!$G$19</f>
        <v>0</v>
      </c>
      <c r="M91" s="31">
        <f>Nov!$G$19</f>
        <v>0</v>
      </c>
      <c r="N91" s="31">
        <f>Dec!$G$19</f>
        <v>0</v>
      </c>
      <c r="O91" s="40">
        <f t="shared" si="11"/>
        <v>6000</v>
      </c>
    </row>
    <row r="92" spans="1:16">
      <c r="A92" s="92" t="s">
        <v>178</v>
      </c>
      <c r="B92" s="40">
        <v>7200</v>
      </c>
      <c r="C92" s="31">
        <f>Jan!$G$20</f>
        <v>0</v>
      </c>
      <c r="D92" s="33">
        <f>Feb!$G$20</f>
        <v>0</v>
      </c>
      <c r="E92" s="33">
        <f>Mar!$G$20</f>
        <v>0</v>
      </c>
      <c r="F92" s="33">
        <f>Apr!$G$20</f>
        <v>0</v>
      </c>
      <c r="G92" s="33">
        <f>May!$G$20</f>
        <v>0</v>
      </c>
      <c r="H92" s="33">
        <f>Jun!$G$20</f>
        <v>0</v>
      </c>
      <c r="I92" s="33">
        <f>July!$G$20</f>
        <v>0</v>
      </c>
      <c r="J92" s="33">
        <f>Aug!$G$20</f>
        <v>0</v>
      </c>
      <c r="K92" s="33">
        <f>Sep!$G$20</f>
        <v>0</v>
      </c>
      <c r="L92" s="33">
        <v>0</v>
      </c>
      <c r="M92" s="33">
        <f>Nov!$G$20</f>
        <v>0</v>
      </c>
      <c r="N92" s="33">
        <f>Dec!$G$20</f>
        <v>0</v>
      </c>
      <c r="O92" s="40">
        <f>SUM(B92:N92)</f>
        <v>7200</v>
      </c>
    </row>
    <row r="93" spans="1:16">
      <c r="A93" s="92" t="s">
        <v>181</v>
      </c>
      <c r="B93" s="40">
        <v>0</v>
      </c>
      <c r="G93" s="42"/>
      <c r="O93" s="40">
        <f t="shared" si="11"/>
        <v>0</v>
      </c>
    </row>
    <row r="94" spans="1:16">
      <c r="A94" s="92" t="s">
        <v>536</v>
      </c>
      <c r="B94" s="40">
        <v>4427.3600000000024</v>
      </c>
      <c r="C94" s="31">
        <f>Jan!$G$22</f>
        <v>0</v>
      </c>
      <c r="D94" s="33">
        <f>Feb!$G$22</f>
        <v>0</v>
      </c>
      <c r="E94" s="33">
        <f>Mar!$G$22</f>
        <v>0</v>
      </c>
      <c r="F94" s="33">
        <f>Apr!$G$22</f>
        <v>0</v>
      </c>
      <c r="G94" s="33">
        <f>May!$G$22</f>
        <v>0</v>
      </c>
      <c r="H94" s="33">
        <f>Jun!$G$22</f>
        <v>0</v>
      </c>
      <c r="I94" s="33">
        <f>July!$G$22</f>
        <v>0</v>
      </c>
      <c r="J94" s="33">
        <f>Aug!$G$22</f>
        <v>0</v>
      </c>
      <c r="K94" s="33">
        <f>Sep!$G$22</f>
        <v>0</v>
      </c>
      <c r="L94" s="33">
        <f>Oct!$G$22</f>
        <v>0</v>
      </c>
      <c r="M94" s="33">
        <f>Nov!$G$22</f>
        <v>0</v>
      </c>
      <c r="N94" s="33">
        <f>Dec!$G$22</f>
        <v>0</v>
      </c>
      <c r="O94" s="40">
        <f t="shared" si="11"/>
        <v>4427.3600000000024</v>
      </c>
      <c r="P94" s="31" t="s">
        <v>187</v>
      </c>
    </row>
    <row r="95" spans="1:16">
      <c r="A95" s="92" t="s">
        <v>547</v>
      </c>
      <c r="B95" s="40">
        <v>2655.739999999998</v>
      </c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40">
        <f t="shared" si="11"/>
        <v>2655.739999999998</v>
      </c>
      <c r="P95" s="31" t="s">
        <v>534</v>
      </c>
    </row>
    <row r="96" spans="1:16">
      <c r="A96" s="92" t="s">
        <v>818</v>
      </c>
      <c r="B96" s="40">
        <v>416.89999999999964</v>
      </c>
      <c r="D96" s="33"/>
      <c r="E96" s="33"/>
      <c r="F96" s="33">
        <v>2090</v>
      </c>
      <c r="G96" s="33"/>
      <c r="H96" s="33"/>
      <c r="I96" s="33"/>
      <c r="J96" s="33"/>
      <c r="K96" s="33"/>
      <c r="L96" s="33"/>
      <c r="M96" s="33"/>
      <c r="N96" s="33"/>
      <c r="O96" s="40">
        <f t="shared" si="11"/>
        <v>2506.8999999999996</v>
      </c>
      <c r="P96" s="31" t="s">
        <v>817</v>
      </c>
    </row>
    <row r="97" spans="1:16">
      <c r="A97" s="92" t="s">
        <v>990</v>
      </c>
      <c r="B97" s="40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40"/>
    </row>
    <row r="98" spans="1:16">
      <c r="B98" s="40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40"/>
    </row>
    <row r="99" spans="1:16" ht="15">
      <c r="A99" s="111" t="s">
        <v>674</v>
      </c>
      <c r="B99" s="109">
        <v>90019.97</v>
      </c>
      <c r="C99" s="109">
        <f t="shared" ref="C99:N99" si="12">SUM(C89:C96)</f>
        <v>30.83</v>
      </c>
      <c r="D99" s="109">
        <f t="shared" si="12"/>
        <v>-1061.1400000000001</v>
      </c>
      <c r="E99" s="109">
        <f t="shared" si="12"/>
        <v>0</v>
      </c>
      <c r="F99" s="109">
        <f t="shared" si="12"/>
        <v>2110.71</v>
      </c>
      <c r="G99" s="109">
        <f t="shared" si="12"/>
        <v>15.6</v>
      </c>
      <c r="H99" s="109">
        <f t="shared" si="12"/>
        <v>41.44</v>
      </c>
      <c r="I99" s="109">
        <f t="shared" si="12"/>
        <v>0</v>
      </c>
      <c r="J99" s="109">
        <f t="shared" si="12"/>
        <v>0</v>
      </c>
      <c r="K99" s="109">
        <f t="shared" si="12"/>
        <v>0</v>
      </c>
      <c r="L99" s="109">
        <f t="shared" si="12"/>
        <v>0</v>
      </c>
      <c r="M99" s="109">
        <f t="shared" si="12"/>
        <v>0</v>
      </c>
      <c r="N99" s="109">
        <f t="shared" si="12"/>
        <v>0</v>
      </c>
      <c r="O99" s="109">
        <f>SUM(B99:N99)</f>
        <v>91157.410000000018</v>
      </c>
      <c r="P99" s="40"/>
    </row>
    <row r="100" spans="1:16" s="37" customFormat="1" ht="15">
      <c r="A100" s="229"/>
      <c r="B100" s="170"/>
      <c r="C100" s="170"/>
      <c r="D100" s="231" t="s">
        <v>675</v>
      </c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230"/>
    </row>
    <row r="101" spans="1:16">
      <c r="A101" s="175" t="s">
        <v>548</v>
      </c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</row>
    <row r="102" spans="1:16">
      <c r="A102" s="172" t="s">
        <v>190</v>
      </c>
      <c r="B102" s="176">
        <f>FV(3%/12,48,,62000)</f>
        <v>-69894.337304475761</v>
      </c>
      <c r="C102" s="262" t="s">
        <v>837</v>
      </c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</row>
    <row r="103" spans="1:16">
      <c r="A103" s="172" t="s">
        <v>557</v>
      </c>
      <c r="B103" s="176">
        <f>(-B102-62000)/4*2.75</f>
        <v>5427.3568968270856</v>
      </c>
      <c r="C103" s="198" t="s">
        <v>559</v>
      </c>
      <c r="E103" s="170"/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</row>
    <row r="104" spans="1:16">
      <c r="A104" s="172" t="s">
        <v>836</v>
      </c>
      <c r="B104" s="176">
        <v>62000</v>
      </c>
      <c r="C104" s="170"/>
      <c r="D104" s="198"/>
      <c r="E104" s="170"/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</row>
    <row r="105" spans="1:16">
      <c r="A105" s="175" t="s">
        <v>358</v>
      </c>
      <c r="B105" s="260">
        <v>42303</v>
      </c>
      <c r="C105" s="198" t="s">
        <v>558</v>
      </c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</row>
    <row r="106" spans="1:16" ht="12.75">
      <c r="A106" s="31"/>
      <c r="C106" s="170"/>
      <c r="D106" s="170"/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</row>
    <row r="107" spans="1:16">
      <c r="A107" s="175"/>
      <c r="B107" s="175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</row>
    <row r="108" spans="1:16">
      <c r="A108" s="175"/>
      <c r="B108" s="175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</row>
    <row r="109" spans="1:16">
      <c r="A109" s="175" t="s">
        <v>555</v>
      </c>
      <c r="B109" s="175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</row>
    <row r="110" spans="1:16">
      <c r="A110" s="175" t="s">
        <v>556</v>
      </c>
      <c r="B110" s="176">
        <f>FV(3%/12,48,,61800)</f>
        <v>-69668.871700267773</v>
      </c>
      <c r="C110" s="262" t="s">
        <v>838</v>
      </c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</row>
    <row r="111" spans="1:16">
      <c r="A111" s="175" t="s">
        <v>557</v>
      </c>
      <c r="B111" s="197">
        <f>(-B110-61800)/4*1.35</f>
        <v>2655.7441988403734</v>
      </c>
      <c r="C111" s="198" t="s">
        <v>559</v>
      </c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</row>
    <row r="112" spans="1:16">
      <c r="A112" s="175"/>
      <c r="B112" s="197"/>
      <c r="C112" s="170"/>
      <c r="D112" s="198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</row>
    <row r="113" spans="1:15">
      <c r="A113" s="175" t="s">
        <v>358</v>
      </c>
      <c r="B113" s="260">
        <v>42303</v>
      </c>
      <c r="C113" s="198" t="s">
        <v>558</v>
      </c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</row>
    <row r="114" spans="1:15">
      <c r="A114" s="175"/>
      <c r="B114" s="260"/>
      <c r="C114" s="170"/>
      <c r="D114" s="198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</row>
    <row r="115" spans="1:15">
      <c r="A115" s="175"/>
      <c r="B115" s="260"/>
      <c r="C115" s="170"/>
      <c r="D115" s="198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</row>
    <row r="116" spans="1:15">
      <c r="A116" s="175" t="s">
        <v>819</v>
      </c>
      <c r="B116" s="260"/>
      <c r="C116" s="170"/>
      <c r="D116" s="198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</row>
    <row r="117" spans="1:15">
      <c r="A117" s="175" t="s">
        <v>825</v>
      </c>
      <c r="B117" s="261">
        <f>FV(3%/12,10,,15700)</f>
        <v>-16096.945191676228</v>
      </c>
      <c r="C117" s="170"/>
      <c r="D117" s="198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</row>
    <row r="118" spans="1:15">
      <c r="A118" s="175" t="s">
        <v>839</v>
      </c>
      <c r="B118" s="261">
        <f>-B117-15700</f>
        <v>396.94519167622821</v>
      </c>
      <c r="C118" s="170"/>
      <c r="D118" s="198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</row>
    <row r="119" spans="1:15">
      <c r="A119" s="175" t="s">
        <v>840</v>
      </c>
      <c r="B119" s="260">
        <v>42305</v>
      </c>
      <c r="C119" s="170"/>
      <c r="D119" s="170"/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</row>
    <row r="120" spans="1:15"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</row>
    <row r="121" spans="1:15">
      <c r="A121" s="169" t="s">
        <v>337</v>
      </c>
    </row>
    <row r="122" spans="1:15">
      <c r="A122" s="92" t="s">
        <v>344</v>
      </c>
    </row>
    <row r="123" spans="1:15">
      <c r="A123" s="92" t="s">
        <v>345</v>
      </c>
    </row>
    <row r="124" spans="1:15">
      <c r="A124" s="92" t="s">
        <v>346</v>
      </c>
    </row>
    <row r="125" spans="1:15">
      <c r="A125" s="92" t="s">
        <v>347</v>
      </c>
    </row>
    <row r="126" spans="1:15">
      <c r="B126" s="31">
        <v>-1</v>
      </c>
    </row>
    <row r="127" spans="1:15">
      <c r="A127" s="169" t="s">
        <v>339</v>
      </c>
    </row>
    <row r="128" spans="1:15">
      <c r="A128" s="92" t="s">
        <v>340</v>
      </c>
    </row>
    <row r="129" spans="1:5" ht="15">
      <c r="A129" s="111" t="s">
        <v>341</v>
      </c>
      <c r="B129" s="170">
        <f>FV(3%/12,48,,62000)</f>
        <v>-69894.337304475761</v>
      </c>
    </row>
    <row r="130" spans="1:5" ht="15">
      <c r="A130" s="171" t="s">
        <v>342</v>
      </c>
      <c r="B130" s="170">
        <v>10000</v>
      </c>
    </row>
    <row r="131" spans="1:5" ht="15">
      <c r="A131" s="171" t="s">
        <v>343</v>
      </c>
      <c r="B131" s="170">
        <f>SUM(C94:N94)</f>
        <v>0</v>
      </c>
    </row>
    <row r="132" spans="1:5" ht="15">
      <c r="A132" s="171" t="s">
        <v>560</v>
      </c>
      <c r="B132" s="170"/>
    </row>
    <row r="133" spans="1:5" ht="15">
      <c r="A133" s="111"/>
      <c r="B133" s="170"/>
    </row>
    <row r="134" spans="1:5">
      <c r="B134" s="37"/>
    </row>
    <row r="135" spans="1:5">
      <c r="A135" s="92" t="s">
        <v>338</v>
      </c>
    </row>
    <row r="136" spans="1:5">
      <c r="A136" s="103" t="s">
        <v>116</v>
      </c>
      <c r="B136" s="31">
        <v>61289.34</v>
      </c>
    </row>
    <row r="137" spans="1:5">
      <c r="A137" s="92" t="s">
        <v>117</v>
      </c>
      <c r="B137" s="31">
        <v>32544.49</v>
      </c>
    </row>
    <row r="138" spans="1:5">
      <c r="A138" s="92" t="s">
        <v>118</v>
      </c>
      <c r="B138" s="34">
        <f>B136-B137</f>
        <v>28744.849999999995</v>
      </c>
    </row>
    <row r="139" spans="1:5">
      <c r="A139" s="92" t="s">
        <v>153</v>
      </c>
      <c r="B139" s="86">
        <f>FV(6%/12, 48,, 18750)</f>
        <v>-23821.671770538363</v>
      </c>
      <c r="C139" s="31" t="s">
        <v>152</v>
      </c>
      <c r="E139" s="31" t="s">
        <v>176</v>
      </c>
    </row>
    <row r="140" spans="1:5">
      <c r="A140" s="92" t="s">
        <v>154</v>
      </c>
      <c r="B140" s="86">
        <f>FV(5%/12, 12,,10000)</f>
        <v>-10511.618978817334</v>
      </c>
      <c r="C140" s="31" t="s">
        <v>115</v>
      </c>
      <c r="E140" s="31" t="s">
        <v>177</v>
      </c>
    </row>
    <row r="141" spans="1:5">
      <c r="A141" s="92" t="s">
        <v>119</v>
      </c>
      <c r="B141" s="87">
        <f>SUM(B138:B140)</f>
        <v>-5588.4407493557028</v>
      </c>
    </row>
    <row r="142" spans="1:5">
      <c r="A142" s="92" t="s">
        <v>174</v>
      </c>
      <c r="B142" s="31">
        <v>608.21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  <ignoredErrors>
    <ignoredError sqref="D100 C102 C110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opLeftCell="A131" zoomScaleNormal="100" workbookViewId="0">
      <selection activeCell="E158" sqref="E158"/>
    </sheetView>
  </sheetViews>
  <sheetFormatPr defaultRowHeight="12.75"/>
  <cols>
    <col min="1" max="1" width="16.5703125" customWidth="1"/>
    <col min="2" max="2" width="14.28515625" customWidth="1"/>
    <col min="3" max="3" width="15.42578125" customWidth="1"/>
    <col min="4" max="4" width="14.5703125" customWidth="1"/>
    <col min="5" max="5" width="15.5703125" customWidth="1"/>
    <col min="6" max="6" width="15.28515625" customWidth="1"/>
    <col min="7" max="7" width="13.42578125" customWidth="1"/>
    <col min="8" max="8" width="12.42578125" customWidth="1"/>
    <col min="9" max="9" width="12.7109375" customWidth="1"/>
    <col min="11" max="11" width="10.28515625" customWidth="1"/>
    <col min="12" max="12" width="4.42578125" customWidth="1"/>
    <col min="13" max="13" width="18" customWidth="1"/>
    <col min="14" max="14" width="17.140625" customWidth="1"/>
    <col min="15" max="15" width="15.140625" customWidth="1"/>
    <col min="16" max="16" width="14.5703125" customWidth="1"/>
  </cols>
  <sheetData>
    <row r="1" spans="1:9" ht="15.75">
      <c r="A1" s="13" t="s">
        <v>942</v>
      </c>
    </row>
    <row r="2" spans="1:9" ht="15.75">
      <c r="A2" s="14" t="s">
        <v>55</v>
      </c>
      <c r="B2" s="14" t="s">
        <v>56</v>
      </c>
    </row>
    <row r="3" spans="1:9" s="16" customFormat="1" ht="15.75">
      <c r="C3" s="14"/>
      <c r="D3" s="14"/>
      <c r="E3" s="14"/>
      <c r="F3" s="14"/>
      <c r="G3" s="15"/>
    </row>
    <row r="4" spans="1:9">
      <c r="A4" t="s">
        <v>515</v>
      </c>
    </row>
    <row r="5" spans="1:9">
      <c r="B5" s="5" t="s">
        <v>57</v>
      </c>
      <c r="C5" s="5" t="s">
        <v>58</v>
      </c>
      <c r="D5" s="5" t="s">
        <v>59</v>
      </c>
      <c r="E5" s="5" t="s">
        <v>60</v>
      </c>
      <c r="F5" s="5" t="s">
        <v>61</v>
      </c>
      <c r="G5" s="5" t="s">
        <v>62</v>
      </c>
      <c r="H5" s="5" t="s">
        <v>63</v>
      </c>
      <c r="I5" s="5" t="s">
        <v>64</v>
      </c>
    </row>
    <row r="6" spans="1:9">
      <c r="A6" s="6" t="s">
        <v>6</v>
      </c>
      <c r="B6" s="17">
        <f>Jan!B4</f>
        <v>11431.89</v>
      </c>
      <c r="C6" s="18">
        <f t="shared" ref="C6:C19" si="0">0.1*B6</f>
        <v>1143.1890000000001</v>
      </c>
      <c r="D6">
        <f>B42</f>
        <v>1350</v>
      </c>
      <c r="E6">
        <f>C6-D6</f>
        <v>-206.81099999999992</v>
      </c>
      <c r="F6" s="19">
        <f t="shared" ref="F6:F17" si="1">D6/B6</f>
        <v>0.118090709410255</v>
      </c>
      <c r="G6" s="18">
        <f>B6</f>
        <v>11431.89</v>
      </c>
      <c r="H6" s="106">
        <f>D6</f>
        <v>1350</v>
      </c>
      <c r="I6" s="19">
        <f t="shared" ref="I6:I17" si="2">H6/G6</f>
        <v>0.118090709410255</v>
      </c>
    </row>
    <row r="7" spans="1:9">
      <c r="A7" s="6" t="s">
        <v>7</v>
      </c>
      <c r="B7" s="18">
        <f>Feb!$B$4</f>
        <v>7966.1900000000005</v>
      </c>
      <c r="C7" s="18">
        <f t="shared" si="0"/>
        <v>796.61900000000014</v>
      </c>
      <c r="D7">
        <f>B55</f>
        <v>1350</v>
      </c>
      <c r="E7">
        <f t="shared" ref="E7:E17" si="3">E6+C7-D7</f>
        <v>-760.19199999999978</v>
      </c>
      <c r="F7" s="19">
        <f t="shared" si="1"/>
        <v>0.16946620655545497</v>
      </c>
      <c r="G7" s="20">
        <f t="shared" ref="G7:G17" si="4">G6+B7</f>
        <v>19398.080000000002</v>
      </c>
      <c r="H7" s="106">
        <f t="shared" ref="H7:H17" si="5">H6+D7</f>
        <v>2700</v>
      </c>
      <c r="I7" s="19">
        <f t="shared" si="2"/>
        <v>0.13918903314142431</v>
      </c>
    </row>
    <row r="8" spans="1:9">
      <c r="A8" s="6" t="s">
        <v>8</v>
      </c>
      <c r="B8" s="18">
        <f>Mar!$B$4</f>
        <v>20799.809999999998</v>
      </c>
      <c r="C8" s="18">
        <f t="shared" si="0"/>
        <v>2079.9809999999998</v>
      </c>
      <c r="D8">
        <f>B68</f>
        <v>1450</v>
      </c>
      <c r="E8">
        <f t="shared" si="3"/>
        <v>-130.21100000000001</v>
      </c>
      <c r="F8" s="19">
        <f t="shared" si="1"/>
        <v>6.9712175255447054E-2</v>
      </c>
      <c r="G8" s="20">
        <f t="shared" si="4"/>
        <v>40197.89</v>
      </c>
      <c r="H8" s="106">
        <f t="shared" si="5"/>
        <v>4150</v>
      </c>
      <c r="I8" s="19">
        <f t="shared" si="2"/>
        <v>0.10323924962230605</v>
      </c>
    </row>
    <row r="9" spans="1:9">
      <c r="A9" s="6" t="s">
        <v>9</v>
      </c>
      <c r="B9" s="18">
        <f>Apr!$B$4</f>
        <v>12743.170000000002</v>
      </c>
      <c r="C9" s="18">
        <f t="shared" si="0"/>
        <v>1274.3170000000002</v>
      </c>
      <c r="D9">
        <f>B82</f>
        <v>1250</v>
      </c>
      <c r="E9">
        <f t="shared" si="3"/>
        <v>-105.89399999999978</v>
      </c>
      <c r="F9" s="19">
        <f t="shared" si="1"/>
        <v>9.8091762096872273E-2</v>
      </c>
      <c r="G9" s="20">
        <f t="shared" si="4"/>
        <v>52941.06</v>
      </c>
      <c r="H9" s="106">
        <f t="shared" si="5"/>
        <v>5400</v>
      </c>
      <c r="I9" s="19">
        <f t="shared" si="2"/>
        <v>0.10200022440049368</v>
      </c>
    </row>
    <row r="10" spans="1:9">
      <c r="A10" s="6" t="s">
        <v>10</v>
      </c>
      <c r="B10" s="18">
        <f>May!$B$4</f>
        <v>9283.5600000000013</v>
      </c>
      <c r="C10" s="18">
        <f t="shared" si="0"/>
        <v>928.35600000000022</v>
      </c>
      <c r="D10">
        <f>B97</f>
        <v>2450</v>
      </c>
      <c r="E10">
        <f t="shared" si="3"/>
        <v>-1627.5379999999996</v>
      </c>
      <c r="F10" s="19">
        <f t="shared" si="1"/>
        <v>0.26390738035839695</v>
      </c>
      <c r="G10" s="20">
        <f t="shared" si="4"/>
        <v>62224.619999999995</v>
      </c>
      <c r="H10" s="106">
        <f t="shared" si="5"/>
        <v>7850</v>
      </c>
      <c r="I10" s="19">
        <f t="shared" si="2"/>
        <v>0.12615585277981611</v>
      </c>
    </row>
    <row r="11" spans="1:9">
      <c r="A11" s="6" t="s">
        <v>11</v>
      </c>
      <c r="B11" s="18">
        <f>Jun!$B$4</f>
        <v>11016.410000000002</v>
      </c>
      <c r="C11" s="18">
        <f t="shared" si="0"/>
        <v>1101.6410000000003</v>
      </c>
      <c r="D11">
        <f>B112</f>
        <v>11450</v>
      </c>
      <c r="E11">
        <f t="shared" si="3"/>
        <v>-11975.896999999999</v>
      </c>
      <c r="F11" s="19">
        <f t="shared" si="1"/>
        <v>1.0393585569164545</v>
      </c>
      <c r="G11" s="20">
        <f t="shared" si="4"/>
        <v>73241.03</v>
      </c>
      <c r="H11" s="106">
        <f t="shared" si="5"/>
        <v>19300</v>
      </c>
      <c r="I11" s="19">
        <f t="shared" si="2"/>
        <v>0.2635134978303828</v>
      </c>
    </row>
    <row r="12" spans="1:9">
      <c r="A12" s="6" t="s">
        <v>12</v>
      </c>
      <c r="B12" s="18">
        <f>July!$B$4</f>
        <v>9283.57</v>
      </c>
      <c r="C12" s="18">
        <f t="shared" si="0"/>
        <v>928.35699999999997</v>
      </c>
      <c r="D12">
        <f>B125</f>
        <v>1520</v>
      </c>
      <c r="E12">
        <f t="shared" si="3"/>
        <v>-12567.539999999999</v>
      </c>
      <c r="F12" s="19">
        <f t="shared" si="1"/>
        <v>0.16373011675465365</v>
      </c>
      <c r="G12" s="20">
        <f t="shared" si="4"/>
        <v>82524.600000000006</v>
      </c>
      <c r="H12" s="106">
        <f t="shared" si="5"/>
        <v>20820</v>
      </c>
      <c r="I12" s="19">
        <f t="shared" si="2"/>
        <v>0.25228840854726953</v>
      </c>
    </row>
    <row r="13" spans="1:9">
      <c r="A13" s="6" t="s">
        <v>13</v>
      </c>
      <c r="B13" s="18">
        <f>Aug!$B$4</f>
        <v>9283.5600000000013</v>
      </c>
      <c r="C13" s="18">
        <f t="shared" si="0"/>
        <v>928.35600000000022</v>
      </c>
      <c r="D13">
        <f>B137</f>
        <v>1620</v>
      </c>
      <c r="E13">
        <f t="shared" si="3"/>
        <v>-13259.183999999999</v>
      </c>
      <c r="F13" s="19">
        <f t="shared" si="1"/>
        <v>0.1745020229308584</v>
      </c>
      <c r="G13" s="20">
        <f t="shared" si="4"/>
        <v>91808.16</v>
      </c>
      <c r="H13" s="106">
        <f t="shared" si="5"/>
        <v>22440</v>
      </c>
      <c r="I13" s="19">
        <f t="shared" si="2"/>
        <v>0.24442271798062393</v>
      </c>
    </row>
    <row r="14" spans="1:9">
      <c r="A14" s="6" t="s">
        <v>14</v>
      </c>
      <c r="B14" s="18">
        <f>Sep!$B$4</f>
        <v>0</v>
      </c>
      <c r="C14" s="18">
        <f t="shared" si="0"/>
        <v>0</v>
      </c>
      <c r="D14">
        <f>B151</f>
        <v>1720</v>
      </c>
      <c r="E14">
        <f t="shared" si="3"/>
        <v>-14979.183999999999</v>
      </c>
      <c r="F14" s="19" t="e">
        <f t="shared" si="1"/>
        <v>#DIV/0!</v>
      </c>
      <c r="G14" s="20">
        <f t="shared" si="4"/>
        <v>91808.16</v>
      </c>
      <c r="H14" s="106">
        <f t="shared" si="5"/>
        <v>24160</v>
      </c>
      <c r="I14" s="19">
        <f t="shared" si="2"/>
        <v>0.26315743611461118</v>
      </c>
    </row>
    <row r="15" spans="1:9">
      <c r="A15" s="6" t="s">
        <v>15</v>
      </c>
      <c r="B15" s="18">
        <f>Oct!$B$4</f>
        <v>0</v>
      </c>
      <c r="C15" s="18">
        <f t="shared" si="0"/>
        <v>0</v>
      </c>
      <c r="D15">
        <f>B166</f>
        <v>1520</v>
      </c>
      <c r="E15">
        <f t="shared" si="3"/>
        <v>-16499.184000000001</v>
      </c>
      <c r="F15" s="19" t="e">
        <f t="shared" si="1"/>
        <v>#DIV/0!</v>
      </c>
      <c r="G15" s="20">
        <f t="shared" si="4"/>
        <v>91808.16</v>
      </c>
      <c r="H15" s="106">
        <f t="shared" si="5"/>
        <v>25680</v>
      </c>
      <c r="I15" s="19">
        <f t="shared" si="2"/>
        <v>0.2797136986516231</v>
      </c>
    </row>
    <row r="16" spans="1:9">
      <c r="A16" s="6" t="s">
        <v>16</v>
      </c>
      <c r="B16" s="18">
        <f>Nov!$B$4</f>
        <v>0</v>
      </c>
      <c r="C16" s="18">
        <f t="shared" si="0"/>
        <v>0</v>
      </c>
      <c r="D16">
        <f>B181</f>
        <v>2620</v>
      </c>
      <c r="E16">
        <f t="shared" si="3"/>
        <v>-19119.184000000001</v>
      </c>
      <c r="F16" s="19" t="e">
        <f t="shared" si="1"/>
        <v>#DIV/0!</v>
      </c>
      <c r="G16" s="20">
        <f t="shared" si="4"/>
        <v>91808.16</v>
      </c>
      <c r="H16" s="106">
        <f t="shared" si="5"/>
        <v>28300</v>
      </c>
      <c r="I16" s="19">
        <f t="shared" si="2"/>
        <v>0.30825146697199901</v>
      </c>
    </row>
    <row r="17" spans="1:9">
      <c r="A17" s="6" t="s">
        <v>17</v>
      </c>
      <c r="B17" s="18">
        <f>Dec!$B$4</f>
        <v>0</v>
      </c>
      <c r="C17" s="18">
        <f t="shared" si="0"/>
        <v>0</v>
      </c>
      <c r="D17">
        <f>B196</f>
        <v>6720</v>
      </c>
      <c r="E17">
        <f t="shared" si="3"/>
        <v>-25839.184000000001</v>
      </c>
      <c r="F17" s="19" t="e">
        <f t="shared" si="1"/>
        <v>#DIV/0!</v>
      </c>
      <c r="G17" s="20">
        <f t="shared" si="4"/>
        <v>91808.16</v>
      </c>
      <c r="H17" s="106">
        <f t="shared" si="5"/>
        <v>35020</v>
      </c>
      <c r="I17" s="19">
        <f t="shared" si="2"/>
        <v>0.38144757503036764</v>
      </c>
    </row>
    <row r="18" spans="1:9">
      <c r="A18" s="186" t="s">
        <v>513</v>
      </c>
      <c r="B18" s="18">
        <v>13657</v>
      </c>
      <c r="C18" s="18">
        <f t="shared" si="0"/>
        <v>1365.7</v>
      </c>
      <c r="F18" s="19"/>
      <c r="G18" s="20"/>
      <c r="H18" s="106"/>
      <c r="I18" s="19"/>
    </row>
    <row r="19" spans="1:9">
      <c r="A19" s="186" t="s">
        <v>514</v>
      </c>
      <c r="B19" s="18">
        <f>4012.45</f>
        <v>4012.45</v>
      </c>
      <c r="C19" s="18">
        <f t="shared" si="0"/>
        <v>401.245</v>
      </c>
      <c r="F19" s="19"/>
      <c r="G19" s="20"/>
      <c r="H19" s="106"/>
      <c r="I19" s="19"/>
    </row>
    <row r="20" spans="1:9" ht="13.5" thickBot="1"/>
    <row r="21" spans="1:9" ht="13.5" thickBot="1">
      <c r="A21" t="s">
        <v>65</v>
      </c>
      <c r="B21" s="17">
        <f>SUM(B6:B19)</f>
        <v>109477.61</v>
      </c>
      <c r="C21" s="17">
        <f>SUM(C6:C19)</f>
        <v>10947.761</v>
      </c>
      <c r="D21" s="269">
        <f>SUM(D6:D17)</f>
        <v>35020</v>
      </c>
    </row>
    <row r="22" spans="1:9">
      <c r="B22" s="17"/>
      <c r="C22" s="1" t="s">
        <v>66</v>
      </c>
      <c r="D22" s="17">
        <f>D21/12</f>
        <v>2918.3333333333335</v>
      </c>
    </row>
    <row r="23" spans="1:9">
      <c r="B23" s="17"/>
      <c r="C23" s="1" t="s">
        <v>67</v>
      </c>
      <c r="D23" s="21">
        <f>D21/B21</f>
        <v>0.31988275958892415</v>
      </c>
    </row>
    <row r="25" spans="1:9">
      <c r="A25" s="22" t="s">
        <v>600</v>
      </c>
      <c r="E25" s="23" t="s">
        <v>68</v>
      </c>
      <c r="F25" s="23" t="s">
        <v>69</v>
      </c>
      <c r="G25" s="22" t="s">
        <v>70</v>
      </c>
      <c r="H25" t="s">
        <v>267</v>
      </c>
      <c r="I25" t="s">
        <v>527</v>
      </c>
    </row>
    <row r="26" spans="1:9">
      <c r="A26" t="s">
        <v>520</v>
      </c>
      <c r="E26">
        <f>12*1000</f>
        <v>12000</v>
      </c>
      <c r="F26">
        <f>F42+F55+F68+F82+F97+F112+F125+F137+F151+F166+F181+F196+F188+F203</f>
        <v>18000</v>
      </c>
    </row>
    <row r="27" spans="1:9">
      <c r="A27" t="s">
        <v>71</v>
      </c>
      <c r="C27" t="s">
        <v>72</v>
      </c>
      <c r="E27">
        <f>12*100</f>
        <v>1200</v>
      </c>
      <c r="F27">
        <f>F43+F56+F69+F83+F98+F113+F126+F138+F152+F167+F182+F197</f>
        <v>1500</v>
      </c>
      <c r="H27" s="150">
        <v>40483</v>
      </c>
      <c r="I27" t="s">
        <v>543</v>
      </c>
    </row>
    <row r="28" spans="1:9">
      <c r="A28" t="s">
        <v>71</v>
      </c>
      <c r="C28" t="s">
        <v>258</v>
      </c>
      <c r="E28">
        <f>12*100</f>
        <v>1200</v>
      </c>
      <c r="F28">
        <f>F44+F57+F70+F84+F99+F114+F127+F139+F153+F168+F183+F198</f>
        <v>1200</v>
      </c>
      <c r="H28">
        <v>2012</v>
      </c>
      <c r="I28" t="s">
        <v>543</v>
      </c>
    </row>
    <row r="29" spans="1:9">
      <c r="A29" t="s">
        <v>73</v>
      </c>
      <c r="C29" t="s">
        <v>74</v>
      </c>
      <c r="E29">
        <f>12*100</f>
        <v>1200</v>
      </c>
      <c r="F29">
        <v>800</v>
      </c>
      <c r="H29" s="150">
        <v>39448</v>
      </c>
      <c r="I29" t="s">
        <v>871</v>
      </c>
    </row>
    <row r="30" spans="1:9">
      <c r="A30" t="s">
        <v>75</v>
      </c>
      <c r="C30" s="24" t="s">
        <v>869</v>
      </c>
      <c r="E30">
        <f>12*100</f>
        <v>1200</v>
      </c>
      <c r="F30">
        <v>400</v>
      </c>
      <c r="H30">
        <v>2001</v>
      </c>
      <c r="I30" t="s">
        <v>872</v>
      </c>
    </row>
    <row r="31" spans="1:9">
      <c r="A31" t="s">
        <v>751</v>
      </c>
      <c r="C31" t="s">
        <v>870</v>
      </c>
      <c r="E31">
        <f>12*100</f>
        <v>1200</v>
      </c>
      <c r="F31">
        <v>700</v>
      </c>
      <c r="H31" s="150">
        <v>42156</v>
      </c>
      <c r="I31" t="s">
        <v>762</v>
      </c>
    </row>
    <row r="32" spans="1:9">
      <c r="A32" t="s">
        <v>520</v>
      </c>
      <c r="C32" t="s">
        <v>774</v>
      </c>
      <c r="F32">
        <v>300</v>
      </c>
    </row>
    <row r="33" spans="1:9">
      <c r="A33" t="s">
        <v>913</v>
      </c>
    </row>
    <row r="34" spans="1:9">
      <c r="F34">
        <f>120*6</f>
        <v>720</v>
      </c>
      <c r="H34" s="150">
        <v>42552</v>
      </c>
      <c r="I34" t="s">
        <v>1010</v>
      </c>
    </row>
    <row r="35" spans="1:9">
      <c r="E35" s="25">
        <f>SUM(E26:E34)</f>
        <v>18000</v>
      </c>
      <c r="F35" s="25">
        <f>SUM(F26:F34)</f>
        <v>23620</v>
      </c>
    </row>
    <row r="36" spans="1:9">
      <c r="E36" s="26"/>
    </row>
    <row r="37" spans="1:9">
      <c r="B37" t="s">
        <v>76</v>
      </c>
      <c r="E37" s="27">
        <f>E35/12</f>
        <v>1500</v>
      </c>
      <c r="F37" s="27">
        <f>F35/12</f>
        <v>1968.3333333333333</v>
      </c>
    </row>
    <row r="38" spans="1:9">
      <c r="B38" t="s">
        <v>78</v>
      </c>
      <c r="E38" s="27">
        <f>E35/52</f>
        <v>346.15384615384613</v>
      </c>
      <c r="F38" s="27">
        <f>F35/52</f>
        <v>454.23076923076923</v>
      </c>
    </row>
    <row r="40" spans="1:9">
      <c r="A40" s="28" t="s">
        <v>79</v>
      </c>
    </row>
    <row r="41" spans="1:9">
      <c r="B41" s="5" t="s">
        <v>28</v>
      </c>
      <c r="D41" t="s">
        <v>80</v>
      </c>
      <c r="E41" t="s">
        <v>81</v>
      </c>
      <c r="F41" t="s">
        <v>82</v>
      </c>
      <c r="G41" t="s">
        <v>83</v>
      </c>
    </row>
    <row r="42" spans="1:9">
      <c r="A42" s="2" t="s">
        <v>6</v>
      </c>
      <c r="B42" s="29">
        <f>SUM(F42:F53)</f>
        <v>1350</v>
      </c>
      <c r="C42" t="s">
        <v>520</v>
      </c>
      <c r="D42">
        <v>2060</v>
      </c>
      <c r="E42" s="119">
        <v>42372</v>
      </c>
      <c r="F42">
        <v>1000</v>
      </c>
    </row>
    <row r="43" spans="1:9">
      <c r="A43" s="2"/>
      <c r="B43" s="29"/>
      <c r="C43" t="s">
        <v>71</v>
      </c>
      <c r="D43" s="112" t="s">
        <v>331</v>
      </c>
      <c r="E43" s="119">
        <v>42374</v>
      </c>
      <c r="F43">
        <v>50</v>
      </c>
      <c r="G43" t="s">
        <v>72</v>
      </c>
      <c r="I43" t="s">
        <v>264</v>
      </c>
    </row>
    <row r="44" spans="1:9">
      <c r="A44" s="2"/>
      <c r="B44" s="29"/>
      <c r="C44" t="s">
        <v>71</v>
      </c>
      <c r="D44" s="112" t="s">
        <v>331</v>
      </c>
      <c r="E44" s="119">
        <v>42374</v>
      </c>
      <c r="F44">
        <v>100</v>
      </c>
      <c r="G44" t="s">
        <v>258</v>
      </c>
      <c r="I44" t="s">
        <v>270</v>
      </c>
    </row>
    <row r="45" spans="1:9">
      <c r="C45" t="s">
        <v>73</v>
      </c>
      <c r="D45" s="112"/>
      <c r="E45" s="119"/>
      <c r="G45" t="s">
        <v>74</v>
      </c>
      <c r="I45" t="s">
        <v>601</v>
      </c>
    </row>
    <row r="46" spans="1:9">
      <c r="C46" t="s">
        <v>75</v>
      </c>
      <c r="D46" s="112"/>
      <c r="E46" s="119"/>
      <c r="G46" t="s">
        <v>85</v>
      </c>
      <c r="I46" t="s">
        <v>86</v>
      </c>
    </row>
    <row r="47" spans="1:9">
      <c r="C47" t="s">
        <v>751</v>
      </c>
      <c r="D47" s="112" t="s">
        <v>750</v>
      </c>
      <c r="E47" s="119">
        <v>42370</v>
      </c>
      <c r="F47">
        <v>100</v>
      </c>
      <c r="G47" t="s">
        <v>870</v>
      </c>
      <c r="I47" t="s">
        <v>919</v>
      </c>
    </row>
    <row r="48" spans="1:9">
      <c r="C48" t="s">
        <v>913</v>
      </c>
      <c r="D48" s="112">
        <v>2062</v>
      </c>
      <c r="E48" s="119">
        <v>42377</v>
      </c>
      <c r="F48">
        <v>100</v>
      </c>
    </row>
    <row r="50" spans="1:9">
      <c r="D50" s="112"/>
    </row>
    <row r="52" spans="1:9">
      <c r="D52" s="112"/>
    </row>
    <row r="53" spans="1:9">
      <c r="D53" s="112"/>
      <c r="E53" s="119"/>
    </row>
    <row r="54" spans="1:9">
      <c r="D54" s="112"/>
    </row>
    <row r="55" spans="1:9">
      <c r="A55" s="2" t="s">
        <v>7</v>
      </c>
      <c r="B55" s="2">
        <f>SUM(F55:F66)</f>
        <v>1350</v>
      </c>
      <c r="C55" t="s">
        <v>520</v>
      </c>
      <c r="D55">
        <v>2063</v>
      </c>
      <c r="E55" s="119">
        <v>42428</v>
      </c>
      <c r="F55">
        <v>1000</v>
      </c>
    </row>
    <row r="56" spans="1:9">
      <c r="A56" s="2"/>
      <c r="B56" s="2"/>
      <c r="C56" t="s">
        <v>71</v>
      </c>
      <c r="D56" s="112" t="s">
        <v>331</v>
      </c>
      <c r="E56" s="119">
        <v>42405</v>
      </c>
      <c r="F56">
        <v>50</v>
      </c>
      <c r="G56" t="s">
        <v>72</v>
      </c>
      <c r="I56" t="s">
        <v>264</v>
      </c>
    </row>
    <row r="57" spans="1:9">
      <c r="A57" s="2"/>
      <c r="B57" s="2"/>
      <c r="C57" t="s">
        <v>71</v>
      </c>
      <c r="D57" s="112" t="s">
        <v>331</v>
      </c>
      <c r="E57" s="119">
        <v>42405</v>
      </c>
      <c r="F57">
        <v>100</v>
      </c>
      <c r="G57" t="s">
        <v>258</v>
      </c>
      <c r="I57" t="s">
        <v>270</v>
      </c>
    </row>
    <row r="58" spans="1:9">
      <c r="A58" s="2"/>
      <c r="B58" s="2"/>
      <c r="C58" t="s">
        <v>73</v>
      </c>
      <c r="G58" t="s">
        <v>74</v>
      </c>
      <c r="I58" t="s">
        <v>601</v>
      </c>
    </row>
    <row r="59" spans="1:9">
      <c r="A59" s="2"/>
      <c r="B59" s="2"/>
      <c r="C59" t="s">
        <v>75</v>
      </c>
      <c r="D59" s="112" t="s">
        <v>331</v>
      </c>
      <c r="E59" s="119">
        <v>42415</v>
      </c>
      <c r="F59">
        <v>100</v>
      </c>
      <c r="G59" t="s">
        <v>85</v>
      </c>
      <c r="I59" t="s">
        <v>86</v>
      </c>
    </row>
    <row r="60" spans="1:9">
      <c r="A60" s="2"/>
      <c r="B60" s="2"/>
      <c r="C60" t="s">
        <v>751</v>
      </c>
      <c r="D60" s="112" t="s">
        <v>750</v>
      </c>
      <c r="E60" s="119">
        <v>42401</v>
      </c>
      <c r="F60">
        <v>100</v>
      </c>
      <c r="G60" t="s">
        <v>870</v>
      </c>
      <c r="I60" t="s">
        <v>919</v>
      </c>
    </row>
    <row r="61" spans="1:9">
      <c r="A61" s="2"/>
      <c r="B61" s="2"/>
    </row>
    <row r="62" spans="1:9">
      <c r="A62" s="2"/>
      <c r="B62" s="2"/>
    </row>
    <row r="63" spans="1:9">
      <c r="A63" s="2"/>
      <c r="B63" s="2"/>
    </row>
    <row r="64" spans="1:9">
      <c r="A64" s="2"/>
      <c r="B64" s="2"/>
    </row>
    <row r="65" spans="1:10">
      <c r="A65" s="2"/>
      <c r="B65" s="2"/>
    </row>
    <row r="66" spans="1:10">
      <c r="A66" s="2"/>
      <c r="B66" s="2"/>
    </row>
    <row r="67" spans="1:10">
      <c r="D67" s="112"/>
    </row>
    <row r="68" spans="1:10">
      <c r="A68" s="2" t="s">
        <v>8</v>
      </c>
      <c r="B68" s="2">
        <f>SUM(F68:F80)</f>
        <v>1450</v>
      </c>
      <c r="C68" t="s">
        <v>520</v>
      </c>
      <c r="D68">
        <v>2067</v>
      </c>
      <c r="E68" s="119">
        <v>42435</v>
      </c>
      <c r="F68">
        <v>1000</v>
      </c>
    </row>
    <row r="69" spans="1:10">
      <c r="A69" s="2"/>
      <c r="B69" s="2"/>
      <c r="C69" t="s">
        <v>71</v>
      </c>
      <c r="D69" s="112" t="s">
        <v>331</v>
      </c>
      <c r="E69" s="119">
        <v>42434</v>
      </c>
      <c r="F69">
        <v>50</v>
      </c>
      <c r="G69" t="s">
        <v>72</v>
      </c>
      <c r="I69" t="s">
        <v>264</v>
      </c>
    </row>
    <row r="70" spans="1:10">
      <c r="A70" s="2"/>
      <c r="B70" s="2"/>
      <c r="C70" t="s">
        <v>71</v>
      </c>
      <c r="D70" s="112" t="s">
        <v>331</v>
      </c>
      <c r="E70" s="119">
        <v>42434</v>
      </c>
      <c r="F70">
        <v>100</v>
      </c>
      <c r="G70" t="s">
        <v>258</v>
      </c>
      <c r="I70" t="s">
        <v>270</v>
      </c>
    </row>
    <row r="71" spans="1:10">
      <c r="A71" s="2"/>
      <c r="B71" s="2"/>
      <c r="C71" t="s">
        <v>73</v>
      </c>
      <c r="D71" s="112" t="s">
        <v>331</v>
      </c>
      <c r="E71" s="119">
        <v>42444</v>
      </c>
      <c r="F71">
        <v>200</v>
      </c>
      <c r="G71" t="s">
        <v>74</v>
      </c>
      <c r="I71" t="s">
        <v>601</v>
      </c>
    </row>
    <row r="72" spans="1:10">
      <c r="C72" t="s">
        <v>75</v>
      </c>
      <c r="G72" t="s">
        <v>85</v>
      </c>
      <c r="I72" t="s">
        <v>86</v>
      </c>
    </row>
    <row r="73" spans="1:10">
      <c r="C73" t="s">
        <v>751</v>
      </c>
      <c r="D73" s="112" t="s">
        <v>750</v>
      </c>
      <c r="E73" s="119">
        <v>42430</v>
      </c>
      <c r="F73">
        <v>100</v>
      </c>
      <c r="G73" t="s">
        <v>870</v>
      </c>
      <c r="I73" t="s">
        <v>919</v>
      </c>
      <c r="J73" t="s">
        <v>84</v>
      </c>
    </row>
    <row r="79" spans="1:10">
      <c r="A79" s="2"/>
      <c r="B79" s="2"/>
    </row>
    <row r="80" spans="1:10">
      <c r="A80" s="2"/>
      <c r="B80" s="2"/>
    </row>
    <row r="81" spans="1:9">
      <c r="A81" s="2"/>
      <c r="B81" s="2"/>
      <c r="D81" s="112"/>
    </row>
    <row r="82" spans="1:9">
      <c r="A82" s="2" t="s">
        <v>9</v>
      </c>
      <c r="B82" s="2">
        <f>SUM(F82:F95)</f>
        <v>1250</v>
      </c>
      <c r="C82" t="s">
        <v>520</v>
      </c>
      <c r="D82">
        <v>2072</v>
      </c>
      <c r="E82" s="119">
        <v>42463</v>
      </c>
      <c r="F82">
        <v>1000</v>
      </c>
    </row>
    <row r="83" spans="1:9">
      <c r="C83" t="s">
        <v>71</v>
      </c>
      <c r="D83" s="112" t="s">
        <v>331</v>
      </c>
      <c r="E83" s="119">
        <v>42465</v>
      </c>
      <c r="F83">
        <v>50</v>
      </c>
      <c r="G83" t="s">
        <v>72</v>
      </c>
      <c r="I83" t="s">
        <v>264</v>
      </c>
    </row>
    <row r="84" spans="1:9">
      <c r="C84" t="s">
        <v>71</v>
      </c>
      <c r="D84" s="112" t="s">
        <v>331</v>
      </c>
      <c r="E84" s="119">
        <v>42465</v>
      </c>
      <c r="F84">
        <v>100</v>
      </c>
      <c r="G84" t="s">
        <v>258</v>
      </c>
      <c r="I84" t="s">
        <v>270</v>
      </c>
    </row>
    <row r="85" spans="1:9">
      <c r="C85" t="s">
        <v>73</v>
      </c>
      <c r="D85" s="112"/>
      <c r="G85" t="s">
        <v>74</v>
      </c>
      <c r="I85" t="s">
        <v>601</v>
      </c>
    </row>
    <row r="86" spans="1:9">
      <c r="C86" t="s">
        <v>75</v>
      </c>
      <c r="D86" s="112"/>
      <c r="G86" t="s">
        <v>85</v>
      </c>
      <c r="I86" t="s">
        <v>86</v>
      </c>
    </row>
    <row r="87" spans="1:9">
      <c r="C87" t="s">
        <v>751</v>
      </c>
      <c r="D87" s="112" t="s">
        <v>750</v>
      </c>
      <c r="E87" s="119">
        <v>42461</v>
      </c>
      <c r="F87">
        <v>100</v>
      </c>
      <c r="G87" t="s">
        <v>870</v>
      </c>
      <c r="I87" t="s">
        <v>919</v>
      </c>
    </row>
    <row r="88" spans="1:9">
      <c r="E88" s="119"/>
    </row>
    <row r="96" spans="1:9">
      <c r="D96" s="112"/>
    </row>
    <row r="97" spans="1:9">
      <c r="A97" s="2" t="s">
        <v>10</v>
      </c>
      <c r="B97" s="2">
        <f>SUM(F97:F111)</f>
        <v>2450</v>
      </c>
      <c r="C97" t="s">
        <v>520</v>
      </c>
      <c r="D97">
        <v>2078</v>
      </c>
      <c r="E97" s="119">
        <v>42491</v>
      </c>
      <c r="F97">
        <v>1000</v>
      </c>
    </row>
    <row r="98" spans="1:9">
      <c r="A98" s="2"/>
      <c r="B98" s="2"/>
      <c r="C98" t="s">
        <v>71</v>
      </c>
      <c r="D98" s="112" t="s">
        <v>331</v>
      </c>
      <c r="E98" s="119">
        <v>42495</v>
      </c>
      <c r="F98">
        <v>50</v>
      </c>
      <c r="G98" t="s">
        <v>72</v>
      </c>
      <c r="I98" t="s">
        <v>264</v>
      </c>
    </row>
    <row r="99" spans="1:9">
      <c r="A99" s="2"/>
      <c r="B99" s="2"/>
      <c r="C99" t="s">
        <v>71</v>
      </c>
      <c r="D99" s="112" t="s">
        <v>331</v>
      </c>
      <c r="E99" s="119">
        <v>42495</v>
      </c>
      <c r="F99">
        <v>100</v>
      </c>
      <c r="G99" t="s">
        <v>258</v>
      </c>
      <c r="I99" t="s">
        <v>270</v>
      </c>
    </row>
    <row r="100" spans="1:9">
      <c r="A100" s="2"/>
      <c r="B100" s="2"/>
      <c r="C100" t="s">
        <v>73</v>
      </c>
      <c r="G100" t="s">
        <v>74</v>
      </c>
      <c r="I100" t="s">
        <v>601</v>
      </c>
    </row>
    <row r="101" spans="1:9">
      <c r="A101" s="2"/>
      <c r="B101" s="2"/>
      <c r="C101" t="s">
        <v>75</v>
      </c>
      <c r="D101" s="112" t="s">
        <v>331</v>
      </c>
      <c r="E101" s="119">
        <v>42505</v>
      </c>
      <c r="F101">
        <v>100</v>
      </c>
      <c r="G101" t="s">
        <v>85</v>
      </c>
      <c r="I101" t="s">
        <v>86</v>
      </c>
    </row>
    <row r="102" spans="1:9">
      <c r="A102" s="2"/>
      <c r="B102" s="2"/>
      <c r="C102" t="s">
        <v>751</v>
      </c>
      <c r="D102" s="112" t="s">
        <v>750</v>
      </c>
      <c r="E102" s="119">
        <v>42491</v>
      </c>
      <c r="F102">
        <v>100</v>
      </c>
      <c r="G102" t="s">
        <v>870</v>
      </c>
      <c r="I102" t="s">
        <v>919</v>
      </c>
    </row>
    <row r="103" spans="1:9">
      <c r="A103" s="2"/>
      <c r="B103" s="2"/>
      <c r="C103" t="s">
        <v>973</v>
      </c>
      <c r="D103" s="112" t="s">
        <v>750</v>
      </c>
      <c r="E103" s="119">
        <v>42496</v>
      </c>
      <c r="F103">
        <v>100</v>
      </c>
      <c r="G103" t="s">
        <v>974</v>
      </c>
    </row>
    <row r="104" spans="1:9">
      <c r="A104" s="2"/>
      <c r="B104" s="2"/>
      <c r="C104" t="s">
        <v>520</v>
      </c>
      <c r="D104" s="112">
        <v>2079</v>
      </c>
      <c r="E104" s="119">
        <v>42519</v>
      </c>
      <c r="F104">
        <v>1000</v>
      </c>
    </row>
    <row r="105" spans="1:9">
      <c r="A105" s="2"/>
      <c r="B105" s="2"/>
      <c r="D105" s="112"/>
    </row>
    <row r="106" spans="1:9">
      <c r="A106" s="2"/>
      <c r="B106" s="2"/>
      <c r="D106" s="112"/>
    </row>
    <row r="107" spans="1:9">
      <c r="A107" s="2"/>
      <c r="B107" s="2"/>
      <c r="D107" s="112"/>
      <c r="E107" s="119"/>
    </row>
    <row r="108" spans="1:9">
      <c r="A108" s="2"/>
      <c r="B108" s="2"/>
      <c r="D108" s="112"/>
      <c r="E108" s="119"/>
    </row>
    <row r="109" spans="1:9">
      <c r="A109" s="2"/>
      <c r="B109" s="2"/>
      <c r="D109" s="112"/>
      <c r="E109" s="119"/>
    </row>
    <row r="110" spans="1:9">
      <c r="A110" s="2"/>
      <c r="B110" s="2"/>
      <c r="D110" s="112"/>
      <c r="E110" s="119"/>
    </row>
    <row r="111" spans="1:9">
      <c r="A111" s="2"/>
      <c r="B111" s="2"/>
      <c r="D111" s="112"/>
    </row>
    <row r="112" spans="1:9">
      <c r="A112" s="2" t="s">
        <v>11</v>
      </c>
      <c r="B112" s="2">
        <f>SUM(F112:F123)</f>
        <v>11450</v>
      </c>
      <c r="C112" t="s">
        <v>520</v>
      </c>
      <c r="E112" s="119">
        <v>42526</v>
      </c>
      <c r="F112">
        <v>1000</v>
      </c>
    </row>
    <row r="113" spans="1:9">
      <c r="A113" s="2"/>
      <c r="B113" s="2"/>
      <c r="C113" t="s">
        <v>71</v>
      </c>
      <c r="D113" s="112" t="s">
        <v>331</v>
      </c>
      <c r="E113" s="119">
        <v>42526</v>
      </c>
      <c r="F113">
        <v>50</v>
      </c>
      <c r="G113" t="s">
        <v>72</v>
      </c>
      <c r="I113" t="s">
        <v>264</v>
      </c>
    </row>
    <row r="114" spans="1:9">
      <c r="A114" s="2"/>
      <c r="B114" s="2"/>
      <c r="C114" t="s">
        <v>71</v>
      </c>
      <c r="D114" s="112" t="s">
        <v>331</v>
      </c>
      <c r="E114" s="119">
        <v>42526</v>
      </c>
      <c r="F114">
        <v>100</v>
      </c>
      <c r="G114" t="s">
        <v>258</v>
      </c>
      <c r="I114" t="s">
        <v>270</v>
      </c>
    </row>
    <row r="115" spans="1:9">
      <c r="A115" s="2"/>
      <c r="B115" s="2"/>
      <c r="C115" t="s">
        <v>73</v>
      </c>
      <c r="D115" s="112" t="s">
        <v>331</v>
      </c>
      <c r="E115" s="119">
        <v>42536</v>
      </c>
      <c r="F115">
        <v>200</v>
      </c>
      <c r="G115" t="s">
        <v>74</v>
      </c>
      <c r="I115" t="s">
        <v>601</v>
      </c>
    </row>
    <row r="116" spans="1:9">
      <c r="A116" s="2"/>
      <c r="B116" s="2"/>
      <c r="C116" t="s">
        <v>75</v>
      </c>
      <c r="G116" t="s">
        <v>85</v>
      </c>
      <c r="I116" t="s">
        <v>86</v>
      </c>
    </row>
    <row r="117" spans="1:9">
      <c r="A117" s="2"/>
      <c r="B117" s="2"/>
      <c r="C117" t="s">
        <v>751</v>
      </c>
      <c r="D117" s="112" t="s">
        <v>750</v>
      </c>
      <c r="E117" s="119">
        <v>42522</v>
      </c>
      <c r="F117">
        <v>100</v>
      </c>
      <c r="G117" t="s">
        <v>762</v>
      </c>
    </row>
    <row r="118" spans="1:9">
      <c r="A118" s="2"/>
      <c r="B118" s="2"/>
      <c r="C118" t="s">
        <v>71</v>
      </c>
      <c r="E118" s="119">
        <v>42531</v>
      </c>
      <c r="F118">
        <v>10000</v>
      </c>
      <c r="G118" t="s">
        <v>72</v>
      </c>
      <c r="I118" t="s">
        <v>1016</v>
      </c>
    </row>
    <row r="119" spans="1:9">
      <c r="A119" s="2"/>
      <c r="B119" s="2"/>
    </row>
    <row r="120" spans="1:9">
      <c r="A120" s="2"/>
      <c r="B120" s="2"/>
    </row>
    <row r="121" spans="1:9">
      <c r="A121" s="2"/>
      <c r="B121" s="2"/>
    </row>
    <row r="122" spans="1:9">
      <c r="A122" s="2"/>
      <c r="B122" s="2"/>
    </row>
    <row r="123" spans="1:9">
      <c r="A123" s="2"/>
      <c r="B123" s="2"/>
    </row>
    <row r="124" spans="1:9">
      <c r="A124" s="2"/>
      <c r="B124" s="2"/>
      <c r="D124" s="112"/>
    </row>
    <row r="125" spans="1:9">
      <c r="A125" s="2" t="s">
        <v>12</v>
      </c>
      <c r="B125" s="2">
        <f>SUM(F125:F136)</f>
        <v>1520</v>
      </c>
      <c r="C125" t="s">
        <v>520</v>
      </c>
      <c r="E125" s="119">
        <v>42554</v>
      </c>
      <c r="F125">
        <v>1000</v>
      </c>
    </row>
    <row r="126" spans="1:9">
      <c r="A126" s="2"/>
      <c r="B126" s="2"/>
      <c r="C126" t="s">
        <v>71</v>
      </c>
      <c r="D126" s="112" t="s">
        <v>331</v>
      </c>
      <c r="E126" s="119">
        <v>42556</v>
      </c>
      <c r="F126">
        <v>200</v>
      </c>
      <c r="G126" t="s">
        <v>72</v>
      </c>
      <c r="I126" t="s">
        <v>264</v>
      </c>
    </row>
    <row r="127" spans="1:9">
      <c r="A127" s="2"/>
      <c r="B127" s="2"/>
      <c r="C127" t="s">
        <v>71</v>
      </c>
      <c r="D127" s="112" t="s">
        <v>331</v>
      </c>
      <c r="E127" s="119">
        <v>42556</v>
      </c>
      <c r="F127">
        <v>100</v>
      </c>
      <c r="G127" t="s">
        <v>258</v>
      </c>
      <c r="I127" t="s">
        <v>270</v>
      </c>
    </row>
    <row r="128" spans="1:9">
      <c r="A128" s="2"/>
      <c r="B128" s="2"/>
      <c r="C128" t="s">
        <v>73</v>
      </c>
      <c r="D128" s="112"/>
      <c r="G128" t="s">
        <v>74</v>
      </c>
      <c r="I128" t="s">
        <v>601</v>
      </c>
    </row>
    <row r="129" spans="1:9">
      <c r="A129" s="2"/>
      <c r="B129" s="2"/>
      <c r="C129" t="s">
        <v>75</v>
      </c>
      <c r="D129" s="112"/>
      <c r="G129" t="s">
        <v>85</v>
      </c>
      <c r="I129" t="s">
        <v>86</v>
      </c>
    </row>
    <row r="130" spans="1:9">
      <c r="A130" s="2"/>
      <c r="B130" s="2"/>
      <c r="C130" t="s">
        <v>751</v>
      </c>
      <c r="D130" s="112" t="s">
        <v>750</v>
      </c>
      <c r="E130" s="119">
        <v>42552</v>
      </c>
      <c r="F130">
        <v>100</v>
      </c>
      <c r="G130" t="s">
        <v>762</v>
      </c>
    </row>
    <row r="131" spans="1:9">
      <c r="A131" s="2"/>
      <c r="B131" s="2"/>
      <c r="C131" t="s">
        <v>1034</v>
      </c>
      <c r="D131" s="112" t="s">
        <v>331</v>
      </c>
      <c r="E131" s="119">
        <v>42557</v>
      </c>
      <c r="F131">
        <v>120</v>
      </c>
      <c r="G131" t="s">
        <v>1032</v>
      </c>
      <c r="I131" t="s">
        <v>1033</v>
      </c>
    </row>
    <row r="132" spans="1:9">
      <c r="A132" s="2"/>
      <c r="B132" s="2"/>
    </row>
    <row r="133" spans="1:9">
      <c r="A133" s="2"/>
      <c r="B133" s="2"/>
    </row>
    <row r="134" spans="1:9">
      <c r="A134" s="2"/>
      <c r="B134" s="2"/>
    </row>
    <row r="135" spans="1:9">
      <c r="A135" s="2"/>
      <c r="B135" s="2"/>
    </row>
    <row r="136" spans="1:9">
      <c r="A136" s="2"/>
      <c r="B136" s="2"/>
      <c r="D136" s="112"/>
    </row>
    <row r="137" spans="1:9">
      <c r="A137" s="2" t="s">
        <v>13</v>
      </c>
      <c r="B137" s="2">
        <f>SUM(F137:F149)</f>
        <v>1620</v>
      </c>
      <c r="C137" t="s">
        <v>520</v>
      </c>
      <c r="E137" s="119">
        <v>42589</v>
      </c>
      <c r="F137">
        <f>500+500</f>
        <v>1000</v>
      </c>
    </row>
    <row r="138" spans="1:9">
      <c r="A138" s="2"/>
      <c r="B138" s="2"/>
      <c r="C138" t="s">
        <v>71</v>
      </c>
      <c r="D138" s="112" t="s">
        <v>331</v>
      </c>
      <c r="E138" s="119">
        <v>42495</v>
      </c>
      <c r="F138">
        <v>200</v>
      </c>
      <c r="G138" t="s">
        <v>72</v>
      </c>
      <c r="I138" t="s">
        <v>264</v>
      </c>
    </row>
    <row r="139" spans="1:9">
      <c r="A139" s="2"/>
      <c r="B139" s="2"/>
      <c r="C139" t="s">
        <v>71</v>
      </c>
      <c r="D139" s="112" t="s">
        <v>331</v>
      </c>
      <c r="E139" s="119">
        <v>42587</v>
      </c>
      <c r="F139">
        <v>100</v>
      </c>
      <c r="G139" t="s">
        <v>258</v>
      </c>
      <c r="I139" t="s">
        <v>270</v>
      </c>
    </row>
    <row r="140" spans="1:9">
      <c r="A140" s="2"/>
      <c r="B140" s="2"/>
      <c r="C140" t="s">
        <v>73</v>
      </c>
      <c r="G140" t="s">
        <v>74</v>
      </c>
      <c r="I140" t="s">
        <v>601</v>
      </c>
    </row>
    <row r="141" spans="1:9">
      <c r="A141" s="2"/>
      <c r="B141" s="2"/>
      <c r="C141" t="s">
        <v>75</v>
      </c>
      <c r="D141" s="112" t="s">
        <v>331</v>
      </c>
      <c r="E141" s="119">
        <v>42597</v>
      </c>
      <c r="F141">
        <v>100</v>
      </c>
      <c r="G141" t="s">
        <v>85</v>
      </c>
      <c r="I141" t="s">
        <v>86</v>
      </c>
    </row>
    <row r="142" spans="1:9">
      <c r="A142" s="2"/>
      <c r="B142" s="2"/>
      <c r="C142" t="s">
        <v>751</v>
      </c>
      <c r="D142" s="112" t="s">
        <v>750</v>
      </c>
      <c r="E142" s="119">
        <v>42583</v>
      </c>
      <c r="F142">
        <v>100</v>
      </c>
      <c r="G142" t="s">
        <v>752</v>
      </c>
    </row>
    <row r="143" spans="1:9">
      <c r="A143" s="2"/>
      <c r="B143" s="2"/>
      <c r="C143" t="s">
        <v>1034</v>
      </c>
      <c r="D143" s="112" t="s">
        <v>331</v>
      </c>
      <c r="E143" s="119">
        <v>42588</v>
      </c>
      <c r="F143">
        <v>120</v>
      </c>
      <c r="G143" t="s">
        <v>1032</v>
      </c>
      <c r="I143" t="s">
        <v>1033</v>
      </c>
    </row>
    <row r="144" spans="1:9">
      <c r="A144" s="2"/>
      <c r="B144" s="2"/>
      <c r="E144" s="119"/>
    </row>
    <row r="151" spans="1:9">
      <c r="A151" s="2" t="s">
        <v>14</v>
      </c>
      <c r="B151" s="2">
        <f>SUM(F151:F164)</f>
        <v>1720</v>
      </c>
      <c r="C151" t="s">
        <v>520</v>
      </c>
      <c r="E151" s="119">
        <v>42617</v>
      </c>
      <c r="F151">
        <v>1000</v>
      </c>
    </row>
    <row r="152" spans="1:9">
      <c r="A152" s="2"/>
      <c r="B152" s="2"/>
      <c r="C152" t="s">
        <v>71</v>
      </c>
      <c r="D152" s="112" t="s">
        <v>331</v>
      </c>
      <c r="E152" s="119">
        <v>42618</v>
      </c>
      <c r="F152">
        <v>200</v>
      </c>
      <c r="G152" t="s">
        <v>72</v>
      </c>
      <c r="I152" t="s">
        <v>264</v>
      </c>
    </row>
    <row r="153" spans="1:9">
      <c r="A153" s="2"/>
      <c r="B153" s="2"/>
      <c r="C153" t="s">
        <v>71</v>
      </c>
      <c r="D153" s="112" t="s">
        <v>331</v>
      </c>
      <c r="E153" s="119">
        <v>42618</v>
      </c>
      <c r="F153">
        <v>100</v>
      </c>
      <c r="G153" t="s">
        <v>258</v>
      </c>
      <c r="I153" t="s">
        <v>270</v>
      </c>
    </row>
    <row r="154" spans="1:9">
      <c r="A154" s="2"/>
      <c r="B154" s="2"/>
      <c r="C154" t="s">
        <v>73</v>
      </c>
      <c r="D154" s="112" t="s">
        <v>331</v>
      </c>
      <c r="E154" s="119">
        <v>42628</v>
      </c>
      <c r="F154">
        <v>200</v>
      </c>
      <c r="G154" t="s">
        <v>74</v>
      </c>
      <c r="I154" t="s">
        <v>601</v>
      </c>
    </row>
    <row r="155" spans="1:9">
      <c r="A155" s="2"/>
      <c r="B155" s="2"/>
      <c r="C155" t="s">
        <v>75</v>
      </c>
      <c r="D155" s="112"/>
      <c r="G155" t="s">
        <v>85</v>
      </c>
      <c r="I155" t="s">
        <v>86</v>
      </c>
    </row>
    <row r="156" spans="1:9">
      <c r="A156" s="2"/>
      <c r="B156" s="2"/>
      <c r="C156" t="s">
        <v>751</v>
      </c>
      <c r="D156" s="112" t="s">
        <v>750</v>
      </c>
      <c r="E156" s="119">
        <v>42614</v>
      </c>
      <c r="F156">
        <v>100</v>
      </c>
      <c r="G156" t="s">
        <v>752</v>
      </c>
    </row>
    <row r="157" spans="1:9">
      <c r="A157" s="2"/>
      <c r="B157" s="2"/>
      <c r="C157" t="s">
        <v>1034</v>
      </c>
      <c r="D157" s="112" t="s">
        <v>331</v>
      </c>
      <c r="E157" s="119">
        <v>42619</v>
      </c>
      <c r="F157">
        <v>120</v>
      </c>
      <c r="G157" t="s">
        <v>1032</v>
      </c>
      <c r="I157" t="s">
        <v>1033</v>
      </c>
    </row>
    <row r="158" spans="1:9">
      <c r="A158" s="2"/>
      <c r="B158" s="2"/>
    </row>
    <row r="159" spans="1:9">
      <c r="A159" s="2"/>
      <c r="B159" s="2"/>
    </row>
    <row r="160" spans="1:9">
      <c r="A160" s="2"/>
      <c r="B160" s="2"/>
    </row>
    <row r="161" spans="1:9">
      <c r="A161" s="2"/>
      <c r="B161" s="2"/>
    </row>
    <row r="165" spans="1:9">
      <c r="A165" s="2"/>
      <c r="B165" s="2"/>
      <c r="D165" s="112"/>
    </row>
    <row r="166" spans="1:9">
      <c r="A166" s="2" t="s">
        <v>15</v>
      </c>
      <c r="B166" s="2">
        <f>SUM(F166:F179)</f>
        <v>1520</v>
      </c>
      <c r="C166" t="s">
        <v>520</v>
      </c>
      <c r="E166" s="119">
        <v>42645</v>
      </c>
      <c r="F166">
        <v>1000</v>
      </c>
    </row>
    <row r="167" spans="1:9">
      <c r="A167" s="2"/>
      <c r="B167" s="2"/>
      <c r="C167" t="s">
        <v>71</v>
      </c>
      <c r="D167" s="112" t="s">
        <v>331</v>
      </c>
      <c r="E167" s="119">
        <v>42648</v>
      </c>
      <c r="F167">
        <v>200</v>
      </c>
      <c r="G167" t="s">
        <v>72</v>
      </c>
      <c r="I167" t="s">
        <v>264</v>
      </c>
    </row>
    <row r="168" spans="1:9">
      <c r="A168" s="2"/>
      <c r="B168" s="2"/>
      <c r="C168" t="s">
        <v>71</v>
      </c>
      <c r="D168" s="112" t="s">
        <v>331</v>
      </c>
      <c r="E168" s="119">
        <v>42648</v>
      </c>
      <c r="F168">
        <v>100</v>
      </c>
      <c r="G168" t="s">
        <v>258</v>
      </c>
      <c r="I168" t="s">
        <v>270</v>
      </c>
    </row>
    <row r="169" spans="1:9">
      <c r="A169" s="2"/>
      <c r="B169" s="2"/>
      <c r="C169" t="s">
        <v>73</v>
      </c>
      <c r="D169" s="112"/>
      <c r="G169" t="s">
        <v>74</v>
      </c>
      <c r="I169" t="s">
        <v>601</v>
      </c>
    </row>
    <row r="170" spans="1:9">
      <c r="A170" s="2"/>
      <c r="B170" s="2"/>
      <c r="C170" t="s">
        <v>75</v>
      </c>
      <c r="D170" s="112"/>
      <c r="G170" t="s">
        <v>85</v>
      </c>
      <c r="I170" t="s">
        <v>86</v>
      </c>
    </row>
    <row r="171" spans="1:9">
      <c r="A171" s="2"/>
      <c r="B171" s="2"/>
      <c r="C171" t="s">
        <v>751</v>
      </c>
      <c r="D171" s="112" t="s">
        <v>750</v>
      </c>
      <c r="E171" s="119">
        <v>42644</v>
      </c>
      <c r="F171">
        <v>100</v>
      </c>
      <c r="G171" t="s">
        <v>752</v>
      </c>
    </row>
    <row r="172" spans="1:9">
      <c r="A172" s="2"/>
      <c r="B172" s="2"/>
      <c r="C172" t="s">
        <v>1034</v>
      </c>
      <c r="D172" s="112" t="s">
        <v>331</v>
      </c>
      <c r="E172" s="119">
        <v>42557</v>
      </c>
      <c r="F172">
        <v>120</v>
      </c>
      <c r="G172" t="s">
        <v>1032</v>
      </c>
      <c r="I172" t="s">
        <v>1033</v>
      </c>
    </row>
    <row r="173" spans="1:9">
      <c r="A173" s="2"/>
      <c r="B173" s="2"/>
    </row>
    <row r="174" spans="1:9">
      <c r="A174" s="2"/>
      <c r="B174" s="2"/>
    </row>
    <row r="175" spans="1:9">
      <c r="A175" s="2"/>
      <c r="B175" s="2"/>
    </row>
    <row r="177" spans="1:9">
      <c r="A177" s="2"/>
      <c r="B177" s="2"/>
    </row>
    <row r="178" spans="1:9">
      <c r="A178" s="2"/>
      <c r="B178" s="2"/>
    </row>
    <row r="179" spans="1:9">
      <c r="A179" s="2"/>
      <c r="B179" s="2"/>
    </row>
    <row r="180" spans="1:9">
      <c r="A180" s="2"/>
      <c r="B180" s="2"/>
      <c r="D180" s="112"/>
    </row>
    <row r="181" spans="1:9">
      <c r="A181" s="2" t="s">
        <v>16</v>
      </c>
      <c r="B181" s="2">
        <f>SUM(F181:F194)</f>
        <v>2620</v>
      </c>
      <c r="C181" t="s">
        <v>520</v>
      </c>
      <c r="E181" s="119">
        <v>42680</v>
      </c>
      <c r="F181">
        <v>1000</v>
      </c>
    </row>
    <row r="182" spans="1:9">
      <c r="A182" s="2"/>
      <c r="B182" s="2"/>
      <c r="C182" t="s">
        <v>71</v>
      </c>
      <c r="D182" s="112" t="s">
        <v>331</v>
      </c>
      <c r="E182" s="119">
        <v>42679</v>
      </c>
      <c r="F182">
        <v>200</v>
      </c>
      <c r="G182" t="s">
        <v>72</v>
      </c>
      <c r="I182" t="s">
        <v>264</v>
      </c>
    </row>
    <row r="183" spans="1:9">
      <c r="A183" s="2"/>
      <c r="B183" s="2"/>
      <c r="C183" t="s">
        <v>71</v>
      </c>
      <c r="D183" s="112" t="s">
        <v>331</v>
      </c>
      <c r="E183" s="119">
        <v>42679</v>
      </c>
      <c r="F183">
        <v>100</v>
      </c>
      <c r="G183" t="s">
        <v>258</v>
      </c>
      <c r="I183" t="s">
        <v>270</v>
      </c>
    </row>
    <row r="184" spans="1:9">
      <c r="A184" s="2"/>
      <c r="B184" s="2"/>
      <c r="C184" t="s">
        <v>73</v>
      </c>
      <c r="D184" s="112"/>
      <c r="G184" t="s">
        <v>74</v>
      </c>
      <c r="I184" t="s">
        <v>601</v>
      </c>
    </row>
    <row r="185" spans="1:9">
      <c r="A185" s="2"/>
      <c r="B185" s="2"/>
      <c r="C185" t="s">
        <v>75</v>
      </c>
      <c r="D185" s="112" t="s">
        <v>331</v>
      </c>
      <c r="E185" s="119">
        <v>42689</v>
      </c>
      <c r="F185">
        <v>100</v>
      </c>
      <c r="G185" t="s">
        <v>85</v>
      </c>
      <c r="I185" t="s">
        <v>86</v>
      </c>
    </row>
    <row r="186" spans="1:9">
      <c r="A186" s="2"/>
      <c r="B186" s="2"/>
      <c r="C186" t="s">
        <v>751</v>
      </c>
      <c r="D186" s="112" t="s">
        <v>750</v>
      </c>
      <c r="E186" s="119">
        <v>42675</v>
      </c>
      <c r="F186">
        <v>100</v>
      </c>
      <c r="G186" t="s">
        <v>752</v>
      </c>
    </row>
    <row r="187" spans="1:9">
      <c r="A187" s="2"/>
      <c r="B187" s="2"/>
      <c r="C187" t="s">
        <v>1034</v>
      </c>
      <c r="D187" s="112" t="s">
        <v>331</v>
      </c>
      <c r="E187" s="119">
        <v>42557</v>
      </c>
      <c r="F187">
        <v>120</v>
      </c>
      <c r="G187" t="s">
        <v>1032</v>
      </c>
      <c r="I187" t="s">
        <v>1033</v>
      </c>
    </row>
    <row r="188" spans="1:9">
      <c r="C188" t="s">
        <v>520</v>
      </c>
      <c r="E188" s="119"/>
      <c r="F188">
        <v>1000</v>
      </c>
      <c r="G188" t="s">
        <v>816</v>
      </c>
    </row>
    <row r="195" spans="1:9">
      <c r="D195" s="112"/>
    </row>
    <row r="196" spans="1:9">
      <c r="A196" s="2" t="s">
        <v>17</v>
      </c>
      <c r="B196" s="2">
        <f>SUM(F196:F209)</f>
        <v>6720</v>
      </c>
      <c r="C196" t="s">
        <v>520</v>
      </c>
      <c r="E196" s="119">
        <v>42708</v>
      </c>
      <c r="F196">
        <v>1000</v>
      </c>
    </row>
    <row r="197" spans="1:9">
      <c r="C197" t="s">
        <v>71</v>
      </c>
      <c r="D197" s="112" t="s">
        <v>331</v>
      </c>
      <c r="E197" s="119">
        <v>42705</v>
      </c>
      <c r="F197">
        <v>200</v>
      </c>
      <c r="G197" t="s">
        <v>72</v>
      </c>
      <c r="I197" t="s">
        <v>264</v>
      </c>
    </row>
    <row r="198" spans="1:9">
      <c r="C198" t="s">
        <v>71</v>
      </c>
      <c r="D198" s="112" t="s">
        <v>331</v>
      </c>
      <c r="E198" s="119">
        <v>42705</v>
      </c>
      <c r="F198">
        <v>100</v>
      </c>
      <c r="G198" t="s">
        <v>258</v>
      </c>
      <c r="I198" t="s">
        <v>270</v>
      </c>
    </row>
    <row r="199" spans="1:9">
      <c r="C199" t="s">
        <v>73</v>
      </c>
      <c r="D199" s="112" t="s">
        <v>331</v>
      </c>
      <c r="E199" s="119">
        <v>42719</v>
      </c>
      <c r="F199">
        <v>200</v>
      </c>
      <c r="G199" t="s">
        <v>74</v>
      </c>
      <c r="I199" t="s">
        <v>601</v>
      </c>
    </row>
    <row r="200" spans="1:9">
      <c r="C200" t="s">
        <v>75</v>
      </c>
      <c r="D200" s="112"/>
      <c r="G200" t="s">
        <v>85</v>
      </c>
      <c r="I200" t="s">
        <v>86</v>
      </c>
    </row>
    <row r="201" spans="1:9">
      <c r="C201" t="s">
        <v>751</v>
      </c>
      <c r="D201" s="112" t="s">
        <v>750</v>
      </c>
      <c r="E201" s="119">
        <v>42705</v>
      </c>
      <c r="F201">
        <v>100</v>
      </c>
      <c r="G201" t="s">
        <v>752</v>
      </c>
    </row>
    <row r="202" spans="1:9">
      <c r="C202" t="s">
        <v>1034</v>
      </c>
      <c r="D202" s="112" t="s">
        <v>331</v>
      </c>
      <c r="E202" s="119">
        <v>42557</v>
      </c>
      <c r="F202">
        <v>120</v>
      </c>
      <c r="G202" t="s">
        <v>1032</v>
      </c>
      <c r="I202" t="s">
        <v>1033</v>
      </c>
    </row>
    <row r="203" spans="1:9">
      <c r="C203" t="s">
        <v>520</v>
      </c>
      <c r="E203" s="119"/>
      <c r="F203">
        <v>5000</v>
      </c>
      <c r="G203" t="s">
        <v>920</v>
      </c>
    </row>
    <row r="210" spans="5:6">
      <c r="E210" s="24"/>
      <c r="F210" s="30">
        <f>SUM(F42:F209)</f>
        <v>35020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opLeftCell="A113" workbookViewId="0">
      <selection activeCell="H139" sqref="H139"/>
    </sheetView>
  </sheetViews>
  <sheetFormatPr defaultRowHeight="12.75"/>
  <cols>
    <col min="1" max="1" width="18.85546875" customWidth="1"/>
    <col min="2" max="2" width="11.28515625" customWidth="1"/>
    <col min="3" max="3" width="1.5703125" customWidth="1"/>
    <col min="4" max="4" width="11.28515625" customWidth="1"/>
    <col min="5" max="5" width="1.5703125" customWidth="1"/>
    <col min="6" max="6" width="3.140625" customWidth="1"/>
    <col min="7" max="7" width="12.5703125" customWidth="1"/>
    <col min="8" max="9" width="3.42578125" customWidth="1"/>
    <col min="10" max="10" width="10.7109375" customWidth="1"/>
    <col min="11" max="12" width="11" customWidth="1"/>
    <col min="13" max="13" width="13.7109375" customWidth="1"/>
    <col min="14" max="14" width="12.85546875" customWidth="1"/>
    <col min="16" max="16" width="10.28515625" bestFit="1" customWidth="1"/>
    <col min="17" max="17" width="10.28515625" customWidth="1"/>
  </cols>
  <sheetData>
    <row r="1" spans="1:12">
      <c r="A1" s="2" t="s">
        <v>928</v>
      </c>
      <c r="D1" s="275" t="s">
        <v>756</v>
      </c>
      <c r="E1" t="s">
        <v>633</v>
      </c>
    </row>
    <row r="2" spans="1:12">
      <c r="A2" s="2"/>
      <c r="B2" s="2"/>
      <c r="E2" t="s">
        <v>634</v>
      </c>
    </row>
    <row r="3" spans="1:12">
      <c r="A3" s="2"/>
      <c r="B3" s="2"/>
      <c r="E3" t="s">
        <v>927</v>
      </c>
    </row>
    <row r="4" spans="1:12">
      <c r="A4" s="2" t="s">
        <v>755</v>
      </c>
      <c r="B4" s="2"/>
      <c r="D4" s="213" t="s">
        <v>804</v>
      </c>
    </row>
    <row r="5" spans="1:12">
      <c r="A5" s="2"/>
      <c r="B5" s="2"/>
      <c r="D5" s="213"/>
      <c r="E5" s="213" t="s">
        <v>805</v>
      </c>
    </row>
    <row r="6" spans="1:12">
      <c r="A6" s="2"/>
      <c r="B6" s="2"/>
      <c r="D6" s="213" t="s">
        <v>810</v>
      </c>
    </row>
    <row r="7" spans="1:12">
      <c r="A7" s="2"/>
      <c r="B7" s="2"/>
      <c r="D7" s="213" t="s">
        <v>721</v>
      </c>
    </row>
    <row r="8" spans="1:12">
      <c r="A8" s="2"/>
      <c r="B8" s="2"/>
      <c r="D8" s="213"/>
      <c r="E8" s="115" t="s">
        <v>736</v>
      </c>
      <c r="F8" s="115"/>
      <c r="G8" s="115"/>
      <c r="H8" s="115"/>
      <c r="I8" s="115"/>
    </row>
    <row r="9" spans="1:12">
      <c r="A9" s="2" t="s">
        <v>731</v>
      </c>
      <c r="B9" s="2"/>
      <c r="D9" s="1" t="s">
        <v>734</v>
      </c>
      <c r="G9" s="258" t="s">
        <v>782</v>
      </c>
      <c r="J9" s="258">
        <v>2016</v>
      </c>
      <c r="K9" t="s">
        <v>735</v>
      </c>
    </row>
    <row r="10" spans="1:12">
      <c r="A10" s="2"/>
      <c r="B10" s="2" t="s">
        <v>732</v>
      </c>
      <c r="D10" s="255">
        <v>2000</v>
      </c>
      <c r="G10" s="18">
        <f>D44</f>
        <v>958.68</v>
      </c>
      <c r="J10" s="18">
        <f>G44</f>
        <v>632.44000000000005</v>
      </c>
      <c r="K10" s="125">
        <v>1300</v>
      </c>
    </row>
    <row r="11" spans="1:12">
      <c r="A11" s="2"/>
      <c r="B11" s="2" t="s">
        <v>733</v>
      </c>
      <c r="D11" s="246">
        <f>D64+B98</f>
        <v>1590</v>
      </c>
      <c r="G11">
        <f>D81+D114</f>
        <v>1187.5700000000002</v>
      </c>
      <c r="J11">
        <f>G81+G114</f>
        <v>633.40000000000009</v>
      </c>
      <c r="K11" s="125">
        <v>2320</v>
      </c>
      <c r="L11" t="s">
        <v>995</v>
      </c>
    </row>
    <row r="12" spans="1:12">
      <c r="A12" s="2"/>
      <c r="B12" s="2" t="s">
        <v>26</v>
      </c>
      <c r="D12" s="246">
        <v>500</v>
      </c>
      <c r="G12">
        <f>D144</f>
        <v>737.1099999999999</v>
      </c>
      <c r="J12">
        <f>G144</f>
        <v>415.36</v>
      </c>
      <c r="K12" s="125">
        <v>400</v>
      </c>
      <c r="L12" t="s">
        <v>996</v>
      </c>
    </row>
    <row r="13" spans="1:12" ht="13.5" thickBot="1">
      <c r="A13" s="2"/>
      <c r="B13" s="2"/>
      <c r="D13" s="247">
        <f>SUM(D10:D12)</f>
        <v>4090</v>
      </c>
      <c r="E13" s="247"/>
      <c r="F13" s="247"/>
      <c r="G13" s="247">
        <f t="shared" ref="G13" si="0">SUM(G10:G12)</f>
        <v>2883.3599999999997</v>
      </c>
      <c r="J13" s="245">
        <f>SUM(J10:J12)</f>
        <v>1681.2000000000003</v>
      </c>
      <c r="K13" s="245">
        <f>SUM(K10:K12)</f>
        <v>4020</v>
      </c>
    </row>
    <row r="14" spans="1:12" ht="13.5" thickTop="1">
      <c r="A14" s="2"/>
      <c r="B14" s="2"/>
      <c r="D14" s="213"/>
    </row>
    <row r="15" spans="1:12">
      <c r="A15" s="2"/>
      <c r="B15" s="2"/>
      <c r="D15" s="213"/>
    </row>
    <row r="16" spans="1:12">
      <c r="A16" s="2"/>
      <c r="B16" s="2" t="s">
        <v>738</v>
      </c>
      <c r="D16" s="213"/>
    </row>
    <row r="17" spans="1:17">
      <c r="A17" s="2"/>
      <c r="B17" s="2"/>
      <c r="D17" s="213">
        <v>2015</v>
      </c>
      <c r="G17">
        <v>2016</v>
      </c>
    </row>
    <row r="18" spans="1:17">
      <c r="A18" s="2" t="s">
        <v>733</v>
      </c>
      <c r="B18" s="2" t="s">
        <v>602</v>
      </c>
      <c r="D18" s="213">
        <f>D81</f>
        <v>911.59000000000015</v>
      </c>
      <c r="G18" s="18">
        <f>G81</f>
        <v>401.88000000000011</v>
      </c>
    </row>
    <row r="19" spans="1:17">
      <c r="A19" s="2"/>
      <c r="B19" s="2" t="s">
        <v>603</v>
      </c>
      <c r="D19" s="213">
        <f>D114</f>
        <v>275.97999999999996</v>
      </c>
      <c r="G19">
        <f>G114</f>
        <v>231.51999999999998</v>
      </c>
    </row>
    <row r="20" spans="1:17">
      <c r="A20" s="2"/>
      <c r="B20" s="2"/>
      <c r="D20" s="213"/>
    </row>
    <row r="21" spans="1:17">
      <c r="A21" s="2"/>
      <c r="B21" s="2"/>
      <c r="D21" s="213"/>
    </row>
    <row r="22" spans="1:17">
      <c r="A22" s="2"/>
      <c r="B22" s="2"/>
      <c r="D22" s="213"/>
    </row>
    <row r="23" spans="1:17" ht="15">
      <c r="A23" s="200" t="s">
        <v>25</v>
      </c>
      <c r="B23" s="2" t="s">
        <v>608</v>
      </c>
      <c r="D23" t="s">
        <v>612</v>
      </c>
      <c r="K23" s="256" t="s">
        <v>737</v>
      </c>
      <c r="L23" s="256"/>
      <c r="M23" s="256"/>
      <c r="N23" s="256"/>
      <c r="O23" s="256"/>
      <c r="P23" s="256"/>
      <c r="Q23" s="256"/>
    </row>
    <row r="24" spans="1:17">
      <c r="A24" s="214" t="s">
        <v>618</v>
      </c>
      <c r="B24" t="s">
        <v>613</v>
      </c>
      <c r="C24" t="s">
        <v>614</v>
      </c>
      <c r="K24" t="s">
        <v>795</v>
      </c>
    </row>
    <row r="26" spans="1:17">
      <c r="A26" t="s">
        <v>615</v>
      </c>
      <c r="B26" t="s">
        <v>784</v>
      </c>
    </row>
    <row r="27" spans="1:17">
      <c r="B27" t="s">
        <v>616</v>
      </c>
    </row>
    <row r="28" spans="1:17">
      <c r="A28" s="214"/>
      <c r="B28" s="213" t="s">
        <v>773</v>
      </c>
    </row>
    <row r="30" spans="1:17">
      <c r="A30" s="115" t="s">
        <v>100</v>
      </c>
      <c r="B30">
        <v>2014</v>
      </c>
      <c r="D30">
        <v>2015</v>
      </c>
      <c r="G30">
        <v>2016</v>
      </c>
      <c r="J30" t="s">
        <v>609</v>
      </c>
      <c r="K30" t="s">
        <v>610</v>
      </c>
      <c r="L30" t="s">
        <v>611</v>
      </c>
      <c r="M30" t="s">
        <v>775</v>
      </c>
    </row>
    <row r="31" spans="1:17">
      <c r="A31" s="115"/>
      <c r="F31" t="s">
        <v>867</v>
      </c>
      <c r="J31" t="s">
        <v>728</v>
      </c>
    </row>
    <row r="32" spans="1:17">
      <c r="A32" s="115" t="s">
        <v>88</v>
      </c>
      <c r="B32">
        <v>0</v>
      </c>
      <c r="D32">
        <v>46.19</v>
      </c>
      <c r="E32" t="s">
        <v>101</v>
      </c>
      <c r="F32">
        <v>33.700000000000003</v>
      </c>
      <c r="G32">
        <v>96.45</v>
      </c>
      <c r="I32">
        <v>39.9</v>
      </c>
      <c r="J32">
        <f>(100+350)/2</f>
        <v>225</v>
      </c>
      <c r="K32">
        <v>350</v>
      </c>
      <c r="L32">
        <v>100</v>
      </c>
      <c r="M32">
        <v>1464</v>
      </c>
    </row>
    <row r="33" spans="1:14">
      <c r="A33" s="115" t="s">
        <v>89</v>
      </c>
      <c r="B33">
        <v>0</v>
      </c>
      <c r="D33">
        <v>40.69</v>
      </c>
      <c r="E33" t="s">
        <v>687</v>
      </c>
      <c r="F33">
        <v>24.7</v>
      </c>
      <c r="G33">
        <v>77.34</v>
      </c>
      <c r="H33" t="s">
        <v>926</v>
      </c>
      <c r="I33">
        <v>36.6</v>
      </c>
      <c r="J33">
        <f>(80+270)/2</f>
        <v>175</v>
      </c>
      <c r="K33">
        <v>270</v>
      </c>
      <c r="L33">
        <v>80</v>
      </c>
      <c r="M33">
        <v>1491</v>
      </c>
    </row>
    <row r="34" spans="1:14">
      <c r="A34" s="115" t="s">
        <v>90</v>
      </c>
      <c r="B34">
        <v>0</v>
      </c>
      <c r="D34">
        <v>113.19</v>
      </c>
      <c r="E34" t="s">
        <v>688</v>
      </c>
      <c r="F34">
        <v>37.6</v>
      </c>
      <c r="G34">
        <v>84.5</v>
      </c>
      <c r="I34">
        <v>45.6</v>
      </c>
      <c r="J34">
        <f>(360+300)/2</f>
        <v>330</v>
      </c>
      <c r="K34">
        <v>360</v>
      </c>
      <c r="L34">
        <v>300</v>
      </c>
      <c r="M34">
        <v>1521</v>
      </c>
    </row>
    <row r="35" spans="1:14">
      <c r="A35" s="115" t="s">
        <v>91</v>
      </c>
      <c r="B35">
        <v>0</v>
      </c>
      <c r="D35">
        <v>52.21</v>
      </c>
      <c r="F35">
        <v>53.8</v>
      </c>
      <c r="G35">
        <v>66.66</v>
      </c>
      <c r="I35">
        <v>50.6</v>
      </c>
      <c r="J35">
        <f>(150+220)/2</f>
        <v>185</v>
      </c>
      <c r="K35">
        <v>220</v>
      </c>
      <c r="L35">
        <v>150</v>
      </c>
      <c r="M35">
        <v>1543</v>
      </c>
    </row>
    <row r="36" spans="1:14">
      <c r="A36" s="115" t="s">
        <v>10</v>
      </c>
      <c r="B36">
        <v>0</v>
      </c>
      <c r="D36">
        <v>54.98</v>
      </c>
      <c r="E36" t="s">
        <v>688</v>
      </c>
      <c r="F36">
        <v>67.2</v>
      </c>
      <c r="G36">
        <v>78.03</v>
      </c>
      <c r="I36">
        <v>56.7</v>
      </c>
      <c r="J36">
        <f>(160+300)/2</f>
        <v>230</v>
      </c>
      <c r="K36">
        <v>300</v>
      </c>
      <c r="L36">
        <v>160</v>
      </c>
      <c r="M36">
        <v>1573</v>
      </c>
      <c r="N36" t="s">
        <v>994</v>
      </c>
    </row>
    <row r="37" spans="1:14">
      <c r="A37" s="115" t="s">
        <v>92</v>
      </c>
      <c r="B37">
        <v>0</v>
      </c>
      <c r="D37">
        <v>89.82</v>
      </c>
      <c r="F37">
        <v>71.099999999999994</v>
      </c>
      <c r="G37">
        <v>107.11</v>
      </c>
      <c r="I37">
        <v>70.599999999999994</v>
      </c>
      <c r="J37">
        <f>(310+390)/2</f>
        <v>350</v>
      </c>
      <c r="K37">
        <v>390</v>
      </c>
      <c r="L37">
        <v>310</v>
      </c>
      <c r="M37">
        <v>1612</v>
      </c>
      <c r="N37" t="s">
        <v>1051</v>
      </c>
    </row>
    <row r="38" spans="1:14">
      <c r="A38" s="115" t="s">
        <v>93</v>
      </c>
      <c r="B38">
        <v>0</v>
      </c>
      <c r="D38">
        <v>124.61</v>
      </c>
      <c r="E38" t="s">
        <v>772</v>
      </c>
      <c r="F38">
        <v>76.5</v>
      </c>
      <c r="G38">
        <v>122.35</v>
      </c>
      <c r="H38" t="s">
        <v>772</v>
      </c>
      <c r="I38">
        <v>76.2</v>
      </c>
      <c r="J38">
        <f>(440+470)/2</f>
        <v>455</v>
      </c>
      <c r="K38">
        <v>470</v>
      </c>
      <c r="L38">
        <v>440</v>
      </c>
      <c r="M38">
        <v>1659</v>
      </c>
      <c r="N38" t="s">
        <v>1050</v>
      </c>
    </row>
    <row r="39" spans="1:14">
      <c r="A39" s="115" t="s">
        <v>95</v>
      </c>
      <c r="B39">
        <v>0</v>
      </c>
      <c r="D39">
        <v>104.89</v>
      </c>
      <c r="F39">
        <v>79.2</v>
      </c>
      <c r="J39">
        <v>380</v>
      </c>
    </row>
    <row r="40" spans="1:14">
      <c r="A40" s="115" t="s">
        <v>96</v>
      </c>
      <c r="B40">
        <v>14.02</v>
      </c>
      <c r="C40">
        <v>66.099999999999994</v>
      </c>
      <c r="D40">
        <v>80.2</v>
      </c>
      <c r="F40">
        <v>77.099999999999994</v>
      </c>
      <c r="J40">
        <v>280</v>
      </c>
    </row>
    <row r="41" spans="1:14">
      <c r="A41" s="115" t="s">
        <v>97</v>
      </c>
      <c r="B41">
        <v>44.5</v>
      </c>
      <c r="C41">
        <v>64.3</v>
      </c>
      <c r="D41">
        <v>72.13</v>
      </c>
      <c r="E41" t="s">
        <v>866</v>
      </c>
      <c r="F41">
        <v>62.1</v>
      </c>
      <c r="J41">
        <v>250</v>
      </c>
    </row>
    <row r="42" spans="1:14">
      <c r="A42" s="115" t="s">
        <v>98</v>
      </c>
      <c r="B42">
        <v>81.25</v>
      </c>
      <c r="C42">
        <v>51.3</v>
      </c>
      <c r="D42">
        <v>91.23</v>
      </c>
      <c r="F42">
        <v>56.6</v>
      </c>
      <c r="J42">
        <v>330</v>
      </c>
    </row>
    <row r="43" spans="1:14">
      <c r="A43" s="115" t="s">
        <v>99</v>
      </c>
      <c r="B43">
        <v>20.329999999999998</v>
      </c>
      <c r="C43">
        <v>40.700000000000003</v>
      </c>
      <c r="D43">
        <v>88.54</v>
      </c>
      <c r="E43" t="s">
        <v>866</v>
      </c>
      <c r="F43">
        <v>50.2</v>
      </c>
      <c r="J43">
        <v>350</v>
      </c>
    </row>
    <row r="44" spans="1:14" ht="13.5" thickBot="1">
      <c r="A44" s="215" t="s">
        <v>28</v>
      </c>
      <c r="B44" s="245">
        <f>SUM(B32:B43)</f>
        <v>160.09999999999997</v>
      </c>
      <c r="C44" s="41"/>
      <c r="D44" s="245">
        <f>SUM(D32:D43)</f>
        <v>958.68</v>
      </c>
      <c r="E44" s="245"/>
      <c r="F44" s="245"/>
      <c r="G44" s="245">
        <f t="shared" ref="G44" si="1">SUM(G32:G43)</f>
        <v>632.44000000000005</v>
      </c>
      <c r="J44" s="41">
        <f>SUM(J32:J43)</f>
        <v>3540</v>
      </c>
      <c r="K44" s="41">
        <f t="shared" ref="K44:L44" si="2">SUM(K32:K43)</f>
        <v>2360</v>
      </c>
      <c r="L44" s="41">
        <f t="shared" si="2"/>
        <v>1540</v>
      </c>
    </row>
    <row r="45" spans="1:14" ht="13.5" thickTop="1">
      <c r="A45" t="s">
        <v>606</v>
      </c>
      <c r="B45">
        <f>B44/4</f>
        <v>40.024999999999991</v>
      </c>
      <c r="D45">
        <f>D44/12</f>
        <v>79.89</v>
      </c>
      <c r="G45">
        <f t="shared" ref="G45" si="3">G44/12</f>
        <v>52.70333333333334</v>
      </c>
    </row>
    <row r="46" spans="1:14">
      <c r="A46" t="s">
        <v>607</v>
      </c>
      <c r="B46">
        <f>30+110+250+10</f>
        <v>400</v>
      </c>
      <c r="D46">
        <f>100+80+360+150+160+310+440+380+280+250+330+350</f>
        <v>3190</v>
      </c>
      <c r="G46">
        <f>350+270+300+220+300+390+470</f>
        <v>2300</v>
      </c>
    </row>
    <row r="47" spans="1:14">
      <c r="A47" t="s">
        <v>621</v>
      </c>
      <c r="B47">
        <f>B46/4</f>
        <v>100</v>
      </c>
      <c r="D47">
        <f>D46/12</f>
        <v>265.83333333333331</v>
      </c>
      <c r="G47">
        <f t="shared" ref="G47" si="4">G46/12</f>
        <v>191.66666666666666</v>
      </c>
    </row>
    <row r="48" spans="1:14">
      <c r="A48" t="s">
        <v>727</v>
      </c>
      <c r="B48" s="244">
        <f>B44/B46</f>
        <v>0.40024999999999994</v>
      </c>
      <c r="D48" s="244">
        <f>(D44-7*16)/D46</f>
        <v>0.26541692789968652</v>
      </c>
      <c r="E48" s="244"/>
      <c r="F48" s="244"/>
      <c r="G48" s="244">
        <f t="shared" ref="G48" si="5">(G44-7*16)/G46</f>
        <v>0.22627826086956523</v>
      </c>
    </row>
    <row r="55" spans="1:7" ht="15">
      <c r="A55" s="200" t="s">
        <v>602</v>
      </c>
      <c r="B55" s="2" t="s">
        <v>617</v>
      </c>
      <c r="D55" t="s">
        <v>622</v>
      </c>
    </row>
    <row r="56" spans="1:7">
      <c r="A56" s="214" t="s">
        <v>619</v>
      </c>
      <c r="D56" t="s">
        <v>620</v>
      </c>
      <c r="E56" t="s">
        <v>614</v>
      </c>
    </row>
    <row r="57" spans="1:7">
      <c r="A57" t="s">
        <v>632</v>
      </c>
      <c r="B57" t="s">
        <v>638</v>
      </c>
    </row>
    <row r="58" spans="1:7">
      <c r="B58" t="s">
        <v>682</v>
      </c>
    </row>
    <row r="59" spans="1:7">
      <c r="B59" t="s">
        <v>719</v>
      </c>
    </row>
    <row r="60" spans="1:7">
      <c r="B60" t="s">
        <v>976</v>
      </c>
    </row>
    <row r="61" spans="1:7">
      <c r="B61" t="s">
        <v>977</v>
      </c>
    </row>
    <row r="62" spans="1:7" ht="13.5" thickBot="1"/>
    <row r="63" spans="1:7">
      <c r="A63" s="251" t="s">
        <v>783</v>
      </c>
      <c r="B63" s="248"/>
      <c r="C63" s="248"/>
      <c r="D63" s="248"/>
      <c r="E63" s="248"/>
      <c r="F63" s="248"/>
      <c r="G63" s="249"/>
    </row>
    <row r="64" spans="1:7" ht="13.5" thickBot="1">
      <c r="A64" s="252" t="s">
        <v>720</v>
      </c>
      <c r="B64" s="228"/>
      <c r="C64" s="228"/>
      <c r="D64" s="253">
        <f>3*200+3*150+6*30</f>
        <v>1230</v>
      </c>
      <c r="E64" s="228"/>
      <c r="F64" s="228"/>
      <c r="G64" s="250"/>
    </row>
    <row r="66" spans="1:18">
      <c r="A66" s="214"/>
    </row>
    <row r="67" spans="1:18">
      <c r="A67" s="115" t="s">
        <v>100</v>
      </c>
      <c r="B67">
        <v>2014</v>
      </c>
      <c r="D67">
        <v>2015</v>
      </c>
      <c r="G67">
        <v>2016</v>
      </c>
      <c r="J67" t="s">
        <v>609</v>
      </c>
      <c r="K67" t="s">
        <v>610</v>
      </c>
      <c r="L67" t="s">
        <v>611</v>
      </c>
    </row>
    <row r="68" spans="1:18">
      <c r="A68" s="115"/>
      <c r="F68" t="s">
        <v>867</v>
      </c>
      <c r="I68" t="s">
        <v>867</v>
      </c>
    </row>
    <row r="69" spans="1:18">
      <c r="A69" s="115" t="s">
        <v>88</v>
      </c>
      <c r="B69">
        <v>0</v>
      </c>
      <c r="D69">
        <v>132.77000000000001</v>
      </c>
      <c r="E69" t="s">
        <v>637</v>
      </c>
      <c r="F69">
        <v>33.700000000000003</v>
      </c>
      <c r="G69">
        <v>92.66</v>
      </c>
      <c r="I69">
        <v>39.9</v>
      </c>
      <c r="J69">
        <f>(105+54)/2</f>
        <v>79.5</v>
      </c>
      <c r="K69">
        <v>105</v>
      </c>
      <c r="L69">
        <v>54</v>
      </c>
    </row>
    <row r="70" spans="1:18">
      <c r="A70" s="115" t="s">
        <v>89</v>
      </c>
      <c r="B70">
        <v>0</v>
      </c>
      <c r="D70">
        <v>213.14</v>
      </c>
      <c r="E70" t="s">
        <v>101</v>
      </c>
      <c r="F70">
        <v>24.7</v>
      </c>
      <c r="G70">
        <v>92.14</v>
      </c>
      <c r="H70" t="s">
        <v>926</v>
      </c>
      <c r="I70">
        <v>36.6</v>
      </c>
      <c r="J70">
        <f>(209+65)/2</f>
        <v>137</v>
      </c>
      <c r="K70">
        <v>209</v>
      </c>
      <c r="L70">
        <v>65</v>
      </c>
    </row>
    <row r="71" spans="1:18">
      <c r="A71" s="115" t="s">
        <v>90</v>
      </c>
      <c r="B71">
        <v>0</v>
      </c>
      <c r="D71">
        <v>195.58</v>
      </c>
      <c r="F71">
        <v>37.6</v>
      </c>
      <c r="G71">
        <v>86.29</v>
      </c>
      <c r="I71">
        <v>45.6</v>
      </c>
      <c r="J71">
        <f>(207+54)/2</f>
        <v>130.5</v>
      </c>
      <c r="K71">
        <v>207</v>
      </c>
      <c r="L71">
        <v>54</v>
      </c>
      <c r="P71" t="s">
        <v>763</v>
      </c>
      <c r="R71">
        <v>800</v>
      </c>
    </row>
    <row r="72" spans="1:18">
      <c r="A72" s="115" t="s">
        <v>91</v>
      </c>
      <c r="B72">
        <v>0</v>
      </c>
      <c r="D72">
        <v>117.2</v>
      </c>
      <c r="F72">
        <v>53.8</v>
      </c>
      <c r="G72">
        <v>50.79</v>
      </c>
      <c r="I72">
        <v>50.6</v>
      </c>
      <c r="J72">
        <f>(106+25)/2</f>
        <v>65.5</v>
      </c>
      <c r="K72">
        <v>106</v>
      </c>
      <c r="L72">
        <v>25</v>
      </c>
      <c r="P72" t="s">
        <v>764</v>
      </c>
      <c r="R72">
        <v>400</v>
      </c>
    </row>
    <row r="73" spans="1:18">
      <c r="A73" s="115" t="s">
        <v>10</v>
      </c>
      <c r="B73">
        <v>0</v>
      </c>
      <c r="D73">
        <v>40.61</v>
      </c>
      <c r="F73">
        <v>67.2</v>
      </c>
      <c r="G73">
        <v>28.81</v>
      </c>
      <c r="I73">
        <v>56.7</v>
      </c>
      <c r="J73">
        <f>(16+5)/2</f>
        <v>10.5</v>
      </c>
      <c r="K73">
        <v>16</v>
      </c>
      <c r="L73">
        <v>5</v>
      </c>
      <c r="P73" t="s">
        <v>26</v>
      </c>
      <c r="R73">
        <v>720</v>
      </c>
    </row>
    <row r="74" spans="1:18">
      <c r="A74" s="115" t="s">
        <v>92</v>
      </c>
      <c r="B74">
        <v>0</v>
      </c>
      <c r="D74">
        <v>25.98</v>
      </c>
      <c r="F74">
        <v>71.099999999999994</v>
      </c>
      <c r="G74">
        <v>24.41</v>
      </c>
      <c r="I74">
        <v>70.599999999999994</v>
      </c>
      <c r="J74">
        <v>0</v>
      </c>
      <c r="K74">
        <v>0</v>
      </c>
      <c r="L74">
        <v>0</v>
      </c>
      <c r="P74" t="s">
        <v>25</v>
      </c>
      <c r="R74">
        <f>50*6+100*6</f>
        <v>900</v>
      </c>
    </row>
    <row r="75" spans="1:18">
      <c r="A75" s="115" t="s">
        <v>93</v>
      </c>
      <c r="B75">
        <v>0</v>
      </c>
      <c r="D75">
        <v>23.63</v>
      </c>
      <c r="E75" t="s">
        <v>772</v>
      </c>
      <c r="F75">
        <v>76.5</v>
      </c>
      <c r="G75">
        <v>26.78</v>
      </c>
      <c r="H75" t="s">
        <v>772</v>
      </c>
      <c r="I75">
        <v>76.2</v>
      </c>
      <c r="J75">
        <v>0</v>
      </c>
      <c r="K75">
        <v>0</v>
      </c>
      <c r="L75">
        <v>0</v>
      </c>
      <c r="M75" t="s">
        <v>777</v>
      </c>
      <c r="R75">
        <f>SUM(R71:R74)</f>
        <v>2820</v>
      </c>
    </row>
    <row r="76" spans="1:18">
      <c r="A76" s="115" t="s">
        <v>95</v>
      </c>
      <c r="B76">
        <v>0</v>
      </c>
      <c r="D76">
        <v>24.42</v>
      </c>
      <c r="F76">
        <v>79.2</v>
      </c>
      <c r="J76">
        <v>0</v>
      </c>
      <c r="K76">
        <v>0</v>
      </c>
      <c r="L76">
        <v>0</v>
      </c>
    </row>
    <row r="77" spans="1:18">
      <c r="A77" s="115" t="s">
        <v>96</v>
      </c>
      <c r="B77">
        <v>0</v>
      </c>
      <c r="D77">
        <v>25.98</v>
      </c>
      <c r="F77">
        <v>77.099999999999994</v>
      </c>
      <c r="J77">
        <v>0</v>
      </c>
      <c r="K77">
        <v>0</v>
      </c>
      <c r="L77">
        <v>0</v>
      </c>
    </row>
    <row r="78" spans="1:18">
      <c r="A78" s="115" t="s">
        <v>97</v>
      </c>
      <c r="B78">
        <v>29.95</v>
      </c>
      <c r="C78" t="s">
        <v>94</v>
      </c>
      <c r="D78">
        <v>23.63</v>
      </c>
      <c r="F78">
        <v>62.1</v>
      </c>
      <c r="J78">
        <f>16/2</f>
        <v>8</v>
      </c>
      <c r="K78">
        <v>16</v>
      </c>
      <c r="L78">
        <v>0</v>
      </c>
      <c r="M78" t="s">
        <v>794</v>
      </c>
    </row>
    <row r="79" spans="1:18">
      <c r="A79" s="115" t="s">
        <v>98</v>
      </c>
      <c r="B79">
        <v>116.85</v>
      </c>
      <c r="C79" t="s">
        <v>94</v>
      </c>
      <c r="D79">
        <v>31.2</v>
      </c>
      <c r="F79">
        <v>56.6</v>
      </c>
      <c r="J79">
        <f>(97+8)/2</f>
        <v>52.5</v>
      </c>
      <c r="K79">
        <v>97</v>
      </c>
      <c r="L79">
        <v>8</v>
      </c>
    </row>
    <row r="80" spans="1:18">
      <c r="A80" s="115" t="s">
        <v>99</v>
      </c>
      <c r="B80">
        <v>212.06</v>
      </c>
      <c r="C80" t="s">
        <v>94</v>
      </c>
      <c r="D80">
        <v>57.45</v>
      </c>
      <c r="F80">
        <v>50.2</v>
      </c>
      <c r="J80">
        <f>(221+27)/2</f>
        <v>124</v>
      </c>
      <c r="K80">
        <v>221</v>
      </c>
      <c r="L80">
        <v>27</v>
      </c>
    </row>
    <row r="81" spans="1:11" ht="13.5" thickBot="1">
      <c r="A81" s="215" t="s">
        <v>28</v>
      </c>
      <c r="B81" s="41">
        <f>SUM(B69:B80)</f>
        <v>358.86</v>
      </c>
      <c r="C81" s="41"/>
      <c r="D81" s="41">
        <f>SUM(D69:D80)</f>
        <v>911.59000000000015</v>
      </c>
      <c r="E81" s="41"/>
      <c r="F81" s="41"/>
      <c r="G81" s="41">
        <f t="shared" ref="G81" si="6">SUM(G69:G80)</f>
        <v>401.88000000000011</v>
      </c>
    </row>
    <row r="82" spans="1:11" ht="13.5" thickTop="1">
      <c r="A82" t="s">
        <v>606</v>
      </c>
      <c r="B82" s="216">
        <f>B81/3</f>
        <v>119.62</v>
      </c>
      <c r="D82">
        <f>D81/12</f>
        <v>75.96583333333335</v>
      </c>
      <c r="E82">
        <f t="shared" ref="E82:G82" si="7">E81/12</f>
        <v>0</v>
      </c>
      <c r="G82">
        <f t="shared" si="7"/>
        <v>33.490000000000009</v>
      </c>
    </row>
    <row r="83" spans="1:11">
      <c r="A83" t="s">
        <v>630</v>
      </c>
      <c r="B83">
        <f>0+97+221</f>
        <v>318</v>
      </c>
      <c r="D83">
        <f>105+209+207+106+16+8+27</f>
        <v>678</v>
      </c>
      <c r="G83">
        <f>54+65+54+25+5</f>
        <v>203</v>
      </c>
    </row>
    <row r="84" spans="1:11">
      <c r="A84" t="s">
        <v>639</v>
      </c>
      <c r="B84">
        <f>B83/3</f>
        <v>106</v>
      </c>
      <c r="D84">
        <f>D83/12</f>
        <v>56.5</v>
      </c>
      <c r="E84">
        <f t="shared" ref="E84:G84" si="8">E83/12</f>
        <v>0</v>
      </c>
      <c r="G84">
        <f t="shared" si="8"/>
        <v>16.916666666666668</v>
      </c>
      <c r="J84">
        <f>G81+D81-SUM(D69:D71)</f>
        <v>771.98000000000025</v>
      </c>
      <c r="K84">
        <f>J84/12</f>
        <v>64.331666666666692</v>
      </c>
    </row>
    <row r="90" spans="1:11" ht="15">
      <c r="A90" s="200" t="s">
        <v>623</v>
      </c>
      <c r="D90" t="s">
        <v>624</v>
      </c>
      <c r="E90" t="s">
        <v>640</v>
      </c>
    </row>
    <row r="91" spans="1:11">
      <c r="A91" s="214" t="s">
        <v>619</v>
      </c>
      <c r="D91" t="s">
        <v>620</v>
      </c>
      <c r="E91" t="s">
        <v>614</v>
      </c>
    </row>
    <row r="92" spans="1:11">
      <c r="A92" s="278" t="s">
        <v>950</v>
      </c>
      <c r="B92" s="213" t="s">
        <v>951</v>
      </c>
    </row>
    <row r="93" spans="1:11">
      <c r="A93" s="214"/>
      <c r="B93" t="s">
        <v>793</v>
      </c>
    </row>
    <row r="94" spans="1:11">
      <c r="A94" s="214"/>
      <c r="B94" t="s">
        <v>952</v>
      </c>
    </row>
    <row r="95" spans="1:11">
      <c r="A95" s="214"/>
      <c r="B95" t="s">
        <v>1053</v>
      </c>
    </row>
    <row r="96" spans="1:11">
      <c r="A96" s="214"/>
    </row>
    <row r="97" spans="1:14" ht="13.5" thickBot="1">
      <c r="A97" s="214"/>
      <c r="N97">
        <f>700*(1.0522-0.92208)+12*(23.28-14.84)</f>
        <v>192.36400000000003</v>
      </c>
    </row>
    <row r="98" spans="1:14" ht="13.5" thickBot="1">
      <c r="A98" s="254" t="s">
        <v>953</v>
      </c>
      <c r="B98" s="259">
        <f>12*30</f>
        <v>360</v>
      </c>
    </row>
    <row r="99" spans="1:14">
      <c r="A99" s="214"/>
    </row>
    <row r="100" spans="1:14">
      <c r="A100" s="115" t="s">
        <v>100</v>
      </c>
      <c r="B100">
        <v>2014</v>
      </c>
      <c r="D100">
        <v>2015</v>
      </c>
      <c r="G100">
        <v>2016</v>
      </c>
      <c r="J100" t="s">
        <v>609</v>
      </c>
      <c r="K100" t="s">
        <v>610</v>
      </c>
      <c r="L100" t="s">
        <v>611</v>
      </c>
    </row>
    <row r="101" spans="1:14">
      <c r="A101" s="115"/>
      <c r="F101" t="s">
        <v>867</v>
      </c>
      <c r="I101" t="s">
        <v>867</v>
      </c>
    </row>
    <row r="102" spans="1:14">
      <c r="A102" s="115" t="s">
        <v>88</v>
      </c>
      <c r="B102">
        <v>0</v>
      </c>
      <c r="D102">
        <v>17.68</v>
      </c>
      <c r="E102" t="s">
        <v>94</v>
      </c>
      <c r="F102">
        <v>33.700000000000003</v>
      </c>
      <c r="G102">
        <v>39.47</v>
      </c>
      <c r="I102">
        <v>39.9</v>
      </c>
      <c r="J102">
        <f>(24+2)/2</f>
        <v>13</v>
      </c>
      <c r="K102">
        <v>24</v>
      </c>
      <c r="L102">
        <v>0</v>
      </c>
    </row>
    <row r="103" spans="1:14">
      <c r="A103" s="115" t="s">
        <v>89</v>
      </c>
      <c r="B103">
        <v>0</v>
      </c>
      <c r="D103">
        <v>15.38</v>
      </c>
      <c r="E103" t="s">
        <v>94</v>
      </c>
      <c r="F103">
        <v>24.7</v>
      </c>
      <c r="G103">
        <v>29.47</v>
      </c>
      <c r="H103" t="s">
        <v>926</v>
      </c>
      <c r="I103">
        <v>36.6</v>
      </c>
      <c r="J103">
        <v>15</v>
      </c>
      <c r="K103">
        <v>15</v>
      </c>
      <c r="L103">
        <v>0</v>
      </c>
    </row>
    <row r="104" spans="1:14">
      <c r="A104" s="115" t="s">
        <v>90</v>
      </c>
      <c r="B104">
        <v>0</v>
      </c>
      <c r="D104">
        <v>16.37</v>
      </c>
      <c r="E104" t="s">
        <v>94</v>
      </c>
      <c r="F104">
        <v>37.6</v>
      </c>
      <c r="G104">
        <v>34.229999999999997</v>
      </c>
      <c r="I104">
        <v>45.6</v>
      </c>
      <c r="J104">
        <f>(2+19)/2</f>
        <v>10.5</v>
      </c>
      <c r="K104">
        <v>0</v>
      </c>
      <c r="L104">
        <v>2</v>
      </c>
    </row>
    <row r="105" spans="1:14">
      <c r="A105" s="115" t="s">
        <v>91</v>
      </c>
      <c r="B105">
        <v>0</v>
      </c>
      <c r="D105">
        <v>24.38</v>
      </c>
      <c r="E105" t="s">
        <v>101</v>
      </c>
      <c r="F105">
        <v>53.8</v>
      </c>
      <c r="G105">
        <v>35.130000000000003</v>
      </c>
      <c r="I105">
        <v>50.6</v>
      </c>
      <c r="J105">
        <f>(10+21)/2</f>
        <v>15.5</v>
      </c>
      <c r="K105">
        <v>21</v>
      </c>
      <c r="L105">
        <v>10</v>
      </c>
    </row>
    <row r="106" spans="1:14">
      <c r="A106" s="115" t="s">
        <v>10</v>
      </c>
      <c r="B106">
        <v>0</v>
      </c>
      <c r="D106">
        <v>21.03</v>
      </c>
      <c r="F106">
        <v>67.2</v>
      </c>
      <c r="G106">
        <v>35.49</v>
      </c>
      <c r="I106">
        <v>56.7</v>
      </c>
      <c r="J106">
        <f>(8+21)/2</f>
        <v>14.5</v>
      </c>
      <c r="K106">
        <v>21</v>
      </c>
      <c r="L106">
        <v>8</v>
      </c>
    </row>
    <row r="107" spans="1:14">
      <c r="A107" s="115" t="s">
        <v>92</v>
      </c>
      <c r="B107">
        <v>0</v>
      </c>
      <c r="D107">
        <v>23.84</v>
      </c>
      <c r="F107">
        <v>71.099999999999994</v>
      </c>
      <c r="G107">
        <v>28.41</v>
      </c>
      <c r="I107">
        <v>70.599999999999994</v>
      </c>
      <c r="K107">
        <v>14</v>
      </c>
      <c r="L107">
        <v>10</v>
      </c>
    </row>
    <row r="108" spans="1:14">
      <c r="A108" s="115" t="s">
        <v>93</v>
      </c>
      <c r="B108">
        <v>0</v>
      </c>
      <c r="D108">
        <v>24.28</v>
      </c>
      <c r="E108" t="s">
        <v>772</v>
      </c>
      <c r="F108">
        <v>76.5</v>
      </c>
      <c r="G108">
        <v>29.32</v>
      </c>
      <c r="H108" t="s">
        <v>772</v>
      </c>
      <c r="I108">
        <v>76.2</v>
      </c>
      <c r="K108">
        <v>13</v>
      </c>
      <c r="L108">
        <v>12</v>
      </c>
      <c r="M108" t="s">
        <v>1055</v>
      </c>
    </row>
    <row r="109" spans="1:14">
      <c r="A109" s="115" t="s">
        <v>95</v>
      </c>
      <c r="B109">
        <v>0</v>
      </c>
      <c r="D109">
        <v>23.15</v>
      </c>
      <c r="F109">
        <v>79.2</v>
      </c>
      <c r="K109">
        <v>10</v>
      </c>
      <c r="L109">
        <v>10</v>
      </c>
    </row>
    <row r="110" spans="1:14">
      <c r="A110" s="115" t="s">
        <v>96</v>
      </c>
      <c r="B110">
        <v>0</v>
      </c>
      <c r="D110">
        <v>22.41</v>
      </c>
      <c r="F110">
        <v>77.099999999999994</v>
      </c>
      <c r="K110">
        <v>8</v>
      </c>
      <c r="L110">
        <v>8</v>
      </c>
    </row>
    <row r="111" spans="1:14">
      <c r="A111" s="115" t="s">
        <v>97</v>
      </c>
      <c r="B111">
        <v>22.75</v>
      </c>
      <c r="C111" t="s">
        <v>94</v>
      </c>
      <c r="D111">
        <v>24.36</v>
      </c>
      <c r="F111">
        <v>62.1</v>
      </c>
      <c r="J111">
        <f>(12+12)/2</f>
        <v>12</v>
      </c>
      <c r="K111">
        <v>12</v>
      </c>
      <c r="L111">
        <v>12</v>
      </c>
    </row>
    <row r="112" spans="1:14">
      <c r="A112" s="115" t="s">
        <v>98</v>
      </c>
      <c r="B112">
        <v>17.489999999999998</v>
      </c>
      <c r="C112" t="s">
        <v>94</v>
      </c>
      <c r="D112">
        <v>27.7</v>
      </c>
      <c r="F112">
        <v>56.6</v>
      </c>
      <c r="J112">
        <f>(10+15)/2</f>
        <v>12.5</v>
      </c>
      <c r="K112">
        <v>15</v>
      </c>
      <c r="L112">
        <v>10</v>
      </c>
    </row>
    <row r="113" spans="1:12">
      <c r="A113" s="115" t="s">
        <v>99</v>
      </c>
      <c r="B113">
        <v>18.95</v>
      </c>
      <c r="C113" t="s">
        <v>94</v>
      </c>
      <c r="D113">
        <v>35.4</v>
      </c>
      <c r="F113">
        <v>50.2</v>
      </c>
      <c r="J113">
        <f>(10+20)/2</f>
        <v>15</v>
      </c>
      <c r="K113">
        <v>20</v>
      </c>
      <c r="L113">
        <v>10</v>
      </c>
    </row>
    <row r="114" spans="1:12" ht="13.5" thickBot="1">
      <c r="A114" s="215" t="s">
        <v>28</v>
      </c>
      <c r="B114" s="41">
        <f>SUM(B102:B113)</f>
        <v>59.19</v>
      </c>
      <c r="C114" s="41" t="s">
        <v>94</v>
      </c>
      <c r="D114" s="41">
        <f>SUM(D102:D113)</f>
        <v>275.97999999999996</v>
      </c>
      <c r="E114" s="41"/>
      <c r="F114" s="41"/>
      <c r="G114" s="41">
        <f t="shared" ref="G114" si="9">SUM(G102:G113)</f>
        <v>231.51999999999998</v>
      </c>
    </row>
    <row r="115" spans="1:12" ht="13.5" thickTop="1">
      <c r="A115" t="s">
        <v>606</v>
      </c>
      <c r="B115">
        <f>B114/3</f>
        <v>19.73</v>
      </c>
      <c r="D115">
        <f>D114/12</f>
        <v>22.998333333333331</v>
      </c>
      <c r="G115">
        <f t="shared" ref="G115" si="10">G114/12</f>
        <v>19.293333333333333</v>
      </c>
    </row>
    <row r="116" spans="1:12">
      <c r="A116" t="s">
        <v>630</v>
      </c>
      <c r="B116">
        <f>3+3+3</f>
        <v>9</v>
      </c>
      <c r="D116">
        <f>2+10+8+10+12+10+8+12+15+20</f>
        <v>107</v>
      </c>
      <c r="G116">
        <f>24+15+19+21+21+14+13</f>
        <v>127</v>
      </c>
    </row>
    <row r="117" spans="1:12">
      <c r="A117" t="s">
        <v>631</v>
      </c>
      <c r="B117">
        <f>B116/3</f>
        <v>3</v>
      </c>
      <c r="D117">
        <f>D116/12</f>
        <v>8.9166666666666661</v>
      </c>
      <c r="G117">
        <f t="shared" ref="G117" si="11">G116/12</f>
        <v>10.583333333333334</v>
      </c>
      <c r="J117">
        <f>G114+D114-SUM(D102:D104)</f>
        <v>458.06999999999994</v>
      </c>
      <c r="K117">
        <f>J117/12</f>
        <v>38.172499999999992</v>
      </c>
    </row>
    <row r="123" spans="1:12">
      <c r="D123" t="s">
        <v>963</v>
      </c>
    </row>
    <row r="124" spans="1:12" ht="15">
      <c r="A124" s="200" t="s">
        <v>625</v>
      </c>
      <c r="D124" s="214" t="s">
        <v>628</v>
      </c>
      <c r="E124" t="s">
        <v>724</v>
      </c>
    </row>
    <row r="125" spans="1:12">
      <c r="A125" s="214" t="s">
        <v>964</v>
      </c>
    </row>
    <row r="126" spans="1:12">
      <c r="B126" t="s">
        <v>626</v>
      </c>
      <c r="D126" t="s">
        <v>627</v>
      </c>
    </row>
    <row r="127" spans="1:12">
      <c r="A127" t="s">
        <v>936</v>
      </c>
      <c r="D127" t="s">
        <v>935</v>
      </c>
    </row>
    <row r="128" spans="1:12">
      <c r="A128" t="s">
        <v>1054</v>
      </c>
    </row>
    <row r="130" spans="1:17">
      <c r="A130" s="115" t="s">
        <v>100</v>
      </c>
      <c r="B130" s="118">
        <v>2014</v>
      </c>
      <c r="D130" s="118">
        <v>2015</v>
      </c>
      <c r="G130">
        <v>2016</v>
      </c>
      <c r="J130" t="s">
        <v>807</v>
      </c>
      <c r="K130" t="s">
        <v>609</v>
      </c>
      <c r="L130" t="s">
        <v>609</v>
      </c>
      <c r="M130" t="s">
        <v>635</v>
      </c>
      <c r="N130" t="s">
        <v>636</v>
      </c>
      <c r="O130" t="s">
        <v>796</v>
      </c>
      <c r="P130" t="s">
        <v>797</v>
      </c>
      <c r="Q130" t="s">
        <v>798</v>
      </c>
    </row>
    <row r="131" spans="1:17">
      <c r="A131" s="115"/>
      <c r="K131" t="s">
        <v>701</v>
      </c>
      <c r="L131" t="s">
        <v>725</v>
      </c>
    </row>
    <row r="132" spans="1:17">
      <c r="A132" s="115" t="s">
        <v>88</v>
      </c>
      <c r="D132" s="125"/>
      <c r="F132">
        <v>33.700000000000003</v>
      </c>
      <c r="G132">
        <v>71.959999999999994</v>
      </c>
      <c r="I132">
        <v>39.9</v>
      </c>
    </row>
    <row r="133" spans="1:17">
      <c r="A133" s="115" t="s">
        <v>89</v>
      </c>
      <c r="B133">
        <v>0</v>
      </c>
      <c r="D133" s="125">
        <v>268.32</v>
      </c>
      <c r="E133" t="s">
        <v>101</v>
      </c>
      <c r="F133">
        <v>24.7</v>
      </c>
      <c r="G133">
        <v>48.28</v>
      </c>
      <c r="H133" t="s">
        <v>926</v>
      </c>
      <c r="I133">
        <v>36.6</v>
      </c>
      <c r="J133">
        <f>D133/L133</f>
        <v>9.582857142857143E-2</v>
      </c>
      <c r="K133">
        <f>L133*7.48</f>
        <v>20944</v>
      </c>
      <c r="L133">
        <v>2800</v>
      </c>
      <c r="M133" s="125">
        <v>103.6</v>
      </c>
      <c r="N133" s="125">
        <v>164.72</v>
      </c>
      <c r="O133">
        <v>4.42</v>
      </c>
      <c r="P133">
        <v>8.33</v>
      </c>
    </row>
    <row r="134" spans="1:17">
      <c r="A134" s="115" t="s">
        <v>90</v>
      </c>
      <c r="D134" s="125"/>
      <c r="F134">
        <v>37.6</v>
      </c>
      <c r="G134">
        <v>52.64</v>
      </c>
      <c r="I134">
        <v>45.6</v>
      </c>
    </row>
    <row r="135" spans="1:17">
      <c r="A135" s="115" t="s">
        <v>91</v>
      </c>
      <c r="D135" s="125"/>
      <c r="F135">
        <v>53.8</v>
      </c>
      <c r="G135">
        <v>54.63</v>
      </c>
      <c r="I135">
        <v>50.6</v>
      </c>
    </row>
    <row r="136" spans="1:17">
      <c r="A136" s="115" t="s">
        <v>10</v>
      </c>
      <c r="B136">
        <v>0</v>
      </c>
      <c r="D136" s="125">
        <v>112.95</v>
      </c>
      <c r="F136">
        <v>67.2</v>
      </c>
      <c r="G136">
        <v>62.09</v>
      </c>
      <c r="I136">
        <v>56.7</v>
      </c>
      <c r="J136">
        <f>D136/(L136)</f>
        <v>0.16135714285714287</v>
      </c>
      <c r="K136">
        <f t="shared" ref="K136:K142" si="12">L136*7.48</f>
        <v>5236</v>
      </c>
      <c r="L136">
        <v>700</v>
      </c>
      <c r="M136">
        <v>43.61</v>
      </c>
      <c r="N136">
        <v>69.34</v>
      </c>
      <c r="O136" t="s">
        <v>730</v>
      </c>
    </row>
    <row r="137" spans="1:17">
      <c r="A137" s="115" t="s">
        <v>92</v>
      </c>
      <c r="D137" s="125"/>
      <c r="F137">
        <v>71.099999999999994</v>
      </c>
      <c r="G137">
        <v>53.78</v>
      </c>
      <c r="I137">
        <v>70.599999999999994</v>
      </c>
    </row>
    <row r="138" spans="1:17">
      <c r="A138" s="115" t="s">
        <v>93</v>
      </c>
      <c r="D138" s="125"/>
      <c r="F138">
        <v>76.5</v>
      </c>
      <c r="G138">
        <v>71.98</v>
      </c>
      <c r="H138" t="s">
        <v>772</v>
      </c>
      <c r="I138">
        <v>76.2</v>
      </c>
      <c r="K138">
        <f t="shared" si="12"/>
        <v>3740</v>
      </c>
      <c r="L138">
        <v>500</v>
      </c>
      <c r="M138">
        <v>20.58</v>
      </c>
      <c r="N138">
        <v>32.72</v>
      </c>
      <c r="Q138">
        <v>42</v>
      </c>
    </row>
    <row r="139" spans="1:17">
      <c r="A139" s="115" t="s">
        <v>95</v>
      </c>
      <c r="B139">
        <v>0</v>
      </c>
      <c r="D139" s="125">
        <v>145.66</v>
      </c>
      <c r="F139">
        <v>79.2</v>
      </c>
      <c r="J139">
        <f>D139/(L138+L139)</f>
        <v>0.11204615384615384</v>
      </c>
      <c r="K139">
        <f t="shared" si="12"/>
        <v>5984</v>
      </c>
      <c r="L139">
        <v>800</v>
      </c>
      <c r="M139">
        <v>24.5</v>
      </c>
      <c r="N139">
        <v>38.96</v>
      </c>
      <c r="O139">
        <v>10.01</v>
      </c>
      <c r="P139">
        <v>18.89</v>
      </c>
      <c r="Q139">
        <v>50</v>
      </c>
    </row>
    <row r="140" spans="1:17">
      <c r="A140" s="115" t="s">
        <v>96</v>
      </c>
      <c r="D140" s="125">
        <v>53.36</v>
      </c>
      <c r="F140">
        <v>77.099999999999994</v>
      </c>
      <c r="J140">
        <f>D140/L140</f>
        <v>0.17786666666666667</v>
      </c>
      <c r="K140">
        <f t="shared" si="12"/>
        <v>2244</v>
      </c>
      <c r="L140">
        <v>300</v>
      </c>
      <c r="M140">
        <v>15.68</v>
      </c>
      <c r="N140">
        <v>24.93</v>
      </c>
      <c r="O140">
        <v>4.42</v>
      </c>
      <c r="P140">
        <v>8.33</v>
      </c>
      <c r="Q140">
        <v>32</v>
      </c>
    </row>
    <row r="141" spans="1:17">
      <c r="A141" s="115" t="s">
        <v>97</v>
      </c>
      <c r="D141" s="125">
        <v>51.67</v>
      </c>
      <c r="F141">
        <v>62.1</v>
      </c>
    </row>
    <row r="142" spans="1:17">
      <c r="A142" s="115" t="s">
        <v>98</v>
      </c>
      <c r="B142">
        <v>100.26</v>
      </c>
      <c r="D142" s="125">
        <v>52.51</v>
      </c>
      <c r="F142">
        <v>56.6</v>
      </c>
      <c r="J142">
        <f t="shared" ref="J142" si="13">D142/(L142*7.48)</f>
        <v>8.7750668449197849E-3</v>
      </c>
      <c r="K142">
        <f t="shared" si="12"/>
        <v>5984</v>
      </c>
      <c r="L142">
        <f>800</f>
        <v>800</v>
      </c>
      <c r="M142">
        <v>38.71</v>
      </c>
      <c r="N142">
        <v>61.55</v>
      </c>
    </row>
    <row r="143" spans="1:17">
      <c r="A143" s="115" t="s">
        <v>99</v>
      </c>
      <c r="D143" s="125">
        <v>52.64</v>
      </c>
      <c r="F143">
        <v>50.2</v>
      </c>
    </row>
    <row r="144" spans="1:17" ht="13.5" thickBot="1">
      <c r="A144" s="215" t="s">
        <v>28</v>
      </c>
      <c r="B144" s="41">
        <f>SUM(B132:B143)</f>
        <v>100.26</v>
      </c>
      <c r="C144" s="41"/>
      <c r="D144" s="41">
        <f t="shared" ref="D144:G144" si="14">SUM(D132:D143)</f>
        <v>737.1099999999999</v>
      </c>
      <c r="E144" s="41"/>
      <c r="F144" s="41"/>
      <c r="G144" s="41">
        <f t="shared" si="14"/>
        <v>415.36</v>
      </c>
    </row>
    <row r="145" spans="1:7" ht="13.5" thickTop="1">
      <c r="A145" t="s">
        <v>606</v>
      </c>
      <c r="B145">
        <f>B144/3</f>
        <v>33.42</v>
      </c>
      <c r="D145">
        <f>D144/12</f>
        <v>61.425833333333323</v>
      </c>
    </row>
    <row r="146" spans="1:7">
      <c r="A146" t="s">
        <v>629</v>
      </c>
      <c r="B146">
        <f>800</f>
        <v>800</v>
      </c>
      <c r="D146">
        <f>2800+700+(500+800)+300+400+500+400</f>
        <v>6400</v>
      </c>
      <c r="G146">
        <f>600+100+400+500+500+400+600</f>
        <v>3100</v>
      </c>
    </row>
    <row r="147" spans="1:7">
      <c r="A147" s="242" t="s">
        <v>722</v>
      </c>
      <c r="B147">
        <f>B146*7.48</f>
        <v>5984</v>
      </c>
      <c r="D147">
        <f>D146*7.48</f>
        <v>47872</v>
      </c>
      <c r="E147">
        <f t="shared" ref="E147:G147" si="15">E146*7.48</f>
        <v>0</v>
      </c>
      <c r="G147">
        <f t="shared" si="15"/>
        <v>23188</v>
      </c>
    </row>
    <row r="148" spans="1:7">
      <c r="A148" t="s">
        <v>723</v>
      </c>
      <c r="B148">
        <f>B147/3</f>
        <v>1994.6666666666667</v>
      </c>
      <c r="D148">
        <f t="shared" ref="D148" si="16">D147/3</f>
        <v>15957.333333333334</v>
      </c>
    </row>
    <row r="149" spans="1:7">
      <c r="A149" t="s">
        <v>726</v>
      </c>
      <c r="B149" s="243">
        <f>B144/B147</f>
        <v>1.6754679144385026E-2</v>
      </c>
      <c r="C149" s="243"/>
      <c r="D149" s="243">
        <f t="shared" ref="D149" si="17">D144/D147</f>
        <v>1.539751838235294E-2</v>
      </c>
    </row>
    <row r="150" spans="1:7">
      <c r="A150" t="s">
        <v>806</v>
      </c>
      <c r="B150">
        <f>B144/B146</f>
        <v>0.12532500000000002</v>
      </c>
      <c r="D150">
        <f t="shared" ref="D150" si="18">D144/D146</f>
        <v>0.11517343749999999</v>
      </c>
    </row>
    <row r="151" spans="1:7">
      <c r="A151" t="s">
        <v>808</v>
      </c>
    </row>
    <row r="152" spans="1:7">
      <c r="A152" t="s">
        <v>729</v>
      </c>
    </row>
    <row r="153" spans="1:7">
      <c r="A153" t="s">
        <v>809</v>
      </c>
    </row>
    <row r="154" spans="1:7">
      <c r="D154">
        <f>2000/7.48</f>
        <v>267.37967914438502</v>
      </c>
    </row>
    <row r="157" spans="1:7">
      <c r="A157" s="2" t="s">
        <v>760</v>
      </c>
    </row>
    <row r="158" spans="1:7">
      <c r="A158" t="s">
        <v>757</v>
      </c>
      <c r="B158">
        <v>2015</v>
      </c>
      <c r="D158">
        <v>2016</v>
      </c>
    </row>
    <row r="159" spans="1:7">
      <c r="A159" t="s">
        <v>26</v>
      </c>
      <c r="B159">
        <v>3.7</v>
      </c>
      <c r="D159">
        <v>3.82</v>
      </c>
    </row>
    <row r="160" spans="1:7">
      <c r="A160" t="s">
        <v>758</v>
      </c>
      <c r="B160">
        <v>5.88</v>
      </c>
      <c r="D160">
        <v>6.07</v>
      </c>
    </row>
    <row r="161" spans="1:4" ht="13.5" thickBot="1">
      <c r="A161" t="s">
        <v>759</v>
      </c>
      <c r="B161" s="41">
        <f>SUM(B159:B160)</f>
        <v>9.58</v>
      </c>
      <c r="D161" s="41">
        <f t="shared" ref="D161" si="19">SUM(D159:D160)</f>
        <v>9.89</v>
      </c>
    </row>
    <row r="162" spans="1:4" ht="13.5" thickTop="1"/>
  </sheetData>
  <hyperlinks>
    <hyperlink ref="A24" r:id="rId1"/>
    <hyperlink ref="A56" r:id="rId2"/>
    <hyperlink ref="A91" r:id="rId3"/>
    <hyperlink ref="A125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3"/>
  <sheetViews>
    <sheetView topLeftCell="A9" zoomScale="98" zoomScaleNormal="98" workbookViewId="0">
      <selection activeCell="G30" sqref="G30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3" width="11.85546875" style="56" customWidth="1"/>
    <col min="14" max="15" width="11.5703125" style="56" customWidth="1"/>
    <col min="16" max="16" width="1.7109375" style="56" customWidth="1"/>
    <col min="17" max="17" width="15.28515625" style="56" customWidth="1"/>
    <col min="18" max="18" width="11.5703125" style="56" customWidth="1"/>
    <col min="19" max="19" width="11.42578125" style="56" customWidth="1"/>
    <col min="20" max="22" width="9" style="56"/>
    <col min="23" max="23" width="10.5703125" style="56" customWidth="1"/>
    <col min="24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6</v>
      </c>
      <c r="C2" s="64"/>
      <c r="M2" s="56" t="s">
        <v>918</v>
      </c>
    </row>
    <row r="3" spans="1:16">
      <c r="B3" s="56" t="s">
        <v>77</v>
      </c>
      <c r="M3" s="64"/>
      <c r="P3" s="66"/>
    </row>
    <row r="4" spans="1:16">
      <c r="A4" s="62" t="s">
        <v>4</v>
      </c>
      <c r="B4" s="67">
        <f>SUM(G5:G8)</f>
        <v>11431.89</v>
      </c>
      <c r="C4" s="67"/>
      <c r="G4" s="56" t="s">
        <v>28</v>
      </c>
      <c r="M4" s="167"/>
      <c r="P4" s="66"/>
    </row>
    <row r="5" spans="1:16" ht="12.75">
      <c r="A5" s="56" t="s">
        <v>842</v>
      </c>
      <c r="B5" s="106">
        <v>3950.9</v>
      </c>
      <c r="C5" s="107">
        <v>4015.29</v>
      </c>
      <c r="G5" s="106">
        <f>SUM(B5:E5)</f>
        <v>7966.1900000000005</v>
      </c>
      <c r="H5" s="68"/>
      <c r="I5" s="68"/>
      <c r="J5" s="68"/>
      <c r="K5" s="72"/>
      <c r="M5" s="68"/>
      <c r="P5" s="66"/>
    </row>
    <row r="6" spans="1:16" ht="12.75">
      <c r="A6" s="56" t="s">
        <v>103</v>
      </c>
      <c r="B6" s="106">
        <v>1732.85</v>
      </c>
      <c r="C6" s="107">
        <v>1732.85</v>
      </c>
      <c r="G6" s="106">
        <f>SUM(B6:E6)</f>
        <v>3465.7</v>
      </c>
      <c r="H6" s="68"/>
      <c r="I6" s="68"/>
      <c r="J6" s="68"/>
      <c r="K6" s="72"/>
      <c r="M6" s="68"/>
      <c r="P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5" customHeight="1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5" customHeight="1">
      <c r="A11" s="49" t="s">
        <v>141</v>
      </c>
      <c r="B11" s="160">
        <f>G11</f>
        <v>1350</v>
      </c>
      <c r="D11" s="43" t="s">
        <v>143</v>
      </c>
      <c r="E11" s="43">
        <f>G11/B4</f>
        <v>0.118090709410255</v>
      </c>
      <c r="F11" s="159"/>
      <c r="G11" s="44">
        <f>Tithe!D6</f>
        <v>1350</v>
      </c>
      <c r="H11" s="43">
        <v>1500</v>
      </c>
      <c r="I11" s="55">
        <f>H11-G11</f>
        <v>150</v>
      </c>
      <c r="J11" s="82">
        <f>I11</f>
        <v>150</v>
      </c>
      <c r="K11" s="74"/>
    </row>
    <row r="12" spans="1:16" s="43" customFormat="1" ht="15.95" customHeight="1">
      <c r="I12" s="55"/>
      <c r="J12" s="82"/>
      <c r="K12" s="75"/>
      <c r="L12" s="167" t="s">
        <v>328</v>
      </c>
    </row>
    <row r="13" spans="1:16" s="43" customFormat="1" ht="15.95" customHeight="1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5.95" customHeight="1">
      <c r="B14" s="49" t="s">
        <v>924</v>
      </c>
      <c r="E14" s="43" t="s">
        <v>315</v>
      </c>
      <c r="F14" s="159"/>
      <c r="G14" s="44"/>
      <c r="H14" s="43">
        <v>400</v>
      </c>
      <c r="I14" s="55">
        <f>H14-G14</f>
        <v>400</v>
      </c>
      <c r="J14" s="82">
        <f t="shared" ref="J14:J26" si="0">I14</f>
        <v>400</v>
      </c>
      <c r="K14" s="75"/>
    </row>
    <row r="15" spans="1:16" s="43" customFormat="1" ht="15.95" customHeight="1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ref="I15:I20" si="1">H15-G15</f>
        <v>200</v>
      </c>
      <c r="J15" s="82">
        <f t="shared" si="0"/>
        <v>200</v>
      </c>
      <c r="K15" s="75"/>
    </row>
    <row r="16" spans="1:16" s="43" customFormat="1" ht="15.95" customHeight="1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1"/>
        <v>300</v>
      </c>
      <c r="J16" s="82">
        <f t="shared" si="0"/>
        <v>300</v>
      </c>
      <c r="K16" s="75"/>
    </row>
    <row r="17" spans="1:12" s="43" customFormat="1" ht="15.95" customHeight="1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1"/>
        <v>200</v>
      </c>
      <c r="J17" s="82">
        <f t="shared" si="0"/>
        <v>200</v>
      </c>
      <c r="K17" s="75"/>
    </row>
    <row r="18" spans="1:12" s="43" customFormat="1" ht="15.95" customHeigh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1"/>
        <v>50</v>
      </c>
      <c r="J18" s="82">
        <f t="shared" si="0"/>
        <v>50</v>
      </c>
      <c r="K18" s="75"/>
    </row>
    <row r="19" spans="1:12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1"/>
        <v>200</v>
      </c>
      <c r="J19" s="82">
        <f t="shared" si="0"/>
        <v>200</v>
      </c>
      <c r="K19" s="75"/>
    </row>
    <row r="20" spans="1:12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1"/>
        <v>300</v>
      </c>
      <c r="J20" s="82">
        <f t="shared" si="0"/>
        <v>300</v>
      </c>
      <c r="K20" s="75"/>
    </row>
    <row r="21" spans="1:12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 t="shared" si="0"/>
        <v>0</v>
      </c>
      <c r="K22" s="75"/>
    </row>
    <row r="23" spans="1:12" s="43" customFormat="1" ht="15.95" customHeight="1">
      <c r="A23" s="49"/>
      <c r="B23" s="53"/>
      <c r="F23" s="159"/>
      <c r="G23" s="44"/>
      <c r="I23" s="55"/>
      <c r="J23" s="82"/>
      <c r="K23" s="75"/>
    </row>
    <row r="24" spans="1:12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 t="shared" si="0"/>
        <v>500</v>
      </c>
      <c r="K25" s="75"/>
    </row>
    <row r="26" spans="1:12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 t="shared" si="0"/>
        <v>300</v>
      </c>
      <c r="K26" s="75"/>
    </row>
    <row r="27" spans="1:12" s="43" customFormat="1" ht="12.75" customHeight="1">
      <c r="A27" s="49"/>
      <c r="F27" s="159"/>
      <c r="G27" s="57"/>
      <c r="H27" s="57"/>
      <c r="I27" s="59"/>
      <c r="J27" s="70"/>
      <c r="K27" s="70"/>
    </row>
    <row r="28" spans="1:12" s="43" customFormat="1" ht="12.75" customHeight="1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2600</v>
      </c>
      <c r="J28" s="58">
        <f>SUM(J11:J26)</f>
        <v>2600</v>
      </c>
      <c r="K28" s="76"/>
    </row>
    <row r="29" spans="1:12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2" s="43" customFormat="1" ht="12.75" customHeight="1" thickBot="1">
      <c r="A30" s="49" t="s">
        <v>149</v>
      </c>
      <c r="B30" s="49"/>
      <c r="F30" s="159"/>
      <c r="G30" s="79"/>
      <c r="H30" s="47"/>
      <c r="I30" s="47"/>
      <c r="J30" s="47"/>
      <c r="K30" s="76"/>
      <c r="L30" s="43" t="s">
        <v>917</v>
      </c>
    </row>
    <row r="31" spans="1:12" s="43" customFormat="1" ht="12.75" customHeight="1">
      <c r="A31" s="89" t="s">
        <v>142</v>
      </c>
      <c r="B31" s="49"/>
      <c r="F31" s="159"/>
      <c r="G31" s="164">
        <f>B4-G11-G28+G30</f>
        <v>10081.89</v>
      </c>
      <c r="H31" s="47"/>
      <c r="I31" s="47"/>
      <c r="J31" s="47"/>
      <c r="K31" s="76"/>
      <c r="L31" s="47" t="s">
        <v>932</v>
      </c>
    </row>
    <row r="32" spans="1:12" s="43" customFormat="1" ht="12.75" customHeight="1">
      <c r="A32" s="43" t="s">
        <v>318</v>
      </c>
      <c r="B32" s="89"/>
      <c r="C32" s="45"/>
      <c r="D32" s="45"/>
      <c r="E32" s="45"/>
      <c r="F32" s="163"/>
      <c r="G32" s="165">
        <f>G46</f>
        <v>9471.3199999999979</v>
      </c>
      <c r="H32" s="47"/>
      <c r="I32" s="47"/>
      <c r="J32" s="47"/>
      <c r="K32" s="76"/>
      <c r="L32" s="47" t="s">
        <v>933</v>
      </c>
    </row>
    <row r="33" spans="1:25" s="43" customFormat="1" ht="12.75" customHeight="1">
      <c r="A33" s="49" t="s">
        <v>359</v>
      </c>
      <c r="B33" s="49"/>
      <c r="F33" s="159"/>
      <c r="G33" s="69">
        <f>G31-G32-M42-N42</f>
        <v>810.57000000000153</v>
      </c>
      <c r="H33" s="47"/>
      <c r="I33" s="47"/>
      <c r="J33" s="47"/>
      <c r="K33" s="76"/>
      <c r="L33" s="47"/>
    </row>
    <row r="34" spans="1:25" s="43" customFormat="1" ht="12.75" customHeight="1">
      <c r="H34" s="47"/>
      <c r="I34" s="47"/>
      <c r="J34" s="47"/>
      <c r="K34" s="76"/>
      <c r="L34" s="47"/>
    </row>
    <row r="35" spans="1:25" s="43" customFormat="1" ht="14.2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25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25" s="43" customFormat="1" ht="12.75" customHeight="1">
      <c r="A37" s="49"/>
      <c r="B37" s="49"/>
      <c r="F37" s="159"/>
      <c r="G37" s="69"/>
      <c r="H37" s="47"/>
      <c r="I37" s="47"/>
      <c r="J37" s="47"/>
      <c r="K37" s="76"/>
      <c r="L37" s="47"/>
    </row>
    <row r="38" spans="1:25" s="43" customFormat="1" ht="12.75" customHeight="1">
      <c r="A38" s="49"/>
      <c r="B38" s="49"/>
      <c r="F38" s="159"/>
      <c r="G38" s="69"/>
      <c r="H38" s="47"/>
      <c r="I38" s="47"/>
      <c r="J38" s="47"/>
      <c r="K38" s="76"/>
      <c r="L38" s="47"/>
    </row>
    <row r="39" spans="1:25" s="43" customFormat="1" ht="12.75" customHeight="1">
      <c r="A39" s="49"/>
      <c r="B39" s="49"/>
      <c r="F39" s="159"/>
      <c r="G39" s="88"/>
      <c r="H39" s="47"/>
      <c r="I39" s="47"/>
      <c r="J39" s="47"/>
      <c r="K39" s="76"/>
      <c r="L39" s="47">
        <f>SUM(L46:O46)</f>
        <v>9471.32</v>
      </c>
      <c r="U39" s="43" t="s">
        <v>649</v>
      </c>
      <c r="W39" s="43" t="s">
        <v>650</v>
      </c>
      <c r="X39" s="43" t="s">
        <v>651</v>
      </c>
    </row>
    <row r="40" spans="1:25" s="43" customFormat="1" ht="12.75" customHeight="1">
      <c r="A40" s="49"/>
      <c r="B40" s="49"/>
      <c r="F40" s="159"/>
      <c r="G40" s="88"/>
      <c r="H40" s="47"/>
      <c r="I40" s="47"/>
      <c r="J40" s="47"/>
      <c r="K40" s="76"/>
      <c r="L40" s="47"/>
      <c r="Q40" s="105"/>
      <c r="U40" s="43">
        <v>2188.66</v>
      </c>
      <c r="W40" s="43">
        <v>1284.05</v>
      </c>
      <c r="X40" s="105">
        <v>42044</v>
      </c>
      <c r="Y40" s="43">
        <f>R40-W40</f>
        <v>-1284.05</v>
      </c>
    </row>
    <row r="41" spans="1:25" s="43" customFormat="1" ht="12.75" customHeight="1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4475.4399999999996</v>
      </c>
      <c r="N41" s="43">
        <f>N46+N44+N43+N42</f>
        <v>285.33999999999997</v>
      </c>
      <c r="O41" s="43">
        <f>O46+O44+O43+O42</f>
        <v>0</v>
      </c>
    </row>
    <row r="42" spans="1:25" s="43" customFormat="1" ht="12.75" customHeight="1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  <c r="M42" s="43">
        <v>-200</v>
      </c>
      <c r="R42" s="47"/>
    </row>
    <row r="43" spans="1:25" s="43" customFormat="1" ht="12.75" customHeight="1">
      <c r="B43" s="49"/>
      <c r="F43" s="159"/>
      <c r="I43" s="52"/>
      <c r="J43" s="80" t="s">
        <v>146</v>
      </c>
      <c r="K43" s="73"/>
    </row>
    <row r="44" spans="1:25" s="43" customFormat="1" ht="12.75" customHeight="1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25" s="43" customFormat="1" ht="12.75" customHeight="1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</row>
    <row r="46" spans="1:25" s="43" customFormat="1" ht="12.75" customHeight="1" thickBot="1">
      <c r="D46"/>
      <c r="E46" s="162"/>
      <c r="F46" s="159"/>
      <c r="G46" s="84">
        <f>SUM(G48:G163)</f>
        <v>9471.3199999999979</v>
      </c>
      <c r="H46" s="84">
        <f>SUM(H48:H163)</f>
        <v>4626.9500000000007</v>
      </c>
      <c r="I46" s="84">
        <f>H46-G46</f>
        <v>-4844.3699999999972</v>
      </c>
      <c r="J46" s="84">
        <f>SUM(J48:J163)</f>
        <v>-4844.369999999999</v>
      </c>
      <c r="K46" s="77"/>
      <c r="L46" s="207">
        <f>SUM(L49:L163)</f>
        <v>4610.54</v>
      </c>
      <c r="M46" s="208">
        <f>SUM(M49:M163)</f>
        <v>4575.4399999999996</v>
      </c>
      <c r="N46" s="209">
        <f>SUM(N49:N163)</f>
        <v>285.33999999999997</v>
      </c>
      <c r="O46" s="209">
        <f>SUM(O49:O163)</f>
        <v>0</v>
      </c>
    </row>
    <row r="47" spans="1:25" s="43" customFormat="1" ht="12.75" customHeight="1" thickBot="1">
      <c r="A47" s="89" t="s">
        <v>292</v>
      </c>
      <c r="B47" s="157">
        <f>B48+B61+B65</f>
        <v>4298.87</v>
      </c>
      <c r="C47" s="157">
        <f>C48+C61+C65</f>
        <v>797.95000000000027</v>
      </c>
      <c r="D47" s="79">
        <f>D48+D61+D65</f>
        <v>-3500.9199999999996</v>
      </c>
      <c r="I47" s="52"/>
      <c r="J47" s="80"/>
      <c r="K47" s="73"/>
      <c r="L47" s="210"/>
      <c r="M47" s="211"/>
      <c r="N47" s="211"/>
      <c r="O47" s="212"/>
    </row>
    <row r="48" spans="1:25" s="43" customFormat="1" ht="12.75" customHeight="1">
      <c r="A48" s="49" t="s">
        <v>278</v>
      </c>
      <c r="B48" s="49">
        <f>SUM(G49:G57)</f>
        <v>4110</v>
      </c>
      <c r="C48" s="49">
        <f>SUM(H49:H57)</f>
        <v>457.95000000000027</v>
      </c>
      <c r="D48" s="49">
        <f>SUM(I49:I57)</f>
        <v>-3652.0499999999997</v>
      </c>
      <c r="I48" s="52"/>
      <c r="J48" s="80"/>
      <c r="K48" s="73"/>
      <c r="L48" s="210"/>
      <c r="M48" s="211"/>
      <c r="N48" s="211"/>
      <c r="O48" s="212"/>
    </row>
    <row r="49" spans="1:15" s="43" customFormat="1" ht="12.75" customHeight="1">
      <c r="B49" s="43" t="s">
        <v>185</v>
      </c>
      <c r="G49" s="43">
        <f>SUM(L49:O49)</f>
        <v>0</v>
      </c>
      <c r="H49" s="43">
        <v>0</v>
      </c>
      <c r="I49" s="52">
        <f t="shared" ref="I49:I57" si="2">H49-G49</f>
        <v>0</v>
      </c>
      <c r="J49" s="80">
        <f t="shared" ref="J49:J56" si="3">I49</f>
        <v>0</v>
      </c>
      <c r="K49" s="73"/>
      <c r="L49" s="210"/>
      <c r="M49" s="211"/>
      <c r="N49" s="211"/>
      <c r="O49" s="212"/>
    </row>
    <row r="50" spans="1:15" s="43" customFormat="1" ht="12.75" customHeight="1">
      <c r="A50" s="49"/>
      <c r="B50" s="43" t="s">
        <v>280</v>
      </c>
      <c r="G50" s="43">
        <f t="shared" ref="G50:G103" si="4">SUM(L50:O50)</f>
        <v>0</v>
      </c>
      <c r="H50" s="43">
        <v>0</v>
      </c>
      <c r="I50" s="52">
        <f t="shared" si="2"/>
        <v>0</v>
      </c>
      <c r="J50" s="80">
        <f t="shared" si="3"/>
        <v>0</v>
      </c>
      <c r="K50" s="73"/>
      <c r="L50" s="210"/>
      <c r="M50" s="211"/>
      <c r="N50" s="211"/>
      <c r="O50" s="212"/>
    </row>
    <row r="51" spans="1:15" s="43" customFormat="1" ht="12.75" customHeight="1">
      <c r="A51" s="49"/>
      <c r="B51" s="43" t="s">
        <v>281</v>
      </c>
      <c r="G51" s="43">
        <f t="shared" si="4"/>
        <v>0</v>
      </c>
      <c r="H51" s="43">
        <v>100</v>
      </c>
      <c r="I51" s="52">
        <f t="shared" si="2"/>
        <v>100</v>
      </c>
      <c r="J51" s="80">
        <f t="shared" si="3"/>
        <v>100</v>
      </c>
      <c r="K51" s="73"/>
      <c r="L51" s="210"/>
      <c r="M51" s="211"/>
      <c r="N51" s="211"/>
      <c r="O51" s="212"/>
    </row>
    <row r="52" spans="1:15" s="43" customFormat="1" ht="12.75" customHeight="1">
      <c r="A52" s="49"/>
      <c r="B52" s="43" t="s">
        <v>279</v>
      </c>
      <c r="G52" s="43">
        <f t="shared" si="4"/>
        <v>0</v>
      </c>
      <c r="H52" s="43">
        <v>100</v>
      </c>
      <c r="I52" s="52">
        <f t="shared" si="2"/>
        <v>100</v>
      </c>
      <c r="J52" s="80">
        <f t="shared" si="3"/>
        <v>100</v>
      </c>
      <c r="K52" s="73"/>
      <c r="L52" s="210"/>
      <c r="M52" s="211"/>
      <c r="N52" s="211"/>
      <c r="O52" s="212"/>
    </row>
    <row r="53" spans="1:15" s="43" customFormat="1" ht="12.75" customHeight="1">
      <c r="A53" s="49"/>
      <c r="B53" s="43" t="s">
        <v>922</v>
      </c>
      <c r="G53" s="43">
        <f t="shared" si="4"/>
        <v>610</v>
      </c>
      <c r="H53" s="43">
        <v>610</v>
      </c>
      <c r="I53" s="52">
        <f t="shared" si="2"/>
        <v>0</v>
      </c>
      <c r="J53" s="80">
        <f t="shared" si="3"/>
        <v>0</v>
      </c>
      <c r="K53" s="73"/>
      <c r="L53" s="210">
        <v>610</v>
      </c>
      <c r="M53" s="211"/>
      <c r="N53" s="211"/>
      <c r="O53" s="212"/>
    </row>
    <row r="54" spans="1:15" s="43" customFormat="1" ht="12.75" customHeight="1">
      <c r="A54" s="49"/>
      <c r="B54" s="43" t="s">
        <v>288</v>
      </c>
      <c r="G54" s="43">
        <f t="shared" si="4"/>
        <v>0</v>
      </c>
      <c r="H54" s="43">
        <v>80</v>
      </c>
      <c r="I54" s="52">
        <f t="shared" si="2"/>
        <v>80</v>
      </c>
      <c r="J54" s="80">
        <f t="shared" si="3"/>
        <v>80</v>
      </c>
      <c r="K54" s="73"/>
      <c r="L54" s="210"/>
      <c r="M54" s="211"/>
      <c r="N54" s="211"/>
      <c r="O54" s="212"/>
    </row>
    <row r="55" spans="1:15" s="43" customFormat="1" ht="12.75" customHeight="1">
      <c r="A55" s="49"/>
      <c r="B55" s="43" t="s">
        <v>186</v>
      </c>
      <c r="G55" s="43">
        <f t="shared" si="4"/>
        <v>6000</v>
      </c>
      <c r="H55" s="43">
        <v>1636.68</v>
      </c>
      <c r="I55" s="52">
        <f t="shared" si="2"/>
        <v>-4363.32</v>
      </c>
      <c r="J55" s="80">
        <f t="shared" si="3"/>
        <v>-4363.32</v>
      </c>
      <c r="K55" s="73"/>
      <c r="L55" s="212">
        <f>3000+3000</f>
        <v>6000</v>
      </c>
      <c r="M55" s="211"/>
      <c r="N55" s="211"/>
      <c r="O55" s="212"/>
    </row>
    <row r="56" spans="1:15" s="43" customFormat="1" ht="12.75" customHeight="1">
      <c r="A56" s="49"/>
      <c r="B56" s="43" t="s">
        <v>246</v>
      </c>
      <c r="G56" s="43">
        <f t="shared" si="4"/>
        <v>0</v>
      </c>
      <c r="H56" s="43">
        <v>431.27</v>
      </c>
      <c r="I56" s="52">
        <f t="shared" si="2"/>
        <v>431.27</v>
      </c>
      <c r="J56" s="80">
        <f t="shared" si="3"/>
        <v>431.27</v>
      </c>
      <c r="K56" s="73"/>
      <c r="L56" s="212"/>
      <c r="M56" s="211"/>
      <c r="N56" s="211"/>
      <c r="O56" s="212"/>
    </row>
    <row r="57" spans="1:15" s="43" customFormat="1" ht="12.75" customHeight="1">
      <c r="A57" s="49"/>
      <c r="B57" s="43" t="s">
        <v>200</v>
      </c>
      <c r="G57" s="43">
        <f t="shared" si="4"/>
        <v>-2500</v>
      </c>
      <c r="H57" s="43">
        <v>-2500</v>
      </c>
      <c r="I57" s="52">
        <f t="shared" si="2"/>
        <v>0</v>
      </c>
      <c r="J57" s="80">
        <f>I57</f>
        <v>0</v>
      </c>
      <c r="K57" s="73"/>
      <c r="L57" s="212">
        <v>-2500</v>
      </c>
      <c r="M57" s="211"/>
      <c r="N57" s="211"/>
      <c r="O57" s="212"/>
    </row>
    <row r="58" spans="1:15" s="43" customFormat="1" ht="12.75" customHeight="1">
      <c r="I58" s="52"/>
      <c r="J58" s="80"/>
      <c r="K58" s="73"/>
      <c r="L58" s="212"/>
      <c r="M58" s="211"/>
      <c r="N58" s="211"/>
      <c r="O58" s="212"/>
    </row>
    <row r="59" spans="1:15" s="43" customFormat="1" ht="12.75" customHeight="1">
      <c r="I59" s="52"/>
      <c r="J59" s="80"/>
      <c r="K59" s="73"/>
      <c r="L59" s="212"/>
      <c r="M59" s="211"/>
      <c r="N59" s="211"/>
      <c r="O59" s="212"/>
    </row>
    <row r="60" spans="1:15" s="43" customFormat="1" ht="12.75" customHeight="1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2.75" customHeight="1">
      <c r="A61" s="49"/>
      <c r="B61" s="49">
        <f>SUM(G62:G63)</f>
        <v>187.87</v>
      </c>
      <c r="C61" s="49">
        <f>SUM(H62:H63)</f>
        <v>260</v>
      </c>
      <c r="D61" s="49">
        <f>C61-B61</f>
        <v>72.13</v>
      </c>
      <c r="I61" s="52"/>
      <c r="J61" s="80"/>
      <c r="K61" s="73"/>
      <c r="L61" s="212"/>
      <c r="M61" s="211"/>
      <c r="N61" s="211"/>
      <c r="O61" s="212"/>
    </row>
    <row r="62" spans="1:15" s="43" customFormat="1" ht="12.75" customHeight="1">
      <c r="A62" s="49"/>
      <c r="B62" s="43" t="s">
        <v>914</v>
      </c>
      <c r="G62" s="43">
        <f t="shared" si="4"/>
        <v>81.52</v>
      </c>
      <c r="H62" s="43">
        <v>150</v>
      </c>
      <c r="I62" s="52">
        <f t="shared" ref="I62:I123" si="5">H62-G62</f>
        <v>68.48</v>
      </c>
      <c r="J62" s="80">
        <f>I62</f>
        <v>68.48</v>
      </c>
      <c r="K62" s="73"/>
      <c r="L62" s="212"/>
      <c r="M62" s="211">
        <v>81.52</v>
      </c>
      <c r="N62" s="211"/>
      <c r="O62" s="212"/>
    </row>
    <row r="63" spans="1:15" s="43" customFormat="1" ht="12.75" customHeight="1">
      <c r="A63" s="49"/>
      <c r="B63" s="43" t="s">
        <v>290</v>
      </c>
      <c r="D63" s="56"/>
      <c r="G63" s="43">
        <f t="shared" si="4"/>
        <v>106.35</v>
      </c>
      <c r="H63" s="43">
        <v>110</v>
      </c>
      <c r="I63" s="52">
        <f t="shared" si="5"/>
        <v>3.6500000000000057</v>
      </c>
      <c r="J63" s="80">
        <f>I63</f>
        <v>3.6500000000000057</v>
      </c>
      <c r="K63" s="73"/>
      <c r="L63" s="212"/>
      <c r="M63" s="211">
        <v>106.35</v>
      </c>
      <c r="N63" s="211"/>
      <c r="O63" s="212"/>
    </row>
    <row r="64" spans="1:15" s="43" customFormat="1" ht="12.75" customHeight="1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2.75" customHeight="1">
      <c r="A65" s="49" t="s">
        <v>287</v>
      </c>
      <c r="B65" s="49">
        <f>SUM(G66:G68)</f>
        <v>1</v>
      </c>
      <c r="C65" s="49">
        <f>SUM(H66:H68)</f>
        <v>80</v>
      </c>
      <c r="D65" s="49">
        <f>C65-B65</f>
        <v>79</v>
      </c>
      <c r="I65" s="52"/>
      <c r="J65" s="80"/>
      <c r="K65" s="73"/>
      <c r="L65" s="212"/>
      <c r="M65" s="211"/>
      <c r="N65" s="211"/>
      <c r="O65" s="212"/>
    </row>
    <row r="66" spans="1:15" s="43" customFormat="1" ht="12.75" customHeight="1">
      <c r="B66" s="43" t="s">
        <v>902</v>
      </c>
      <c r="G66" s="43">
        <f t="shared" si="4"/>
        <v>0</v>
      </c>
      <c r="H66" s="43">
        <v>30</v>
      </c>
      <c r="I66" s="52">
        <f t="shared" si="5"/>
        <v>30</v>
      </c>
      <c r="J66" s="80">
        <f>I66</f>
        <v>30</v>
      </c>
      <c r="K66" s="73"/>
      <c r="L66" s="212"/>
      <c r="M66" s="211"/>
      <c r="N66" s="211"/>
      <c r="O66" s="212"/>
    </row>
    <row r="67" spans="1:15" s="43" customFormat="1" ht="12.75" customHeight="1">
      <c r="B67" s="43" t="s">
        <v>903</v>
      </c>
      <c r="G67" s="43">
        <f t="shared" si="4"/>
        <v>0</v>
      </c>
      <c r="H67" s="43">
        <v>20</v>
      </c>
      <c r="I67" s="52">
        <f t="shared" si="5"/>
        <v>20</v>
      </c>
      <c r="J67" s="80">
        <f>I67</f>
        <v>20</v>
      </c>
      <c r="K67" s="73"/>
      <c r="L67" s="212"/>
      <c r="M67" s="211"/>
      <c r="N67" s="211"/>
      <c r="O67" s="212"/>
    </row>
    <row r="68" spans="1:15" s="43" customFormat="1" ht="12.75" customHeight="1">
      <c r="B68" s="43" t="s">
        <v>904</v>
      </c>
      <c r="D68" s="43" t="s">
        <v>901</v>
      </c>
      <c r="G68" s="43">
        <f t="shared" si="4"/>
        <v>1</v>
      </c>
      <c r="H68" s="43">
        <v>30</v>
      </c>
      <c r="I68" s="52">
        <f t="shared" si="5"/>
        <v>29</v>
      </c>
      <c r="J68" s="80">
        <f t="shared" ref="J68:J75" si="6">I68</f>
        <v>29</v>
      </c>
      <c r="K68" s="73"/>
      <c r="L68" s="212"/>
      <c r="M68" s="211">
        <f>1</f>
        <v>1</v>
      </c>
      <c r="N68" s="211"/>
      <c r="O68" s="212"/>
    </row>
    <row r="69" spans="1:15" s="43" customFormat="1" ht="12.75" customHeight="1">
      <c r="I69" s="52"/>
      <c r="J69" s="80"/>
      <c r="K69" s="73"/>
      <c r="L69" s="212"/>
      <c r="M69" s="211"/>
      <c r="N69" s="211"/>
      <c r="O69" s="212"/>
    </row>
    <row r="70" spans="1:15" s="43" customFormat="1" ht="12.75" customHeight="1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2.75" customHeight="1">
      <c r="B71" s="43" t="s">
        <v>283</v>
      </c>
      <c r="G71" s="43">
        <f t="shared" si="4"/>
        <v>29.46</v>
      </c>
      <c r="H71" s="43">
        <v>25</v>
      </c>
      <c r="I71" s="52">
        <f t="shared" si="5"/>
        <v>-4.4600000000000009</v>
      </c>
      <c r="J71" s="80">
        <f t="shared" si="6"/>
        <v>-4.4600000000000009</v>
      </c>
      <c r="K71" s="73"/>
      <c r="L71" s="212"/>
      <c r="M71" s="211">
        <f>4.55+24.91</f>
        <v>29.46</v>
      </c>
      <c r="N71" s="211"/>
      <c r="O71" s="212"/>
    </row>
    <row r="72" spans="1:15" s="43" customFormat="1" ht="12.75" customHeight="1">
      <c r="A72" s="49"/>
      <c r="B72" s="43" t="s">
        <v>284</v>
      </c>
      <c r="G72" s="43">
        <f t="shared" si="4"/>
        <v>0</v>
      </c>
      <c r="H72" s="43">
        <v>25</v>
      </c>
      <c r="I72" s="52">
        <f t="shared" si="5"/>
        <v>25</v>
      </c>
      <c r="J72" s="80">
        <f t="shared" si="6"/>
        <v>25</v>
      </c>
      <c r="K72" s="73"/>
      <c r="L72" s="212"/>
      <c r="M72" s="211"/>
      <c r="N72" s="211"/>
      <c r="O72" s="212"/>
    </row>
    <row r="73" spans="1:15" s="43" customFormat="1" ht="12.75" customHeight="1">
      <c r="A73" s="49"/>
      <c r="B73" s="43" t="s">
        <v>289</v>
      </c>
      <c r="G73" s="43">
        <f t="shared" si="4"/>
        <v>0</v>
      </c>
      <c r="H73" s="43">
        <v>20</v>
      </c>
      <c r="I73" s="52">
        <f t="shared" si="5"/>
        <v>20</v>
      </c>
      <c r="J73" s="80">
        <f t="shared" si="6"/>
        <v>20</v>
      </c>
      <c r="K73" s="73"/>
      <c r="L73" s="212"/>
      <c r="M73" s="211"/>
      <c r="N73" s="211"/>
      <c r="O73" s="212"/>
    </row>
    <row r="74" spans="1:15" s="43" customFormat="1" ht="12.75" customHeight="1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2.75" customHeight="1">
      <c r="A75" s="49" t="s">
        <v>285</v>
      </c>
      <c r="B75" s="43" t="s">
        <v>45</v>
      </c>
      <c r="G75" s="43">
        <f t="shared" si="4"/>
        <v>39.439999999999991</v>
      </c>
      <c r="H75" s="43">
        <v>75</v>
      </c>
      <c r="I75" s="52">
        <f t="shared" si="5"/>
        <v>35.560000000000009</v>
      </c>
      <c r="J75" s="80">
        <f t="shared" si="6"/>
        <v>35.560000000000009</v>
      </c>
      <c r="K75" s="73"/>
      <c r="L75" s="212"/>
      <c r="M75" s="211">
        <f>8.87+8.38+3.81+2.15+2.15+3.84+5.33+2.51+2.4</f>
        <v>39.439999999999991</v>
      </c>
      <c r="N75" s="211"/>
      <c r="O75" s="212"/>
    </row>
    <row r="76" spans="1:15" s="43" customFormat="1" ht="12.75" customHeight="1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2.75" customHeight="1" thickBot="1">
      <c r="A77" s="89" t="s">
        <v>291</v>
      </c>
      <c r="B77" s="187">
        <f>B80+B86+B91+B100+B105+B111+B117+B130+B133+B138+B141</f>
        <v>4187.04</v>
      </c>
      <c r="C77" s="187">
        <f>C80+C86+C91+C100+C105+C111+C117+C130+C133+C138+C141</f>
        <v>2849</v>
      </c>
      <c r="D77" s="187">
        <f>D80+D86+D91+D100+D105+D111+D117+D130+D133+D138+D141</f>
        <v>-1388.0399999999997</v>
      </c>
      <c r="I77" s="52"/>
      <c r="J77" s="80"/>
      <c r="K77" s="73"/>
      <c r="L77" s="212"/>
      <c r="M77" s="211"/>
      <c r="N77" s="211"/>
      <c r="O77" s="212"/>
    </row>
    <row r="78" spans="1:15" s="43" customFormat="1" ht="12.75" customHeight="1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2.75" customHeight="1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2.75" customHeight="1">
      <c r="A80" s="49" t="s">
        <v>885</v>
      </c>
      <c r="B80" s="49">
        <f>SUM(G81:G85)</f>
        <v>300.53999999999996</v>
      </c>
      <c r="C80" s="49">
        <f>SUM(H81:H84)</f>
        <v>290</v>
      </c>
      <c r="D80" s="49">
        <f>C80-B80</f>
        <v>-10.539999999999964</v>
      </c>
      <c r="I80" s="52"/>
      <c r="J80" s="80"/>
      <c r="K80" s="73"/>
      <c r="L80" s="212"/>
      <c r="M80" s="211"/>
      <c r="N80" s="211"/>
      <c r="O80" s="212"/>
    </row>
    <row r="81" spans="1:15" s="43" customFormat="1" ht="12.75" customHeight="1">
      <c r="B81" s="43" t="s">
        <v>25</v>
      </c>
      <c r="D81" s="43" t="s">
        <v>882</v>
      </c>
      <c r="G81" s="43">
        <f t="shared" si="4"/>
        <v>96.45</v>
      </c>
      <c r="H81" s="43">
        <v>100</v>
      </c>
      <c r="I81" s="52">
        <f t="shared" si="5"/>
        <v>3.5499999999999972</v>
      </c>
      <c r="J81" s="80">
        <f t="shared" ref="J81:J82" si="7">I81</f>
        <v>3.5499999999999972</v>
      </c>
      <c r="K81" s="73"/>
      <c r="L81" s="212">
        <v>96.45</v>
      </c>
      <c r="M81" s="211"/>
      <c r="N81" s="211"/>
      <c r="O81" s="212"/>
    </row>
    <row r="82" spans="1:15" s="43" customFormat="1" ht="12.75" customHeight="1">
      <c r="B82" s="43" t="s">
        <v>596</v>
      </c>
      <c r="D82" s="43" t="s">
        <v>883</v>
      </c>
      <c r="G82" s="43">
        <f t="shared" si="4"/>
        <v>71.959999999999994</v>
      </c>
      <c r="H82" s="43">
        <v>60</v>
      </c>
      <c r="I82" s="52">
        <f t="shared" si="5"/>
        <v>-11.959999999999994</v>
      </c>
      <c r="J82" s="80">
        <f t="shared" si="7"/>
        <v>-11.959999999999994</v>
      </c>
      <c r="K82" s="73"/>
      <c r="L82" s="212">
        <v>71.959999999999994</v>
      </c>
      <c r="M82" s="211"/>
      <c r="N82" s="211"/>
      <c r="O82" s="212"/>
    </row>
    <row r="83" spans="1:15" s="43" customFormat="1" ht="12.75" customHeight="1">
      <c r="B83" s="43" t="s">
        <v>602</v>
      </c>
      <c r="C83" s="43" t="s">
        <v>733</v>
      </c>
      <c r="D83" s="43" t="s">
        <v>617</v>
      </c>
      <c r="G83" s="43">
        <f t="shared" si="4"/>
        <v>92.66</v>
      </c>
      <c r="H83" s="43">
        <v>100</v>
      </c>
      <c r="I83" s="52">
        <f t="shared" si="5"/>
        <v>7.3400000000000034</v>
      </c>
      <c r="J83" s="80">
        <f>I83</f>
        <v>7.3400000000000034</v>
      </c>
      <c r="K83" s="73"/>
      <c r="L83" s="212">
        <v>92.66</v>
      </c>
      <c r="M83" s="211"/>
      <c r="N83" s="211"/>
      <c r="O83" s="212"/>
    </row>
    <row r="84" spans="1:15" s="43" customFormat="1" ht="12.75" customHeight="1">
      <c r="B84" s="43" t="s">
        <v>890</v>
      </c>
      <c r="C84" s="43" t="s">
        <v>733</v>
      </c>
      <c r="D84" s="43" t="s">
        <v>617</v>
      </c>
      <c r="G84" s="43">
        <f t="shared" si="4"/>
        <v>39.47</v>
      </c>
      <c r="H84" s="43">
        <v>30</v>
      </c>
      <c r="I84" s="52">
        <f t="shared" si="5"/>
        <v>-9.4699999999999989</v>
      </c>
      <c r="J84" s="80">
        <f>I84</f>
        <v>-9.4699999999999989</v>
      </c>
      <c r="K84" s="73"/>
      <c r="L84" s="212">
        <v>39.47</v>
      </c>
      <c r="M84" s="211"/>
      <c r="N84" s="211"/>
      <c r="O84" s="212"/>
    </row>
    <row r="85" spans="1:15" s="43" customFormat="1" ht="12.75" customHeight="1">
      <c r="I85" s="52"/>
      <c r="J85" s="80"/>
      <c r="K85" s="73"/>
      <c r="L85" s="212"/>
      <c r="M85" s="211"/>
      <c r="N85" s="211"/>
      <c r="O85" s="212"/>
    </row>
    <row r="86" spans="1:15" s="43" customFormat="1" ht="12.75" customHeight="1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2.75" customHeight="1">
      <c r="B87" s="43" t="s">
        <v>884</v>
      </c>
      <c r="D87" s="43" t="s">
        <v>896</v>
      </c>
      <c r="G87" s="43">
        <f t="shared" si="4"/>
        <v>0</v>
      </c>
      <c r="H87" s="43">
        <v>100</v>
      </c>
      <c r="I87" s="52">
        <f t="shared" si="5"/>
        <v>100</v>
      </c>
      <c r="J87" s="80">
        <f>I87</f>
        <v>100</v>
      </c>
      <c r="K87" s="73"/>
      <c r="L87" s="212"/>
      <c r="M87" s="211"/>
      <c r="N87" s="211"/>
      <c r="O87" s="212"/>
    </row>
    <row r="88" spans="1:15" s="43" customFormat="1" ht="12.75" customHeight="1">
      <c r="B88" s="43" t="s">
        <v>38</v>
      </c>
      <c r="D88" s="43" t="s">
        <v>642</v>
      </c>
      <c r="G88" s="43">
        <f t="shared" si="4"/>
        <v>0</v>
      </c>
      <c r="H88" s="43">
        <v>200</v>
      </c>
      <c r="I88" s="52">
        <f t="shared" si="5"/>
        <v>200</v>
      </c>
      <c r="J88" s="80">
        <f>I88</f>
        <v>200</v>
      </c>
      <c r="K88" s="73"/>
      <c r="L88" s="212"/>
      <c r="M88" s="211"/>
      <c r="N88" s="211"/>
      <c r="O88" s="212"/>
    </row>
    <row r="89" spans="1:15" s="43" customFormat="1" ht="12.75" customHeight="1">
      <c r="B89" s="43" t="s">
        <v>39</v>
      </c>
      <c r="D89" s="43" t="s">
        <v>643</v>
      </c>
      <c r="G89" s="43">
        <f t="shared" si="4"/>
        <v>0</v>
      </c>
      <c r="H89" s="43">
        <v>36</v>
      </c>
      <c r="I89" s="52">
        <f t="shared" si="5"/>
        <v>36</v>
      </c>
      <c r="J89" s="80">
        <f>I89</f>
        <v>36</v>
      </c>
      <c r="K89" s="73"/>
      <c r="L89" s="212"/>
      <c r="M89" s="211"/>
      <c r="N89" s="211"/>
      <c r="O89" s="212"/>
    </row>
    <row r="90" spans="1:15" s="43" customFormat="1" ht="12.75" customHeight="1">
      <c r="I90" s="52"/>
      <c r="J90" s="80"/>
      <c r="K90" s="73"/>
      <c r="L90" s="212"/>
      <c r="M90" s="211"/>
      <c r="N90" s="211"/>
      <c r="O90" s="212"/>
    </row>
    <row r="91" spans="1:15" s="43" customFormat="1" ht="12.75" customHeight="1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4"/>
        <v>0</v>
      </c>
      <c r="H92" s="43">
        <v>20</v>
      </c>
      <c r="I92" s="52">
        <f t="shared" si="5"/>
        <v>20</v>
      </c>
      <c r="J92" s="80">
        <f t="shared" ref="J92:J98" si="8">I92</f>
        <v>20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4"/>
        <v>0</v>
      </c>
      <c r="H93" s="43">
        <v>5</v>
      </c>
      <c r="I93" s="52">
        <f t="shared" si="5"/>
        <v>5</v>
      </c>
      <c r="J93" s="80">
        <f t="shared" si="8"/>
        <v>5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4"/>
        <v>0</v>
      </c>
      <c r="H94" s="43">
        <v>65</v>
      </c>
      <c r="I94" s="52">
        <f t="shared" si="5"/>
        <v>65</v>
      </c>
      <c r="J94" s="80">
        <f t="shared" si="8"/>
        <v>65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4"/>
        <v>0</v>
      </c>
      <c r="H95" s="43">
        <v>15</v>
      </c>
      <c r="I95" s="52">
        <f t="shared" si="5"/>
        <v>15</v>
      </c>
      <c r="J95" s="80">
        <f t="shared" si="8"/>
        <v>15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4"/>
        <v>0</v>
      </c>
      <c r="H96" s="43">
        <v>35</v>
      </c>
      <c r="I96" s="52">
        <f t="shared" si="5"/>
        <v>35</v>
      </c>
      <c r="J96" s="80">
        <f t="shared" si="8"/>
        <v>35</v>
      </c>
      <c r="K96" s="73"/>
      <c r="L96" s="212"/>
      <c r="M96" s="211"/>
      <c r="N96" s="211"/>
      <c r="O96" s="212"/>
    </row>
    <row r="97" spans="1:17" s="43" customFormat="1" ht="13.5">
      <c r="B97" s="43" t="s">
        <v>295</v>
      </c>
      <c r="G97" s="43">
        <f t="shared" si="4"/>
        <v>0</v>
      </c>
      <c r="H97" s="43">
        <v>26</v>
      </c>
      <c r="I97" s="52">
        <f t="shared" si="5"/>
        <v>26</v>
      </c>
      <c r="J97" s="80">
        <f t="shared" si="8"/>
        <v>26</v>
      </c>
      <c r="K97" s="73"/>
      <c r="L97" s="212"/>
      <c r="M97" s="211"/>
      <c r="N97" s="211"/>
      <c r="O97" s="212"/>
    </row>
    <row r="98" spans="1:17" s="43" customFormat="1" ht="13.5">
      <c r="B98" s="43" t="s">
        <v>296</v>
      </c>
      <c r="G98" s="43">
        <f t="shared" si="4"/>
        <v>0</v>
      </c>
      <c r="H98" s="43">
        <v>12</v>
      </c>
      <c r="I98" s="52">
        <f t="shared" si="5"/>
        <v>12</v>
      </c>
      <c r="J98" s="80">
        <f t="shared" si="8"/>
        <v>12</v>
      </c>
      <c r="K98" s="73"/>
      <c r="L98" s="212"/>
      <c r="M98" s="211"/>
      <c r="N98" s="211"/>
      <c r="O98" s="212"/>
    </row>
    <row r="99" spans="1:17" s="43" customFormat="1" ht="13.5">
      <c r="I99" s="52"/>
      <c r="J99" s="80"/>
      <c r="K99" s="73"/>
      <c r="L99" s="212"/>
      <c r="M99" s="211"/>
      <c r="N99" s="211"/>
      <c r="O99" s="212"/>
    </row>
    <row r="100" spans="1:17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7" s="43" customFormat="1" ht="13.5">
      <c r="B101" s="43" t="s">
        <v>322</v>
      </c>
      <c r="G101" s="43">
        <f t="shared" si="4"/>
        <v>0</v>
      </c>
      <c r="H101" s="43">
        <v>60</v>
      </c>
      <c r="I101" s="52">
        <f t="shared" si="5"/>
        <v>60</v>
      </c>
      <c r="J101" s="80">
        <f>I101</f>
        <v>60</v>
      </c>
      <c r="K101" s="73"/>
      <c r="L101" s="212"/>
      <c r="M101" s="211"/>
      <c r="N101" s="211"/>
      <c r="O101" s="212"/>
    </row>
    <row r="102" spans="1:17" s="43" customFormat="1" ht="13.5">
      <c r="B102" s="89" t="s">
        <v>645</v>
      </c>
      <c r="G102" s="43">
        <f t="shared" si="4"/>
        <v>0</v>
      </c>
      <c r="H102" s="43">
        <v>100</v>
      </c>
      <c r="I102" s="52">
        <f t="shared" si="5"/>
        <v>100</v>
      </c>
      <c r="J102" s="80">
        <f>I102</f>
        <v>100</v>
      </c>
      <c r="K102" s="73"/>
      <c r="L102" s="212"/>
      <c r="M102" s="211"/>
      <c r="N102" s="211"/>
      <c r="O102" s="212"/>
    </row>
    <row r="103" spans="1:17" s="43" customFormat="1" ht="13.5">
      <c r="B103" s="43" t="s">
        <v>126</v>
      </c>
      <c r="G103" s="43">
        <f t="shared" si="4"/>
        <v>0</v>
      </c>
      <c r="H103" s="43">
        <v>10</v>
      </c>
      <c r="I103" s="52">
        <f t="shared" si="5"/>
        <v>10</v>
      </c>
      <c r="J103" s="80">
        <f>I103</f>
        <v>10</v>
      </c>
      <c r="K103" s="73"/>
      <c r="L103" s="212"/>
      <c r="M103" s="211"/>
      <c r="N103" s="211"/>
      <c r="O103" s="212"/>
    </row>
    <row r="104" spans="1:17" s="43" customFormat="1" ht="13.5">
      <c r="I104" s="52"/>
      <c r="J104" s="80"/>
      <c r="K104" s="73"/>
      <c r="L104" s="212"/>
      <c r="M104" s="211"/>
      <c r="N104" s="211"/>
      <c r="O104" s="212"/>
    </row>
    <row r="105" spans="1:17" s="43" customFormat="1" ht="13.5">
      <c r="A105" s="49" t="s">
        <v>44</v>
      </c>
      <c r="B105" s="49">
        <f>SUM(G107:G109)</f>
        <v>22.62</v>
      </c>
      <c r="C105" s="49">
        <f>SUM(H106:H108)</f>
        <v>200</v>
      </c>
      <c r="D105" s="49">
        <f>C105-B105</f>
        <v>177.38</v>
      </c>
      <c r="I105" s="52"/>
      <c r="J105" s="80"/>
      <c r="K105" s="73"/>
      <c r="L105" s="212"/>
      <c r="M105" s="211"/>
      <c r="N105" s="211"/>
      <c r="O105" s="212"/>
    </row>
    <row r="106" spans="1:17" s="43" customFormat="1" ht="13.5">
      <c r="B106" s="43" t="s">
        <v>297</v>
      </c>
      <c r="G106" s="43">
        <f t="shared" ref="G106:G160" si="9">SUM(L106:O106)</f>
        <v>30</v>
      </c>
      <c r="H106" s="43">
        <v>100</v>
      </c>
      <c r="I106" s="52">
        <f t="shared" si="5"/>
        <v>70</v>
      </c>
      <c r="J106" s="80">
        <f>I106</f>
        <v>70</v>
      </c>
      <c r="K106" s="73"/>
      <c r="L106" s="212">
        <v>30</v>
      </c>
      <c r="M106" s="211"/>
      <c r="N106" s="211"/>
      <c r="O106" s="212"/>
      <c r="Q106" s="43" t="s">
        <v>925</v>
      </c>
    </row>
    <row r="107" spans="1:17" s="43" customFormat="1" ht="13.5">
      <c r="B107" s="43" t="s">
        <v>644</v>
      </c>
      <c r="G107" s="43">
        <f t="shared" si="9"/>
        <v>0</v>
      </c>
      <c r="H107" s="43">
        <v>25</v>
      </c>
      <c r="I107" s="52">
        <f t="shared" si="5"/>
        <v>25</v>
      </c>
      <c r="J107" s="80">
        <f t="shared" ref="J107:J115" si="10">I107</f>
        <v>25</v>
      </c>
      <c r="K107" s="73"/>
      <c r="L107" s="212"/>
      <c r="M107" s="211"/>
      <c r="N107" s="211"/>
      <c r="O107" s="212"/>
    </row>
    <row r="108" spans="1:17" s="43" customFormat="1" ht="13.5">
      <c r="B108" s="43" t="s">
        <v>897</v>
      </c>
      <c r="D108" s="43" t="s">
        <v>899</v>
      </c>
      <c r="G108" s="43">
        <f t="shared" si="9"/>
        <v>0</v>
      </c>
      <c r="H108" s="43">
        <v>75</v>
      </c>
      <c r="I108" s="52">
        <f t="shared" si="5"/>
        <v>75</v>
      </c>
      <c r="J108" s="80">
        <f t="shared" si="10"/>
        <v>75</v>
      </c>
      <c r="K108" s="73"/>
      <c r="L108" s="212"/>
      <c r="M108" s="211"/>
      <c r="N108" s="211"/>
      <c r="O108" s="212"/>
    </row>
    <row r="109" spans="1:17" s="43" customFormat="1" ht="13.5">
      <c r="B109" s="43" t="s">
        <v>898</v>
      </c>
      <c r="D109" s="43" t="s">
        <v>900</v>
      </c>
      <c r="G109" s="43">
        <f t="shared" si="9"/>
        <v>22.62</v>
      </c>
      <c r="H109" s="43">
        <v>25</v>
      </c>
      <c r="I109" s="52">
        <f t="shared" si="5"/>
        <v>2.379999999999999</v>
      </c>
      <c r="J109" s="80">
        <f t="shared" si="10"/>
        <v>2.379999999999999</v>
      </c>
      <c r="K109" s="73"/>
      <c r="L109" s="212"/>
      <c r="M109" s="211">
        <f>22.62</f>
        <v>22.62</v>
      </c>
      <c r="N109" s="211"/>
      <c r="O109" s="212"/>
    </row>
    <row r="110" spans="1:17" s="43" customFormat="1" ht="13.5">
      <c r="I110" s="52"/>
      <c r="J110" s="80"/>
      <c r="K110" s="73"/>
      <c r="L110" s="212"/>
      <c r="M110" s="211"/>
      <c r="N110" s="211"/>
      <c r="O110" s="212"/>
    </row>
    <row r="111" spans="1:17" s="43" customFormat="1" ht="13.5">
      <c r="A111" s="49" t="s">
        <v>46</v>
      </c>
      <c r="B111" s="49">
        <f>SUM(G113:G116)</f>
        <v>3360</v>
      </c>
      <c r="C111" s="49">
        <f>SUM(H112:H114)</f>
        <v>415</v>
      </c>
      <c r="D111" s="49">
        <f>C111-B111</f>
        <v>-2945</v>
      </c>
      <c r="I111" s="52"/>
      <c r="J111" s="80"/>
      <c r="K111" s="73"/>
      <c r="L111" s="212"/>
      <c r="M111" s="211"/>
      <c r="N111" s="211"/>
      <c r="O111" s="212"/>
    </row>
    <row r="112" spans="1:17" s="43" customFormat="1" ht="13.5">
      <c r="B112" s="43" t="s">
        <v>324</v>
      </c>
      <c r="D112" s="43" t="s">
        <v>47</v>
      </c>
      <c r="G112" s="43">
        <f t="shared" si="9"/>
        <v>0</v>
      </c>
      <c r="H112" s="43">
        <v>150</v>
      </c>
      <c r="I112" s="52">
        <f t="shared" si="5"/>
        <v>150</v>
      </c>
      <c r="J112" s="80">
        <f t="shared" si="10"/>
        <v>150</v>
      </c>
      <c r="K112" s="73"/>
      <c r="L112" s="212"/>
      <c r="M112" s="211"/>
      <c r="N112" s="211"/>
      <c r="O112" s="212"/>
    </row>
    <row r="113" spans="1:17" s="43" customFormat="1" ht="13.5">
      <c r="A113" s="49"/>
      <c r="B113" s="43" t="s">
        <v>323</v>
      </c>
      <c r="G113" s="43">
        <f t="shared" si="9"/>
        <v>0</v>
      </c>
      <c r="H113" s="43">
        <v>215</v>
      </c>
      <c r="I113" s="52">
        <f t="shared" si="5"/>
        <v>215</v>
      </c>
      <c r="J113" s="80">
        <f t="shared" si="10"/>
        <v>215</v>
      </c>
      <c r="K113" s="73"/>
      <c r="L113" s="212"/>
      <c r="M113" s="211"/>
      <c r="N113" s="211"/>
      <c r="O113" s="212"/>
    </row>
    <row r="114" spans="1:17" s="43" customFormat="1" ht="13.5">
      <c r="A114" s="49"/>
      <c r="B114" s="43" t="s">
        <v>317</v>
      </c>
      <c r="G114" s="43">
        <f t="shared" si="9"/>
        <v>3360</v>
      </c>
      <c r="H114" s="43">
        <v>50</v>
      </c>
      <c r="I114" s="52">
        <f t="shared" si="5"/>
        <v>-3310</v>
      </c>
      <c r="J114" s="80">
        <f t="shared" si="10"/>
        <v>-3310</v>
      </c>
      <c r="K114" s="73"/>
      <c r="L114" s="212"/>
      <c r="M114" s="211">
        <v>3360</v>
      </c>
      <c r="N114" s="211"/>
      <c r="O114" s="212"/>
      <c r="Q114" s="43" t="s">
        <v>921</v>
      </c>
    </row>
    <row r="115" spans="1:17" s="43" customFormat="1" ht="13.5">
      <c r="A115" s="49"/>
      <c r="B115" s="43" t="s">
        <v>907</v>
      </c>
      <c r="G115" s="43">
        <f t="shared" si="9"/>
        <v>0</v>
      </c>
      <c r="H115" s="43">
        <v>100</v>
      </c>
      <c r="I115" s="52">
        <f t="shared" si="5"/>
        <v>100</v>
      </c>
      <c r="J115" s="80">
        <f t="shared" si="10"/>
        <v>100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  <c r="Q116" s="227"/>
    </row>
    <row r="117" spans="1:17" s="43" customFormat="1" ht="13.5">
      <c r="A117" s="49" t="s">
        <v>41</v>
      </c>
      <c r="B117" s="49">
        <f>SUM(G119:G129)</f>
        <v>477.01</v>
      </c>
      <c r="C117" s="49">
        <f>SUM(H118:H128)</f>
        <v>820</v>
      </c>
      <c r="D117" s="49">
        <f>C117-B117</f>
        <v>342.99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9"/>
        <v>135</v>
      </c>
      <c r="H118" s="43">
        <v>100</v>
      </c>
      <c r="I118" s="52">
        <f t="shared" si="5"/>
        <v>-35</v>
      </c>
      <c r="J118" s="80">
        <f t="shared" ref="J118:J123" si="11">I118</f>
        <v>-35</v>
      </c>
      <c r="K118" s="73"/>
      <c r="L118" s="212">
        <f>(200-30-35)</f>
        <v>135</v>
      </c>
      <c r="M118" s="211"/>
      <c r="N118" s="211"/>
      <c r="O118" s="212"/>
      <c r="Q118" s="105">
        <v>42367</v>
      </c>
    </row>
    <row r="119" spans="1:17" s="43" customFormat="1" ht="13.5">
      <c r="B119" s="43" t="s">
        <v>908</v>
      </c>
      <c r="G119" s="43">
        <f t="shared" si="9"/>
        <v>47.29</v>
      </c>
      <c r="H119" s="43">
        <v>100</v>
      </c>
      <c r="I119" s="52">
        <f t="shared" si="5"/>
        <v>52.71</v>
      </c>
      <c r="J119" s="80">
        <f t="shared" si="11"/>
        <v>52.71</v>
      </c>
      <c r="K119" s="73"/>
      <c r="L119" s="212">
        <f>35</f>
        <v>35</v>
      </c>
      <c r="M119" s="211">
        <f>12.29</f>
        <v>12.29</v>
      </c>
      <c r="N119" s="211"/>
      <c r="O119" s="212"/>
    </row>
    <row r="120" spans="1:17" s="43" customFormat="1" ht="14.25" thickBot="1">
      <c r="B120" s="43" t="s">
        <v>304</v>
      </c>
      <c r="G120" s="43">
        <f t="shared" si="9"/>
        <v>361.76</v>
      </c>
      <c r="H120" s="43">
        <v>500</v>
      </c>
      <c r="I120" s="52">
        <f t="shared" si="5"/>
        <v>138.24</v>
      </c>
      <c r="J120" s="80">
        <f t="shared" si="11"/>
        <v>138.24</v>
      </c>
      <c r="K120" s="73"/>
      <c r="L120" s="212"/>
      <c r="M120" s="211">
        <f>13.98+36.66+25.78</f>
        <v>76.42</v>
      </c>
      <c r="N120" s="211">
        <f>57.62+28.64+14.2+44.07+53.66+8.17+9.04+69.94</f>
        <v>285.33999999999997</v>
      </c>
      <c r="O120" s="212"/>
    </row>
    <row r="121" spans="1:17" s="43" customFormat="1" ht="14.25" thickBot="1">
      <c r="C121" s="43" t="s">
        <v>298</v>
      </c>
      <c r="E121" s="79">
        <v>36.659999999999997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9"/>
        <v>0</v>
      </c>
      <c r="H122" s="43">
        <v>50</v>
      </c>
      <c r="I122" s="52">
        <f t="shared" si="5"/>
        <v>50</v>
      </c>
      <c r="J122" s="80">
        <f t="shared" si="11"/>
        <v>50</v>
      </c>
      <c r="K122" s="73"/>
      <c r="L122" s="212"/>
      <c r="M122" s="211"/>
      <c r="N122" s="211"/>
      <c r="O122" s="212"/>
    </row>
    <row r="123" spans="1:17" s="43" customFormat="1" ht="14.25" thickBot="1">
      <c r="B123" s="43" t="s">
        <v>43</v>
      </c>
      <c r="G123" s="43">
        <f t="shared" si="9"/>
        <v>67.959999999999994</v>
      </c>
      <c r="H123" s="43">
        <v>50</v>
      </c>
      <c r="I123" s="52">
        <f t="shared" si="5"/>
        <v>-17.959999999999994</v>
      </c>
      <c r="J123" s="80">
        <f t="shared" si="11"/>
        <v>-17.959999999999994</v>
      </c>
      <c r="K123" s="73"/>
      <c r="L123" s="212"/>
      <c r="M123" s="211">
        <f>74.96-7</f>
        <v>67.959999999999994</v>
      </c>
      <c r="N123" s="211"/>
      <c r="O123" s="212"/>
      <c r="Q123" s="43" t="s">
        <v>915</v>
      </c>
    </row>
    <row r="124" spans="1:17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9"/>
        <v>0</v>
      </c>
      <c r="H128" s="43">
        <v>20</v>
      </c>
      <c r="I128" s="52">
        <f t="shared" ref="I128:I163" si="12">H128-G128</f>
        <v>20</v>
      </c>
      <c r="J128" s="80">
        <f>I128</f>
        <v>20</v>
      </c>
      <c r="K128" s="73"/>
      <c r="L128" s="212"/>
      <c r="M128" s="211"/>
      <c r="N128" s="211"/>
      <c r="O128" s="212"/>
    </row>
    <row r="129" spans="1:17" s="43" customFormat="1" ht="13.5">
      <c r="I129" s="52"/>
      <c r="J129" s="80"/>
      <c r="K129" s="73"/>
      <c r="L129" s="212"/>
      <c r="M129" s="211"/>
      <c r="N129" s="211"/>
      <c r="O129" s="212"/>
    </row>
    <row r="130" spans="1:17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7" s="43" customFormat="1" ht="13.5">
      <c r="B131" s="43" t="s">
        <v>53</v>
      </c>
      <c r="G131" s="43">
        <f t="shared" si="9"/>
        <v>0</v>
      </c>
      <c r="H131" s="43">
        <v>50</v>
      </c>
      <c r="I131" s="52">
        <f t="shared" si="12"/>
        <v>50</v>
      </c>
      <c r="J131" s="80">
        <f t="shared" ref="J131:J136" si="13">I131</f>
        <v>50</v>
      </c>
      <c r="K131" s="73"/>
      <c r="L131" s="212"/>
      <c r="M131" s="211"/>
      <c r="N131" s="211"/>
      <c r="O131" s="212"/>
    </row>
    <row r="132" spans="1:17" s="43" customFormat="1" ht="13.5">
      <c r="G132" s="43">
        <f t="shared" si="9"/>
        <v>0</v>
      </c>
      <c r="I132" s="52"/>
      <c r="J132" s="80"/>
      <c r="K132" s="73"/>
      <c r="L132" s="212"/>
      <c r="M132" s="211"/>
      <c r="N132" s="211"/>
      <c r="O132" s="212"/>
    </row>
    <row r="133" spans="1:17" s="43" customFormat="1" ht="13.5">
      <c r="A133" s="49" t="s">
        <v>909</v>
      </c>
      <c r="B133" s="49">
        <f>SUM(G136:G137)</f>
        <v>1.63</v>
      </c>
      <c r="C133" s="49">
        <f>SUM(H135:H136)</f>
        <v>130</v>
      </c>
      <c r="D133" s="49">
        <f>C133-B133</f>
        <v>128.37</v>
      </c>
      <c r="G133" s="43">
        <f t="shared" si="9"/>
        <v>0</v>
      </c>
      <c r="I133" s="52"/>
      <c r="J133" s="80"/>
      <c r="K133" s="73"/>
      <c r="L133" s="212"/>
      <c r="M133" s="211"/>
      <c r="N133" s="211"/>
      <c r="O133" s="212"/>
    </row>
    <row r="134" spans="1:17" s="43" customFormat="1" ht="13.5">
      <c r="A134" s="49"/>
      <c r="B134" s="43" t="s">
        <v>910</v>
      </c>
      <c r="C134" s="49"/>
      <c r="D134" s="49"/>
      <c r="H134" s="43">
        <v>100</v>
      </c>
      <c r="I134" s="52">
        <f t="shared" si="12"/>
        <v>100</v>
      </c>
      <c r="J134" s="80">
        <f t="shared" si="13"/>
        <v>100</v>
      </c>
      <c r="K134" s="73"/>
      <c r="L134" s="212"/>
      <c r="M134" s="211"/>
      <c r="N134" s="211"/>
      <c r="O134" s="212"/>
    </row>
    <row r="135" spans="1:17" s="43" customFormat="1" ht="13.5">
      <c r="B135" s="43" t="s">
        <v>305</v>
      </c>
      <c r="H135" s="43">
        <v>100</v>
      </c>
      <c r="I135" s="52">
        <f t="shared" si="12"/>
        <v>100</v>
      </c>
      <c r="J135" s="80">
        <f t="shared" si="13"/>
        <v>100</v>
      </c>
      <c r="K135" s="73"/>
      <c r="L135" s="212"/>
      <c r="M135" s="211"/>
      <c r="N135" s="211"/>
      <c r="O135" s="212"/>
    </row>
    <row r="136" spans="1:17" s="43" customFormat="1" ht="13.5">
      <c r="B136" s="43" t="s">
        <v>306</v>
      </c>
      <c r="G136" s="43">
        <f t="shared" si="9"/>
        <v>1.63</v>
      </c>
      <c r="H136" s="43">
        <v>30</v>
      </c>
      <c r="I136" s="52">
        <f t="shared" si="12"/>
        <v>28.37</v>
      </c>
      <c r="J136" s="80">
        <f t="shared" si="13"/>
        <v>28.37</v>
      </c>
      <c r="K136" s="73"/>
      <c r="L136" s="212"/>
      <c r="M136" s="211">
        <v>1.63</v>
      </c>
      <c r="N136" s="211"/>
      <c r="O136" s="212"/>
    </row>
    <row r="137" spans="1:17" s="43" customFormat="1" ht="13.5">
      <c r="I137" s="52"/>
      <c r="J137" s="80"/>
      <c r="K137" s="73"/>
      <c r="L137" s="212"/>
      <c r="M137" s="211"/>
      <c r="N137" s="211"/>
      <c r="O137" s="212"/>
    </row>
    <row r="138" spans="1:17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7" s="43" customFormat="1" ht="13.5">
      <c r="B139" s="43" t="s">
        <v>911</v>
      </c>
      <c r="G139" s="43">
        <f t="shared" si="9"/>
        <v>10.32</v>
      </c>
      <c r="H139" s="43">
        <v>10</v>
      </c>
      <c r="I139" s="52">
        <f t="shared" si="12"/>
        <v>-0.32000000000000028</v>
      </c>
      <c r="J139" s="80">
        <f t="shared" ref="J139:J163" si="14">I139</f>
        <v>-0.32000000000000028</v>
      </c>
      <c r="K139" s="78"/>
      <c r="L139" s="212"/>
      <c r="M139" s="211">
        <f>1.85+8.47</f>
        <v>10.32</v>
      </c>
      <c r="N139" s="211"/>
      <c r="O139" s="212"/>
      <c r="Q139" s="43" t="s">
        <v>931</v>
      </c>
    </row>
    <row r="140" spans="1:17" s="43" customFormat="1" ht="13.5">
      <c r="I140" s="52"/>
      <c r="J140" s="80"/>
      <c r="K140" s="78"/>
      <c r="L140" s="212"/>
      <c r="M140" s="211"/>
      <c r="N140" s="211"/>
      <c r="O140" s="212"/>
    </row>
    <row r="141" spans="1:17" ht="13.5">
      <c r="A141" s="49" t="s">
        <v>136</v>
      </c>
      <c r="B141" s="49">
        <f>SUM(G143:G144)</f>
        <v>25.240000000000002</v>
      </c>
      <c r="C141" s="49">
        <f>SUM(H142:H143)</f>
        <v>250</v>
      </c>
      <c r="D141" s="49">
        <f>C141-B141</f>
        <v>224.76</v>
      </c>
      <c r="E141" s="43"/>
      <c r="F141" s="43"/>
      <c r="G141" s="43"/>
      <c r="H141" s="43"/>
      <c r="I141" s="52"/>
      <c r="J141" s="80"/>
      <c r="L141" s="212"/>
      <c r="M141" s="211"/>
      <c r="N141" s="211"/>
      <c r="O141" s="212"/>
    </row>
    <row r="142" spans="1:17" ht="13.5">
      <c r="A142" s="43"/>
      <c r="B142" s="43" t="s">
        <v>50</v>
      </c>
      <c r="C142" s="43"/>
      <c r="D142" s="43"/>
      <c r="E142" s="43"/>
      <c r="F142" s="43"/>
      <c r="G142" s="43">
        <f t="shared" si="9"/>
        <v>76.64</v>
      </c>
      <c r="H142" s="43">
        <v>150</v>
      </c>
      <c r="I142" s="52">
        <f t="shared" si="12"/>
        <v>73.36</v>
      </c>
      <c r="J142" s="80">
        <f t="shared" si="14"/>
        <v>73.36</v>
      </c>
      <c r="L142" s="212"/>
      <c r="M142" s="211">
        <f>7+20.64+49</f>
        <v>76.64</v>
      </c>
      <c r="N142" s="211"/>
      <c r="O142" s="212"/>
      <c r="Q142" s="56" t="s">
        <v>916</v>
      </c>
    </row>
    <row r="143" spans="1:17" ht="13.5">
      <c r="A143" s="43"/>
      <c r="B143" s="43" t="s">
        <v>51</v>
      </c>
      <c r="C143" s="43"/>
      <c r="D143" s="43" t="s">
        <v>137</v>
      </c>
      <c r="E143" s="43"/>
      <c r="F143" s="43"/>
      <c r="G143" s="43">
        <f t="shared" si="9"/>
        <v>25.240000000000002</v>
      </c>
      <c r="H143" s="43">
        <v>100</v>
      </c>
      <c r="I143" s="52">
        <f t="shared" si="12"/>
        <v>74.759999999999991</v>
      </c>
      <c r="J143" s="80">
        <f t="shared" si="14"/>
        <v>74.759999999999991</v>
      </c>
      <c r="L143" s="212"/>
      <c r="M143" s="211">
        <f>8.92+16.32</f>
        <v>25.240000000000002</v>
      </c>
      <c r="N143" s="211"/>
      <c r="O143" s="212"/>
    </row>
    <row r="144" spans="1:17" ht="13.5">
      <c r="A144" s="43"/>
      <c r="B144" s="43"/>
      <c r="C144" s="43"/>
      <c r="D144" s="43"/>
      <c r="E144" s="43"/>
      <c r="F144" s="43"/>
      <c r="G144" s="43"/>
      <c r="H144" s="43"/>
      <c r="I144" s="52"/>
      <c r="J144" s="80"/>
      <c r="L144" s="212"/>
      <c r="M144" s="211"/>
      <c r="N144" s="211"/>
      <c r="O144" s="212"/>
    </row>
    <row r="145" spans="1:17" ht="13.5">
      <c r="A145" s="43"/>
      <c r="B145" s="43"/>
      <c r="C145" s="43"/>
      <c r="D145" s="43"/>
      <c r="E145" s="43"/>
      <c r="F145" s="43"/>
      <c r="G145" s="43"/>
      <c r="H145" s="43"/>
      <c r="I145" s="52"/>
      <c r="J145" s="80"/>
      <c r="L145" s="212"/>
      <c r="M145" s="211"/>
      <c r="N145" s="211"/>
      <c r="O145" s="212"/>
    </row>
    <row r="146" spans="1:17" ht="14.25" thickBot="1">
      <c r="A146" s="49" t="s">
        <v>310</v>
      </c>
      <c r="B146" s="43"/>
      <c r="C146" s="43"/>
      <c r="D146" s="43"/>
      <c r="E146" s="43"/>
      <c r="F146" s="43"/>
      <c r="G146" s="43"/>
      <c r="H146" s="43"/>
      <c r="I146" s="52"/>
      <c r="J146" s="80"/>
      <c r="L146" s="212"/>
      <c r="M146" s="211"/>
      <c r="N146" s="211"/>
      <c r="O146" s="212"/>
    </row>
    <row r="147" spans="1:17" ht="14.25" thickBot="1">
      <c r="A147" s="43"/>
      <c r="B147" s="126">
        <f>SUM(G149:G163)</f>
        <v>664.54999999999973</v>
      </c>
      <c r="C147" s="126">
        <f>SUM(H148:H163)</f>
        <v>610</v>
      </c>
      <c r="D147" s="126">
        <f>C147-B147</f>
        <v>-54.549999999999727</v>
      </c>
      <c r="E147" s="43"/>
      <c r="F147" s="43"/>
      <c r="G147" s="43"/>
      <c r="H147" s="43"/>
      <c r="I147" s="52"/>
      <c r="J147" s="80"/>
      <c r="L147" s="212"/>
      <c r="M147" s="211"/>
      <c r="N147" s="211"/>
      <c r="O147" s="212"/>
    </row>
    <row r="148" spans="1:17" ht="13.5">
      <c r="A148" s="49" t="s">
        <v>312</v>
      </c>
      <c r="B148" s="43"/>
      <c r="C148" s="43"/>
      <c r="D148" s="43"/>
      <c r="E148" s="43"/>
      <c r="F148" s="43"/>
      <c r="G148" s="43"/>
      <c r="H148" s="43"/>
      <c r="I148" s="52"/>
      <c r="J148" s="80"/>
      <c r="L148" s="212"/>
      <c r="M148" s="211"/>
      <c r="N148" s="211"/>
      <c r="O148" s="212"/>
    </row>
    <row r="149" spans="1:17" ht="14.25" thickBot="1">
      <c r="A149" s="43"/>
      <c r="B149" s="43" t="s">
        <v>134</v>
      </c>
      <c r="C149" s="43"/>
      <c r="D149" s="43"/>
      <c r="E149" s="43"/>
      <c r="F149" s="43"/>
      <c r="G149" s="43">
        <f t="shared" si="9"/>
        <v>0</v>
      </c>
      <c r="H149" s="43">
        <v>100</v>
      </c>
      <c r="I149" s="52">
        <f t="shared" si="12"/>
        <v>100</v>
      </c>
      <c r="J149" s="80">
        <f t="shared" si="14"/>
        <v>100</v>
      </c>
      <c r="L149" s="212"/>
      <c r="M149" s="211"/>
      <c r="N149" s="211"/>
      <c r="O149" s="212"/>
    </row>
    <row r="150" spans="1:17" ht="14.25" thickBot="1">
      <c r="A150" s="79">
        <f>SUM(G150:G154)</f>
        <v>0</v>
      </c>
      <c r="B150" s="43" t="s">
        <v>135</v>
      </c>
      <c r="C150" s="43"/>
      <c r="D150" s="43"/>
      <c r="E150" s="43"/>
      <c r="F150" s="43"/>
      <c r="G150" s="43">
        <f t="shared" si="9"/>
        <v>0</v>
      </c>
      <c r="H150" s="43">
        <v>100</v>
      </c>
      <c r="I150" s="52">
        <f t="shared" si="12"/>
        <v>100</v>
      </c>
      <c r="J150" s="80">
        <f t="shared" si="14"/>
        <v>100</v>
      </c>
      <c r="L150" s="212"/>
      <c r="M150" s="211"/>
      <c r="N150" s="211"/>
      <c r="O150" s="212"/>
    </row>
    <row r="151" spans="1:17" ht="13.5">
      <c r="A151" s="43"/>
      <c r="B151" s="43" t="s">
        <v>48</v>
      </c>
      <c r="C151" s="43"/>
      <c r="D151" s="43"/>
      <c r="E151" s="43"/>
      <c r="F151" s="43"/>
      <c r="G151" s="43">
        <f t="shared" si="9"/>
        <v>0</v>
      </c>
      <c r="H151" s="43">
        <v>30</v>
      </c>
      <c r="I151" s="52">
        <f t="shared" si="12"/>
        <v>30</v>
      </c>
      <c r="J151" s="80">
        <f t="shared" si="14"/>
        <v>30</v>
      </c>
      <c r="L151" s="212"/>
      <c r="M151" s="211"/>
      <c r="N151" s="211"/>
      <c r="O151" s="212"/>
    </row>
    <row r="152" spans="1:17" ht="13.5">
      <c r="A152" s="43"/>
      <c r="B152" s="43" t="s">
        <v>49</v>
      </c>
      <c r="C152" s="43"/>
      <c r="D152" s="43"/>
      <c r="E152" s="43"/>
      <c r="F152" s="43"/>
      <c r="G152" s="43">
        <f t="shared" si="9"/>
        <v>0</v>
      </c>
      <c r="H152" s="43">
        <v>50</v>
      </c>
      <c r="I152" s="52">
        <f t="shared" si="12"/>
        <v>50</v>
      </c>
      <c r="J152" s="80">
        <f t="shared" si="14"/>
        <v>50</v>
      </c>
      <c r="L152" s="212"/>
      <c r="M152" s="211"/>
      <c r="N152" s="211"/>
      <c r="O152" s="212"/>
    </row>
    <row r="153" spans="1:17" ht="13.5">
      <c r="A153" s="43"/>
      <c r="B153" s="43" t="s">
        <v>326</v>
      </c>
      <c r="C153" s="43"/>
      <c r="D153" s="43"/>
      <c r="E153" s="43"/>
      <c r="F153" s="43"/>
      <c r="G153" s="43">
        <f t="shared" si="9"/>
        <v>0</v>
      </c>
      <c r="H153" s="43">
        <v>10</v>
      </c>
      <c r="I153" s="52">
        <f t="shared" si="12"/>
        <v>10</v>
      </c>
      <c r="J153" s="80">
        <f t="shared" si="14"/>
        <v>10</v>
      </c>
      <c r="L153" s="212"/>
      <c r="M153" s="211"/>
      <c r="N153" s="211"/>
      <c r="O153" s="212"/>
    </row>
    <row r="154" spans="1:17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7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7" ht="14.25" thickBot="1">
      <c r="A156" s="43"/>
      <c r="B156" s="43" t="s">
        <v>307</v>
      </c>
      <c r="C156" s="43"/>
      <c r="D156" s="43"/>
      <c r="E156" s="43"/>
      <c r="F156" s="43"/>
      <c r="G156" s="43">
        <f t="shared" si="9"/>
        <v>0</v>
      </c>
      <c r="H156" s="43">
        <v>30</v>
      </c>
      <c r="I156" s="52">
        <f t="shared" si="12"/>
        <v>30</v>
      </c>
      <c r="J156" s="80">
        <f t="shared" si="14"/>
        <v>30</v>
      </c>
      <c r="L156" s="212"/>
      <c r="M156" s="211"/>
      <c r="N156" s="211"/>
      <c r="O156" s="212"/>
    </row>
    <row r="157" spans="1:17" ht="14.25" thickBot="1">
      <c r="A157" s="79">
        <f>SUM(G156:G160)</f>
        <v>664.54999999999973</v>
      </c>
      <c r="B157" s="43" t="s">
        <v>308</v>
      </c>
      <c r="C157" s="43"/>
      <c r="D157" s="43"/>
      <c r="E157" s="43"/>
      <c r="F157" s="43"/>
      <c r="G157" s="43">
        <f t="shared" si="9"/>
        <v>664.54999999999973</v>
      </c>
      <c r="H157" s="43">
        <v>30</v>
      </c>
      <c r="I157" s="52">
        <f t="shared" si="12"/>
        <v>-634.54999999999973</v>
      </c>
      <c r="J157" s="80">
        <f t="shared" si="14"/>
        <v>-634.54999999999973</v>
      </c>
      <c r="L157" s="212"/>
      <c r="M157" s="211">
        <f>(3*150+823.33+648.33+648.33+41.85)-(742.43+602.43+602.43)</f>
        <v>664.54999999999973</v>
      </c>
      <c r="N157" s="211"/>
      <c r="O157" s="212"/>
      <c r="Q157" s="56" t="s">
        <v>923</v>
      </c>
    </row>
    <row r="158" spans="1:17" ht="13.5">
      <c r="A158" s="47"/>
      <c r="B158" s="43" t="s">
        <v>326</v>
      </c>
      <c r="C158" s="43"/>
      <c r="D158" s="43"/>
      <c r="E158" s="43"/>
      <c r="F158" s="43"/>
      <c r="G158" s="43">
        <f t="shared" si="9"/>
        <v>0</v>
      </c>
      <c r="H158" s="43">
        <v>30</v>
      </c>
      <c r="I158" s="52">
        <f t="shared" si="12"/>
        <v>30</v>
      </c>
      <c r="J158" s="80">
        <f t="shared" si="14"/>
        <v>30</v>
      </c>
      <c r="L158" s="212"/>
      <c r="M158" s="211"/>
      <c r="N158" s="211"/>
      <c r="O158" s="212"/>
      <c r="Q158" s="56" t="s">
        <v>929</v>
      </c>
    </row>
    <row r="159" spans="1:17" ht="13.5">
      <c r="A159" s="47"/>
      <c r="B159" s="43" t="s">
        <v>309</v>
      </c>
      <c r="C159" s="43"/>
      <c r="D159" s="43"/>
      <c r="E159" s="43"/>
      <c r="F159" s="43"/>
      <c r="G159" s="43">
        <f t="shared" si="9"/>
        <v>0</v>
      </c>
      <c r="H159" s="43">
        <v>30</v>
      </c>
      <c r="I159" s="52">
        <f t="shared" si="12"/>
        <v>30</v>
      </c>
      <c r="J159" s="80">
        <f t="shared" si="14"/>
        <v>30</v>
      </c>
      <c r="L159" s="212"/>
      <c r="M159" s="211"/>
      <c r="N159" s="211"/>
      <c r="O159" s="212"/>
      <c r="Q159" s="56" t="s">
        <v>930</v>
      </c>
    </row>
    <row r="160" spans="1:17" ht="13.5">
      <c r="A160" s="43"/>
      <c r="B160" s="43" t="s">
        <v>325</v>
      </c>
      <c r="C160" s="43"/>
      <c r="D160" s="43"/>
      <c r="E160" s="43"/>
      <c r="F160" s="43"/>
      <c r="G160" s="43">
        <f t="shared" si="9"/>
        <v>0</v>
      </c>
      <c r="H160" s="43">
        <v>100</v>
      </c>
      <c r="I160" s="52">
        <f t="shared" si="12"/>
        <v>100</v>
      </c>
      <c r="J160" s="80">
        <f t="shared" si="14"/>
        <v>100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G163" s="56">
        <v>0</v>
      </c>
      <c r="H163" s="43">
        <v>100</v>
      </c>
      <c r="I163" s="52">
        <f t="shared" si="12"/>
        <v>100</v>
      </c>
      <c r="J163" s="80">
        <f t="shared" si="14"/>
        <v>100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3"/>
  <sheetViews>
    <sheetView zoomScale="80" zoomScaleNormal="80" workbookViewId="0">
      <selection activeCell="L118" sqref="L118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85546875" style="56" customWidth="1"/>
    <col min="13" max="13" width="13.570312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7</v>
      </c>
      <c r="C2" s="64"/>
      <c r="M2" s="64"/>
    </row>
    <row r="3" spans="1:16">
      <c r="B3" s="56" t="s">
        <v>77</v>
      </c>
      <c r="M3" s="64"/>
      <c r="O3" s="125"/>
    </row>
    <row r="4" spans="1:16">
      <c r="A4" s="62" t="s">
        <v>4</v>
      </c>
      <c r="B4" s="67">
        <f>SUM(G5:G8)</f>
        <v>7966.1900000000005</v>
      </c>
      <c r="C4" s="67"/>
      <c r="G4" s="56" t="s">
        <v>28</v>
      </c>
      <c r="L4" s="68"/>
      <c r="O4" s="125"/>
    </row>
    <row r="5" spans="1:16" ht="12.75">
      <c r="A5" s="56" t="s">
        <v>842</v>
      </c>
      <c r="B5" s="106">
        <v>3950.9</v>
      </c>
      <c r="C5" s="107">
        <v>4015.29</v>
      </c>
      <c r="G5" s="106">
        <f>SUM(B5:E5)</f>
        <v>7966.1900000000005</v>
      </c>
      <c r="H5" s="68"/>
      <c r="I5" s="68"/>
      <c r="J5" s="68"/>
      <c r="K5" s="72"/>
      <c r="L5" s="68"/>
      <c r="O5" s="125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1350</v>
      </c>
      <c r="D11" s="43" t="s">
        <v>143</v>
      </c>
      <c r="E11" s="43">
        <f>G11/B4</f>
        <v>0.16946620655545497</v>
      </c>
      <c r="F11" s="159"/>
      <c r="G11" s="44">
        <f>Tithe!D7</f>
        <v>1350</v>
      </c>
      <c r="H11" s="43">
        <v>1500</v>
      </c>
      <c r="I11" s="55">
        <f>H11-G11</f>
        <v>150</v>
      </c>
      <c r="J11" s="82">
        <f>Jan!I11+Feb!I11</f>
        <v>300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</f>
        <v>800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</f>
        <v>400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</f>
        <v>600</v>
      </c>
      <c r="K16" s="75"/>
    </row>
    <row r="17" spans="1:13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</f>
        <v>400</v>
      </c>
      <c r="K17" s="75"/>
    </row>
    <row r="18" spans="1:13" s="43" customFormat="1" ht="15.95" customHeigh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</f>
        <v>100</v>
      </c>
      <c r="K18" s="75"/>
    </row>
    <row r="19" spans="1:13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</f>
        <v>400</v>
      </c>
      <c r="K19" s="75"/>
    </row>
    <row r="20" spans="1:13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</f>
        <v>600</v>
      </c>
      <c r="K20" s="75"/>
    </row>
    <row r="21" spans="1:13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3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</f>
        <v>0</v>
      </c>
      <c r="K22" s="75"/>
      <c r="M22" s="178"/>
    </row>
    <row r="23" spans="1:13" s="43" customFormat="1" ht="15.95" customHeight="1">
      <c r="A23" s="49"/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3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3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</f>
        <v>1000</v>
      </c>
      <c r="K25" s="75"/>
    </row>
    <row r="26" spans="1:13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</f>
        <v>600</v>
      </c>
      <c r="K26" s="75"/>
    </row>
    <row r="27" spans="1:13" s="43" customFormat="1" ht="12.75" customHeight="1">
      <c r="A27" s="49"/>
      <c r="F27" s="159"/>
      <c r="G27" s="57"/>
      <c r="H27" s="57"/>
      <c r="I27" s="59"/>
      <c r="J27" s="70"/>
      <c r="K27" s="70"/>
    </row>
    <row r="28" spans="1:13" s="43" customFormat="1" ht="12.75" customHeight="1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2600</v>
      </c>
      <c r="J28" s="58">
        <f>SUM(J11:J26)</f>
        <v>5200</v>
      </c>
      <c r="K28" s="76"/>
    </row>
    <row r="29" spans="1:13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3" s="43" customFormat="1" ht="12.75" customHeight="1" thickBot="1">
      <c r="A30" s="49" t="s">
        <v>149</v>
      </c>
      <c r="B30" s="49"/>
      <c r="F30" s="159"/>
      <c r="G30" s="79"/>
      <c r="H30" s="47"/>
      <c r="I30" s="47"/>
      <c r="J30" s="47"/>
      <c r="K30" s="76"/>
      <c r="L30" s="47" t="s">
        <v>934</v>
      </c>
    </row>
    <row r="31" spans="1:13" s="43" customFormat="1" ht="12.75" customHeight="1">
      <c r="A31" s="89" t="s">
        <v>142</v>
      </c>
      <c r="B31" s="49"/>
      <c r="F31" s="159"/>
      <c r="G31" s="164">
        <f>B4-G11-G28+G30</f>
        <v>6616.1900000000005</v>
      </c>
      <c r="H31" s="47"/>
      <c r="I31" s="47"/>
      <c r="J31" s="47"/>
      <c r="K31" s="76"/>
      <c r="L31" s="47"/>
    </row>
    <row r="32" spans="1:13" s="43" customFormat="1" ht="12.75" customHeight="1">
      <c r="A32" s="43" t="s">
        <v>318</v>
      </c>
      <c r="B32" s="89"/>
      <c r="C32" s="45"/>
      <c r="D32" s="45"/>
      <c r="E32" s="45"/>
      <c r="F32" s="163"/>
      <c r="G32" s="165">
        <f>G46</f>
        <v>4402.7</v>
      </c>
      <c r="H32" s="47"/>
      <c r="I32" s="47"/>
      <c r="J32" s="47"/>
      <c r="K32" s="76"/>
    </row>
    <row r="33" spans="1:18" s="43" customFormat="1" ht="12.75" customHeight="1">
      <c r="A33" s="49" t="s">
        <v>359</v>
      </c>
      <c r="B33" s="49"/>
      <c r="F33" s="159"/>
      <c r="G33" s="69">
        <f>G31-G32-M42-N42</f>
        <v>2213.4900000000007</v>
      </c>
      <c r="H33" s="47"/>
      <c r="I33" s="47"/>
      <c r="J33" s="47"/>
      <c r="K33" s="76"/>
      <c r="L33" s="47"/>
    </row>
    <row r="34" spans="1:18" s="43" customFormat="1" ht="12.75" customHeight="1">
      <c r="H34" s="47"/>
      <c r="I34" s="47"/>
      <c r="J34" s="47"/>
      <c r="K34" s="76"/>
      <c r="L34" s="47"/>
    </row>
    <row r="35" spans="1:18" s="43" customFormat="1" ht="12.7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18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18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8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8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8" s="43" customFormat="1" ht="13.5">
      <c r="A40" s="49"/>
      <c r="B40" s="49"/>
      <c r="F40" s="159"/>
      <c r="G40" s="88"/>
      <c r="H40" s="47"/>
      <c r="I40" s="47"/>
      <c r="J40" s="47"/>
      <c r="K40" s="76"/>
      <c r="L40" s="47">
        <f>SUM(L46:O46)</f>
        <v>4402.7</v>
      </c>
      <c r="R40"/>
    </row>
    <row r="41" spans="1:18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2132.15</v>
      </c>
      <c r="N41" s="43">
        <f>N46+N44+N43+N42</f>
        <v>145.37</v>
      </c>
      <c r="O41" s="43">
        <f>O46+O44+O43+O42</f>
        <v>0</v>
      </c>
      <c r="R41"/>
    </row>
    <row r="42" spans="1:18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  <c r="Q42" s="105"/>
      <c r="R42"/>
    </row>
    <row r="43" spans="1:18" s="43" customFormat="1" ht="13.5">
      <c r="B43" s="49"/>
      <c r="F43" s="159"/>
      <c r="I43" s="52"/>
      <c r="J43" s="80" t="s">
        <v>146</v>
      </c>
      <c r="K43" s="73"/>
      <c r="R43"/>
    </row>
    <row r="44" spans="1:18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  <c r="R44"/>
    </row>
    <row r="45" spans="1:18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599</v>
      </c>
      <c r="R45"/>
    </row>
    <row r="46" spans="1:18" s="43" customFormat="1" ht="14.25" thickBot="1">
      <c r="D46"/>
      <c r="E46" s="162"/>
      <c r="F46" s="159"/>
      <c r="G46" s="84">
        <f>SUM(G48:G163)</f>
        <v>4402.7</v>
      </c>
      <c r="H46" s="84">
        <f>SUM(H48:H163)</f>
        <v>4626.9500000000007</v>
      </c>
      <c r="I46" s="84">
        <f>H46-G46</f>
        <v>224.25000000000091</v>
      </c>
      <c r="J46" s="84">
        <f>SUM(J48:J163)</f>
        <v>-4620.119999999999</v>
      </c>
      <c r="K46" s="77"/>
      <c r="L46" s="207">
        <f>SUM(L49:L163)</f>
        <v>2225.1800000000003</v>
      </c>
      <c r="M46" s="208">
        <f>SUM(M49:M163)</f>
        <v>2032.15</v>
      </c>
      <c r="N46" s="209">
        <f>SUM(N49:N163)</f>
        <v>145.37</v>
      </c>
      <c r="O46" s="209">
        <f>SUM(O49:O163)-Jan!O42</f>
        <v>0</v>
      </c>
      <c r="Q46" s="105"/>
      <c r="R46"/>
    </row>
    <row r="47" spans="1:18" s="43" customFormat="1" ht="14.25" thickBot="1">
      <c r="A47" s="89" t="s">
        <v>292</v>
      </c>
      <c r="B47" s="157">
        <f>B48+B61+B65</f>
        <v>392.93000000000029</v>
      </c>
      <c r="C47" s="157">
        <f>C48+C61+C65</f>
        <v>797.95000000000027</v>
      </c>
      <c r="D47" s="79">
        <f>D48+D61+D65</f>
        <v>405.02</v>
      </c>
      <c r="I47" s="52"/>
      <c r="J47" s="80"/>
      <c r="K47" s="73"/>
      <c r="L47" s="210"/>
      <c r="M47" s="211"/>
      <c r="N47" s="211"/>
      <c r="O47" s="212"/>
      <c r="R47"/>
    </row>
    <row r="48" spans="1:18" s="43" customFormat="1" ht="13.5">
      <c r="A48" s="49" t="s">
        <v>278</v>
      </c>
      <c r="B48" s="49">
        <f>SUM(G49:G57)</f>
        <v>177.95000000000027</v>
      </c>
      <c r="C48" s="49">
        <f>SUM(H49:H57)</f>
        <v>457.95000000000027</v>
      </c>
      <c r="D48" s="49">
        <f>SUM(I49:I57)</f>
        <v>280</v>
      </c>
      <c r="I48" s="52"/>
      <c r="J48" s="80"/>
      <c r="K48" s="73"/>
      <c r="L48" s="210"/>
      <c r="M48" s="211"/>
      <c r="N48" s="211"/>
      <c r="O48" s="212"/>
      <c r="R48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</f>
        <v>200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</f>
        <v>200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0</v>
      </c>
      <c r="H54" s="43">
        <v>80</v>
      </c>
      <c r="I54" s="52">
        <f t="shared" si="1"/>
        <v>80</v>
      </c>
      <c r="J54" s="80">
        <f>Jan!I54+Feb!I54</f>
        <v>160</v>
      </c>
      <c r="K54" s="73"/>
      <c r="L54" s="210"/>
      <c r="M54" s="211"/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1636.68</v>
      </c>
      <c r="H55" s="43">
        <v>1636.68</v>
      </c>
      <c r="I55" s="52">
        <f t="shared" si="1"/>
        <v>0</v>
      </c>
      <c r="J55" s="80">
        <f>Jan!I55+Feb!I55</f>
        <v>-4363.32</v>
      </c>
      <c r="K55" s="73"/>
      <c r="L55" s="212">
        <v>1636.68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</f>
        <v>431.27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189.98000000000002</v>
      </c>
      <c r="C61" s="49">
        <f>SUM(H62:H63)</f>
        <v>260</v>
      </c>
      <c r="D61" s="49">
        <f>C61-B61</f>
        <v>70.019999999999982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83.25</v>
      </c>
      <c r="H62" s="43">
        <v>150</v>
      </c>
      <c r="I62" s="52">
        <f t="shared" ref="I62:I131" si="3">H62-G62</f>
        <v>66.75</v>
      </c>
      <c r="J62" s="80">
        <f>Jan!I62+Feb!I62</f>
        <v>135.23000000000002</v>
      </c>
      <c r="K62" s="73"/>
      <c r="L62" s="212"/>
      <c r="M62" s="211">
        <v>83.25</v>
      </c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106.73</v>
      </c>
      <c r="H63" s="43">
        <v>110</v>
      </c>
      <c r="I63" s="52">
        <f t="shared" si="3"/>
        <v>3.269999999999996</v>
      </c>
      <c r="J63" s="80">
        <f>Jan!I63+Feb!I63</f>
        <v>6.9200000000000017</v>
      </c>
      <c r="K63" s="73"/>
      <c r="L63" s="212"/>
      <c r="M63" s="211">
        <v>106.73</v>
      </c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5" s="43" customFormat="1" ht="13.5">
      <c r="A65" s="49" t="s">
        <v>287</v>
      </c>
      <c r="B65" s="49">
        <f>SUM(G66:G68)</f>
        <v>25</v>
      </c>
      <c r="C65" s="49">
        <f>SUM(H66:H68)</f>
        <v>80</v>
      </c>
      <c r="D65" s="49">
        <f>C65-B65</f>
        <v>55</v>
      </c>
      <c r="I65" s="52"/>
      <c r="J65" s="80"/>
      <c r="K65" s="73"/>
      <c r="L65" s="212"/>
      <c r="M65" s="211"/>
      <c r="N65" s="211"/>
      <c r="O65" s="212"/>
    </row>
    <row r="66" spans="1:15" s="43" customFormat="1" ht="13.5">
      <c r="B66" s="43" t="s">
        <v>902</v>
      </c>
      <c r="G66" s="43">
        <f t="shared" si="2"/>
        <v>25</v>
      </c>
      <c r="H66" s="43">
        <v>30</v>
      </c>
      <c r="I66" s="52">
        <f t="shared" si="3"/>
        <v>5</v>
      </c>
      <c r="J66" s="80">
        <f>Jan!I66+Feb!I66</f>
        <v>35</v>
      </c>
      <c r="K66" s="73"/>
      <c r="L66" s="212"/>
      <c r="M66" s="211">
        <v>25</v>
      </c>
      <c r="N66" s="211"/>
      <c r="O66" s="212"/>
    </row>
    <row r="67" spans="1:15" s="43" customFormat="1" ht="13.5">
      <c r="B67" s="43" t="s">
        <v>903</v>
      </c>
      <c r="G67" s="43">
        <f t="shared" si="2"/>
        <v>0</v>
      </c>
      <c r="H67" s="43">
        <v>20</v>
      </c>
      <c r="I67" s="52">
        <f t="shared" si="3"/>
        <v>20</v>
      </c>
      <c r="J67" s="80">
        <f>Jan!I67+Feb!I67</f>
        <v>40</v>
      </c>
      <c r="K67" s="73"/>
      <c r="L67" s="212"/>
      <c r="M67" s="211"/>
      <c r="N67" s="211"/>
      <c r="O67" s="212"/>
    </row>
    <row r="68" spans="1:15" s="43" customFormat="1" ht="13.5">
      <c r="B68" s="43" t="s">
        <v>904</v>
      </c>
      <c r="D68" s="43" t="s">
        <v>901</v>
      </c>
      <c r="G68" s="43">
        <f t="shared" si="2"/>
        <v>0</v>
      </c>
      <c r="H68" s="43">
        <v>30</v>
      </c>
      <c r="I68" s="52">
        <f t="shared" si="3"/>
        <v>30</v>
      </c>
      <c r="J68" s="80">
        <f>Jan!I68+Feb!I68</f>
        <v>59</v>
      </c>
      <c r="K68" s="73"/>
      <c r="L68" s="212"/>
      <c r="M68" s="211"/>
      <c r="N68" s="211"/>
      <c r="O68" s="212"/>
    </row>
    <row r="69" spans="1:15" s="43" customFormat="1" ht="13.5">
      <c r="I69" s="52"/>
      <c r="J69" s="80"/>
      <c r="K69" s="73"/>
      <c r="L69" s="212"/>
      <c r="M69" s="211"/>
      <c r="N69" s="211"/>
      <c r="O69" s="212"/>
    </row>
    <row r="70" spans="1:15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5" s="43" customFormat="1" ht="13.5">
      <c r="B71" s="43" t="s">
        <v>283</v>
      </c>
      <c r="G71" s="43">
        <f t="shared" si="2"/>
        <v>9.98</v>
      </c>
      <c r="H71" s="43">
        <v>25</v>
      </c>
      <c r="I71" s="52">
        <f t="shared" si="3"/>
        <v>15.02</v>
      </c>
      <c r="J71" s="80">
        <f>Jan!I71+Feb!I71</f>
        <v>10.559999999999999</v>
      </c>
      <c r="K71" s="73"/>
      <c r="L71" s="212"/>
      <c r="M71" s="211">
        <v>9.98</v>
      </c>
      <c r="N71" s="211"/>
      <c r="O71" s="212"/>
    </row>
    <row r="72" spans="1:15" s="43" customFormat="1" ht="13.5">
      <c r="A72" s="49"/>
      <c r="B72" s="43" t="s">
        <v>284</v>
      </c>
      <c r="G72" s="43">
        <f t="shared" si="2"/>
        <v>0</v>
      </c>
      <c r="H72" s="43">
        <v>25</v>
      </c>
      <c r="I72" s="52">
        <f t="shared" si="3"/>
        <v>25</v>
      </c>
      <c r="J72" s="80">
        <f>Jan!I72+Feb!I72</f>
        <v>50</v>
      </c>
      <c r="K72" s="73"/>
      <c r="L72" s="212"/>
      <c r="M72" s="211"/>
      <c r="N72" s="211"/>
      <c r="O72" s="212"/>
    </row>
    <row r="73" spans="1:15" s="43" customFormat="1" ht="13.5">
      <c r="A73" s="49"/>
      <c r="B73" s="43" t="s">
        <v>289</v>
      </c>
      <c r="G73" s="43">
        <f t="shared" si="2"/>
        <v>0</v>
      </c>
      <c r="H73" s="43">
        <v>20</v>
      </c>
      <c r="I73" s="52">
        <f t="shared" si="3"/>
        <v>20</v>
      </c>
      <c r="J73" s="80">
        <f>Jan!I73+Feb!I73</f>
        <v>40</v>
      </c>
      <c r="K73" s="73"/>
      <c r="L73" s="212"/>
      <c r="M73" s="211"/>
      <c r="N73" s="211"/>
      <c r="O73" s="212"/>
    </row>
    <row r="74" spans="1:15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5" s="43" customFormat="1" ht="13.5">
      <c r="A75" s="49" t="s">
        <v>285</v>
      </c>
      <c r="B75" s="43" t="s">
        <v>45</v>
      </c>
      <c r="G75" s="43">
        <f t="shared" si="2"/>
        <v>84.84</v>
      </c>
      <c r="H75" s="43">
        <v>75</v>
      </c>
      <c r="I75" s="52">
        <f t="shared" si="3"/>
        <v>-9.8400000000000034</v>
      </c>
      <c r="J75" s="80">
        <f>Jan!I75+Feb!I75</f>
        <v>25.720000000000006</v>
      </c>
      <c r="K75" s="73"/>
      <c r="L75" s="212"/>
      <c r="M75" s="211">
        <f>2.4+4.55+3.21+3.81+14+3.57+4.78+2.15+4.63+4.28+4.09+7.29+7.84+2.4+4.7+2.39+2.4+6.35</f>
        <v>84.84</v>
      </c>
      <c r="N75" s="211"/>
      <c r="O75" s="212"/>
    </row>
    <row r="76" spans="1:15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5" s="43" customFormat="1" ht="14.25" thickBot="1">
      <c r="A77" s="89" t="s">
        <v>291</v>
      </c>
      <c r="B77" s="187">
        <f>B80+B86+B91+B100+B105+B111+B117+B130+B133+B138+B141</f>
        <v>1370.6000000000001</v>
      </c>
      <c r="C77" s="187">
        <f>C80+C86+C91+C100+C105+C111+C117+C130+C133+C138+C141</f>
        <v>2849</v>
      </c>
      <c r="D77" s="187">
        <f>D80+D86+D91+D100+D105+D111+D117+D130+D133+D138+D141</f>
        <v>1428.4</v>
      </c>
      <c r="I77" s="52"/>
      <c r="J77" s="80"/>
      <c r="K77" s="73"/>
      <c r="L77" s="212"/>
      <c r="M77" s="211"/>
      <c r="N77" s="211"/>
      <c r="O77" s="212"/>
    </row>
    <row r="78" spans="1:15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5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5" s="43" customFormat="1" ht="13.5">
      <c r="A80" s="49" t="s">
        <v>885</v>
      </c>
      <c r="B80" s="49">
        <f>SUM(G81:G85)</f>
        <v>247.23</v>
      </c>
      <c r="C80" s="49">
        <f>SUM(H81:H84)</f>
        <v>290</v>
      </c>
      <c r="D80" s="49">
        <f>C80-B80</f>
        <v>42.77000000000001</v>
      </c>
      <c r="I80" s="52"/>
      <c r="J80" s="80"/>
      <c r="K80" s="73"/>
      <c r="L80" s="212"/>
      <c r="M80" s="211"/>
      <c r="N80" s="211"/>
      <c r="O80" s="212"/>
    </row>
    <row r="81" spans="1:17" s="43" customFormat="1" ht="13.5">
      <c r="B81" s="43" t="s">
        <v>25</v>
      </c>
      <c r="D81" s="43" t="s">
        <v>882</v>
      </c>
      <c r="G81" s="43">
        <f t="shared" si="2"/>
        <v>77.34</v>
      </c>
      <c r="H81" s="43">
        <v>100</v>
      </c>
      <c r="I81" s="52">
        <f t="shared" si="3"/>
        <v>22.659999999999997</v>
      </c>
      <c r="J81" s="80">
        <f>Jan!I81+Feb!I81</f>
        <v>26.209999999999994</v>
      </c>
      <c r="K81" s="73"/>
      <c r="L81" s="212">
        <v>77.34</v>
      </c>
      <c r="M81" s="211"/>
      <c r="N81" s="211"/>
      <c r="O81" s="212"/>
    </row>
    <row r="82" spans="1:17" s="43" customFormat="1" ht="13.5">
      <c r="B82" s="43" t="s">
        <v>596</v>
      </c>
      <c r="D82" s="43" t="s">
        <v>883</v>
      </c>
      <c r="G82" s="43">
        <f t="shared" si="2"/>
        <v>48.28</v>
      </c>
      <c r="H82" s="43">
        <v>60</v>
      </c>
      <c r="I82" s="52">
        <f t="shared" si="3"/>
        <v>11.719999999999999</v>
      </c>
      <c r="J82" s="80">
        <f>Jan!I82+Feb!I82</f>
        <v>-0.23999999999999488</v>
      </c>
      <c r="K82" s="73"/>
      <c r="L82" s="212">
        <v>48.28</v>
      </c>
      <c r="M82" s="211"/>
      <c r="N82" s="211"/>
      <c r="O82" s="212"/>
    </row>
    <row r="83" spans="1:17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92.14</v>
      </c>
      <c r="H83" s="43">
        <v>100</v>
      </c>
      <c r="I83" s="52">
        <f t="shared" si="3"/>
        <v>7.8599999999999994</v>
      </c>
      <c r="J83" s="80">
        <f>Jan!I83+Feb!I83</f>
        <v>15.200000000000003</v>
      </c>
      <c r="K83" s="73"/>
      <c r="L83" s="212">
        <v>92.14</v>
      </c>
      <c r="M83" s="211"/>
      <c r="N83" s="211"/>
      <c r="O83" s="212"/>
    </row>
    <row r="84" spans="1:17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29.47</v>
      </c>
      <c r="H84" s="43">
        <v>30</v>
      </c>
      <c r="I84" s="52">
        <f t="shared" si="3"/>
        <v>0.53000000000000114</v>
      </c>
      <c r="J84" s="80">
        <f>Jan!I84+Feb!I84</f>
        <v>-8.9399999999999977</v>
      </c>
      <c r="K84" s="73"/>
      <c r="L84" s="212">
        <v>29.47</v>
      </c>
      <c r="M84" s="211"/>
      <c r="N84" s="211"/>
      <c r="O84" s="212"/>
    </row>
    <row r="85" spans="1:17" s="43" customFormat="1" ht="13.5">
      <c r="I85" s="52"/>
      <c r="J85" s="80"/>
      <c r="K85" s="73"/>
      <c r="L85" s="212"/>
      <c r="M85" s="211"/>
      <c r="N85" s="211"/>
      <c r="O85" s="212"/>
    </row>
    <row r="86" spans="1:17" s="43" customFormat="1" ht="13.5">
      <c r="A86" s="49" t="s">
        <v>37</v>
      </c>
      <c r="B86" s="49">
        <f>SUM(G88:G90)</f>
        <v>925</v>
      </c>
      <c r="C86" s="49">
        <f>SUM(H87:H89)</f>
        <v>336</v>
      </c>
      <c r="D86" s="49">
        <f>C86-B86</f>
        <v>-589</v>
      </c>
      <c r="I86" s="52"/>
      <c r="J86" s="80"/>
      <c r="K86" s="73"/>
      <c r="L86" s="212"/>
      <c r="M86" s="211"/>
      <c r="N86" s="211"/>
      <c r="O86" s="212"/>
    </row>
    <row r="87" spans="1:17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</f>
        <v>200</v>
      </c>
      <c r="K87" s="73"/>
      <c r="L87" s="212"/>
      <c r="M87" s="211"/>
      <c r="N87" s="211"/>
      <c r="O87" s="212"/>
    </row>
    <row r="88" spans="1:17" s="43" customFormat="1" ht="13.5">
      <c r="B88" s="43" t="s">
        <v>38</v>
      </c>
      <c r="D88" s="43" t="s">
        <v>642</v>
      </c>
      <c r="G88" s="43">
        <f t="shared" si="2"/>
        <v>925</v>
      </c>
      <c r="H88" s="43">
        <v>200</v>
      </c>
      <c r="I88" s="52">
        <f t="shared" si="3"/>
        <v>-725</v>
      </c>
      <c r="J88" s="80">
        <f>Jan!I88+Feb!I88</f>
        <v>-525</v>
      </c>
      <c r="K88" s="73"/>
      <c r="L88" s="212"/>
      <c r="M88" s="211">
        <v>925</v>
      </c>
      <c r="N88" s="211"/>
      <c r="O88" s="212"/>
      <c r="Q88" s="43" t="s">
        <v>972</v>
      </c>
    </row>
    <row r="89" spans="1:17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</f>
        <v>72</v>
      </c>
      <c r="K89" s="73"/>
      <c r="L89" s="212"/>
      <c r="M89" s="211"/>
      <c r="N89" s="211"/>
      <c r="O89" s="212"/>
    </row>
    <row r="90" spans="1:17" s="43" customFormat="1" ht="13.5">
      <c r="I90" s="52"/>
      <c r="J90" s="80"/>
      <c r="K90" s="73"/>
      <c r="L90" s="212"/>
      <c r="M90" s="211"/>
      <c r="N90" s="211"/>
      <c r="O90" s="212"/>
    </row>
    <row r="91" spans="1:17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7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</f>
        <v>40</v>
      </c>
      <c r="K92" s="73"/>
      <c r="L92" s="212"/>
      <c r="M92" s="211"/>
      <c r="N92" s="211"/>
      <c r="O92" s="212"/>
    </row>
    <row r="93" spans="1:17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</f>
        <v>10</v>
      </c>
      <c r="K93" s="73"/>
      <c r="L93" s="212"/>
      <c r="M93" s="211"/>
      <c r="N93" s="211"/>
      <c r="O93" s="212"/>
    </row>
    <row r="94" spans="1:17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</f>
        <v>130</v>
      </c>
      <c r="K94" s="73"/>
      <c r="L94" s="212"/>
      <c r="M94" s="211"/>
      <c r="N94" s="211"/>
      <c r="O94" s="212"/>
    </row>
    <row r="95" spans="1:17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</f>
        <v>30</v>
      </c>
      <c r="K95" s="73"/>
      <c r="L95" s="212"/>
      <c r="M95" s="211"/>
      <c r="N95" s="211"/>
      <c r="O95" s="212"/>
    </row>
    <row r="96" spans="1:17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</f>
        <v>70</v>
      </c>
      <c r="K96" s="73"/>
      <c r="L96" s="212"/>
      <c r="M96" s="211"/>
      <c r="N96" s="211"/>
      <c r="O96" s="212"/>
    </row>
    <row r="97" spans="1:17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</f>
        <v>52</v>
      </c>
      <c r="K97" s="73"/>
      <c r="L97" s="212"/>
      <c r="M97" s="211"/>
      <c r="N97" s="211"/>
      <c r="O97" s="212"/>
    </row>
    <row r="98" spans="1:17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</f>
        <v>24</v>
      </c>
      <c r="K98" s="73"/>
      <c r="L98" s="212"/>
      <c r="M98" s="211"/>
      <c r="N98" s="211"/>
      <c r="O98" s="212"/>
    </row>
    <row r="99" spans="1:17" s="43" customFormat="1" ht="13.5">
      <c r="I99" s="52"/>
      <c r="J99" s="80"/>
      <c r="K99" s="73"/>
      <c r="L99" s="212"/>
      <c r="M99" s="211"/>
      <c r="N99" s="211"/>
      <c r="O99" s="212"/>
    </row>
    <row r="100" spans="1:17" s="43" customFormat="1" ht="13.5">
      <c r="A100" s="49" t="s">
        <v>108</v>
      </c>
      <c r="B100" s="49">
        <f>SUM(G102:G104)</f>
        <v>0</v>
      </c>
      <c r="C100" s="49">
        <f>SUM(H101:H103)</f>
        <v>170</v>
      </c>
      <c r="D100" s="49">
        <f>C100-B100</f>
        <v>170</v>
      </c>
      <c r="I100" s="52"/>
      <c r="J100" s="80"/>
      <c r="K100" s="73"/>
      <c r="L100" s="212"/>
      <c r="M100" s="211"/>
      <c r="N100" s="211"/>
      <c r="O100" s="212"/>
    </row>
    <row r="101" spans="1:17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</f>
        <v>120</v>
      </c>
      <c r="K101" s="73"/>
      <c r="L101" s="212"/>
      <c r="M101" s="211"/>
      <c r="N101" s="211"/>
      <c r="O101" s="212"/>
    </row>
    <row r="102" spans="1:17" s="43" customFormat="1" ht="13.5">
      <c r="B102" s="89" t="s">
        <v>645</v>
      </c>
      <c r="G102" s="43">
        <f t="shared" si="2"/>
        <v>0</v>
      </c>
      <c r="H102" s="43">
        <v>100</v>
      </c>
      <c r="I102" s="52">
        <f t="shared" si="3"/>
        <v>100</v>
      </c>
      <c r="J102" s="80">
        <f>Jan!I102+Feb!I102</f>
        <v>200</v>
      </c>
      <c r="K102" s="73"/>
      <c r="L102" s="212"/>
      <c r="M102" s="211"/>
      <c r="N102" s="211"/>
      <c r="O102" s="212"/>
    </row>
    <row r="103" spans="1:17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</f>
        <v>20</v>
      </c>
      <c r="K103" s="73"/>
      <c r="L103" s="212"/>
      <c r="M103" s="211"/>
      <c r="N103" s="211"/>
      <c r="O103" s="212"/>
    </row>
    <row r="104" spans="1:17" s="43" customFormat="1" ht="13.5">
      <c r="I104" s="52"/>
      <c r="J104" s="80"/>
      <c r="K104" s="73"/>
      <c r="L104" s="212"/>
      <c r="M104" s="211"/>
      <c r="N104" s="211"/>
      <c r="O104" s="212"/>
    </row>
    <row r="105" spans="1:17" s="43" customFormat="1" ht="13.5">
      <c r="A105" s="49" t="s">
        <v>44</v>
      </c>
      <c r="B105" s="49">
        <f>SUM(G107:G109)</f>
        <v>18.899999999999999</v>
      </c>
      <c r="C105" s="49">
        <f>SUM(H106:H108)</f>
        <v>200</v>
      </c>
      <c r="D105" s="49">
        <f>C105-B105</f>
        <v>181.1</v>
      </c>
      <c r="I105" s="52"/>
      <c r="J105" s="80"/>
      <c r="K105" s="73"/>
      <c r="L105" s="212"/>
      <c r="M105" s="211"/>
      <c r="N105" s="211"/>
      <c r="O105" s="212"/>
    </row>
    <row r="106" spans="1:17" s="43" customFormat="1" ht="13.5">
      <c r="B106" s="43" t="s">
        <v>297</v>
      </c>
      <c r="G106" s="43">
        <f t="shared" ref="G106:G160" si="4">SUM(L106:O106)</f>
        <v>0</v>
      </c>
      <c r="H106" s="43">
        <v>100</v>
      </c>
      <c r="I106" s="52">
        <f t="shared" si="3"/>
        <v>100</v>
      </c>
      <c r="J106" s="80">
        <f>Jan!I106+Feb!I106</f>
        <v>170</v>
      </c>
      <c r="K106" s="73"/>
      <c r="L106" s="212"/>
      <c r="M106" s="211"/>
      <c r="N106" s="211"/>
      <c r="O106" s="212"/>
    </row>
    <row r="107" spans="1:17" s="43" customFormat="1" ht="13.5">
      <c r="B107" s="43" t="s">
        <v>644</v>
      </c>
      <c r="G107" s="43">
        <f t="shared" si="4"/>
        <v>0</v>
      </c>
      <c r="H107" s="43">
        <v>25</v>
      </c>
      <c r="I107" s="52">
        <f t="shared" si="3"/>
        <v>25</v>
      </c>
      <c r="J107" s="80">
        <f>Jan!I107+Feb!I107</f>
        <v>50</v>
      </c>
      <c r="K107" s="73"/>
      <c r="L107" s="212"/>
      <c r="M107" s="211"/>
      <c r="N107" s="211"/>
      <c r="O107" s="212"/>
    </row>
    <row r="108" spans="1:17" s="43" customFormat="1" ht="13.5">
      <c r="B108" s="43" t="s">
        <v>897</v>
      </c>
      <c r="D108" s="43" t="s">
        <v>899</v>
      </c>
      <c r="G108" s="43">
        <f t="shared" si="4"/>
        <v>0</v>
      </c>
      <c r="H108" s="43">
        <v>75</v>
      </c>
      <c r="I108" s="52">
        <f t="shared" si="3"/>
        <v>75</v>
      </c>
      <c r="J108" s="80">
        <f>Jan!I108+Feb!I108</f>
        <v>150</v>
      </c>
      <c r="K108" s="73"/>
      <c r="L108" s="212"/>
      <c r="M108" s="211"/>
      <c r="N108" s="211"/>
      <c r="O108" s="212"/>
    </row>
    <row r="109" spans="1:17" s="43" customFormat="1" ht="13.5">
      <c r="B109" s="43" t="s">
        <v>898</v>
      </c>
      <c r="D109" s="43" t="s">
        <v>900</v>
      </c>
      <c r="G109" s="43">
        <f t="shared" si="4"/>
        <v>18.899999999999999</v>
      </c>
      <c r="H109" s="43">
        <v>25</v>
      </c>
      <c r="I109" s="52">
        <f t="shared" si="3"/>
        <v>6.1000000000000014</v>
      </c>
      <c r="J109" s="80">
        <f>Jan!I109+Feb!I109</f>
        <v>8.48</v>
      </c>
      <c r="K109" s="73"/>
      <c r="L109" s="212"/>
      <c r="M109" s="211"/>
      <c r="N109" s="211">
        <v>18.899999999999999</v>
      </c>
      <c r="O109" s="212"/>
    </row>
    <row r="110" spans="1:17" s="43" customFormat="1" ht="13.5">
      <c r="I110" s="52"/>
      <c r="J110" s="80"/>
      <c r="K110" s="73"/>
      <c r="L110" s="212"/>
      <c r="M110" s="211"/>
      <c r="N110" s="211"/>
      <c r="O110" s="212"/>
    </row>
    <row r="111" spans="1:17" s="43" customFormat="1" ht="13.5">
      <c r="A111" s="49" t="s">
        <v>46</v>
      </c>
      <c r="B111" s="49">
        <f>SUM(G113:G116)</f>
        <v>0</v>
      </c>
      <c r="C111" s="49">
        <f>SUM(H112:H114)</f>
        <v>415</v>
      </c>
      <c r="D111" s="49">
        <f>C111-B111</f>
        <v>415</v>
      </c>
      <c r="I111" s="52"/>
      <c r="J111" s="80"/>
      <c r="K111" s="73"/>
      <c r="L111" s="212"/>
      <c r="M111" s="211"/>
      <c r="N111" s="211"/>
      <c r="O111" s="212"/>
    </row>
    <row r="112" spans="1:17" s="43" customFormat="1" ht="13.5">
      <c r="B112" s="43" t="s">
        <v>324</v>
      </c>
      <c r="D112" s="43" t="s">
        <v>47</v>
      </c>
      <c r="G112" s="43">
        <f t="shared" si="4"/>
        <v>229</v>
      </c>
      <c r="H112" s="43">
        <v>150</v>
      </c>
      <c r="I112" s="52">
        <f t="shared" si="3"/>
        <v>-79</v>
      </c>
      <c r="J112" s="80">
        <f>Jan!I112+Feb!I112</f>
        <v>71</v>
      </c>
      <c r="K112" s="73"/>
      <c r="L112" s="212"/>
      <c r="M112" s="211">
        <f>229</f>
        <v>229</v>
      </c>
      <c r="N112" s="211"/>
      <c r="O112" s="212"/>
      <c r="Q112" s="43" t="s">
        <v>937</v>
      </c>
    </row>
    <row r="113" spans="1:17" s="43" customFormat="1" ht="13.5">
      <c r="A113" s="49"/>
      <c r="B113" s="43" t="s">
        <v>323</v>
      </c>
      <c r="G113" s="43">
        <f t="shared" si="4"/>
        <v>0</v>
      </c>
      <c r="H113" s="43">
        <v>215</v>
      </c>
      <c r="I113" s="52">
        <f t="shared" si="3"/>
        <v>215</v>
      </c>
      <c r="J113" s="80">
        <f>Jan!I113+Feb!I113</f>
        <v>430</v>
      </c>
      <c r="K113" s="73"/>
      <c r="L113" s="212"/>
      <c r="M113" s="211"/>
      <c r="N113" s="211"/>
      <c r="O113" s="212"/>
    </row>
    <row r="114" spans="1:17" s="43" customFormat="1" ht="13.5">
      <c r="A114" s="49"/>
      <c r="B114" s="43" t="s">
        <v>317</v>
      </c>
      <c r="G114" s="43">
        <f t="shared" si="4"/>
        <v>0</v>
      </c>
      <c r="H114" s="43">
        <v>50</v>
      </c>
      <c r="I114" s="52">
        <f t="shared" si="3"/>
        <v>50</v>
      </c>
      <c r="J114" s="80">
        <f>Jan!I114+Feb!I114</f>
        <v>-3260</v>
      </c>
      <c r="K114" s="73"/>
      <c r="L114" s="212"/>
      <c r="M114" s="211"/>
      <c r="N114" s="211"/>
      <c r="O114" s="212"/>
    </row>
    <row r="115" spans="1:17" s="43" customFormat="1" ht="13.5">
      <c r="A115" s="49"/>
      <c r="B115" s="43" t="s">
        <v>907</v>
      </c>
      <c r="G115" s="43">
        <f t="shared" si="4"/>
        <v>0</v>
      </c>
      <c r="H115" s="43">
        <v>100</v>
      </c>
      <c r="I115" s="52">
        <f t="shared" si="3"/>
        <v>100</v>
      </c>
      <c r="J115" s="80">
        <f>Jan!I115+Feb!I115</f>
        <v>200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179.47</v>
      </c>
      <c r="C117" s="49">
        <f>SUM(H118:H128)</f>
        <v>820</v>
      </c>
      <c r="D117" s="49">
        <f>C117-B117</f>
        <v>640.53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4"/>
        <v>300</v>
      </c>
      <c r="H118" s="43">
        <v>100</v>
      </c>
      <c r="I118" s="52">
        <f t="shared" si="3"/>
        <v>-200</v>
      </c>
      <c r="J118" s="80">
        <f>Jan!I118+Feb!I118</f>
        <v>-235</v>
      </c>
      <c r="K118" s="73"/>
      <c r="L118" s="212">
        <f>300</f>
        <v>300</v>
      </c>
      <c r="M118" s="211"/>
      <c r="N118" s="211"/>
      <c r="O118" s="212"/>
      <c r="Q118" s="105">
        <v>42398</v>
      </c>
    </row>
    <row r="119" spans="1:17" s="43" customFormat="1" ht="13.5">
      <c r="B119" s="43" t="s">
        <v>908</v>
      </c>
      <c r="G119" s="43">
        <f t="shared" si="4"/>
        <v>15.23</v>
      </c>
      <c r="H119" s="43">
        <v>100</v>
      </c>
      <c r="I119" s="52">
        <f t="shared" si="3"/>
        <v>84.77</v>
      </c>
      <c r="J119" s="80">
        <f>Jan!I119+Feb!I119</f>
        <v>137.47999999999999</v>
      </c>
      <c r="K119" s="73"/>
      <c r="L119" s="212"/>
      <c r="M119" s="211">
        <v>15.23</v>
      </c>
      <c r="N119" s="211"/>
      <c r="O119" s="212"/>
    </row>
    <row r="120" spans="1:17" s="43" customFormat="1" ht="14.25" thickBot="1">
      <c r="B120" s="43" t="s">
        <v>304</v>
      </c>
      <c r="G120" s="43">
        <f t="shared" si="4"/>
        <v>164.24</v>
      </c>
      <c r="H120" s="43">
        <v>500</v>
      </c>
      <c r="I120" s="52">
        <f t="shared" si="3"/>
        <v>335.76</v>
      </c>
      <c r="J120" s="80">
        <f>Jan!I120+Feb!I120</f>
        <v>474</v>
      </c>
      <c r="K120" s="73"/>
      <c r="L120" s="212"/>
      <c r="M120" s="211">
        <f>23.21+8.98+5.58</f>
        <v>37.769999999999996</v>
      </c>
      <c r="N120" s="211">
        <f>37.41+89.06</f>
        <v>126.47</v>
      </c>
      <c r="O120" s="212"/>
    </row>
    <row r="121" spans="1:17" s="43" customFormat="1" ht="14.25" thickBot="1">
      <c r="C121" s="43" t="s">
        <v>298</v>
      </c>
      <c r="E121" s="79">
        <f>Jan!E132+Feb!E140+Mar!E140+Apr!E140+May!E140+Jun!E140+July!E140+Aug!E140+Sep!E140+Oct!E140+Nov!E140+Dec!E140</f>
        <v>0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4"/>
        <v>0</v>
      </c>
      <c r="H122" s="43">
        <v>50</v>
      </c>
      <c r="I122" s="52">
        <f t="shared" si="3"/>
        <v>50</v>
      </c>
      <c r="J122" s="80">
        <f>Jan!I122+Feb!I122</f>
        <v>100</v>
      </c>
      <c r="K122" s="73"/>
      <c r="L122" s="212"/>
      <c r="M122" s="211"/>
      <c r="N122" s="211"/>
      <c r="O122" s="212"/>
    </row>
    <row r="123" spans="1:17" s="43" customFormat="1" ht="14.25" thickBot="1">
      <c r="B123" s="43" t="s">
        <v>43</v>
      </c>
      <c r="G123" s="43">
        <f t="shared" si="4"/>
        <v>0</v>
      </c>
      <c r="H123" s="43">
        <v>50</v>
      </c>
      <c r="I123" s="52">
        <f t="shared" si="3"/>
        <v>50</v>
      </c>
      <c r="J123" s="80">
        <f>Jan!I123+Feb!I123</f>
        <v>32.040000000000006</v>
      </c>
      <c r="K123" s="73"/>
      <c r="L123" s="212"/>
      <c r="M123" s="211"/>
      <c r="N123" s="211"/>
      <c r="O123" s="212"/>
    </row>
    <row r="124" spans="1:17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  <c r="Q126" s="227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4"/>
        <v>0</v>
      </c>
      <c r="H128" s="43">
        <v>20</v>
      </c>
      <c r="I128" s="52">
        <f t="shared" si="3"/>
        <v>20</v>
      </c>
      <c r="J128" s="80">
        <f>Jan!I128+Feb!I128</f>
        <v>40</v>
      </c>
      <c r="K128" s="73"/>
      <c r="L128" s="212"/>
      <c r="M128" s="211"/>
      <c r="N128" s="211"/>
      <c r="O128" s="212"/>
    </row>
    <row r="129" spans="1:17" s="43" customFormat="1" ht="13.5">
      <c r="I129" s="52"/>
      <c r="J129" s="80"/>
      <c r="K129" s="73"/>
      <c r="L129" s="212"/>
      <c r="M129" s="211"/>
      <c r="N129" s="211"/>
      <c r="O129" s="212"/>
    </row>
    <row r="130" spans="1:17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7" s="43" customFormat="1" ht="13.5">
      <c r="B131" s="43" t="s">
        <v>53</v>
      </c>
      <c r="G131" s="43">
        <f t="shared" si="4"/>
        <v>5.49</v>
      </c>
      <c r="H131" s="43">
        <v>50</v>
      </c>
      <c r="I131" s="52">
        <f t="shared" si="3"/>
        <v>44.51</v>
      </c>
      <c r="J131" s="80">
        <f>Jan!I131+Feb!I131</f>
        <v>94.509999999999991</v>
      </c>
      <c r="K131" s="73"/>
      <c r="L131" s="212"/>
      <c r="M131" s="211">
        <v>5.49</v>
      </c>
      <c r="N131" s="211"/>
      <c r="O131" s="212"/>
    </row>
    <row r="132" spans="1:17" s="43" customFormat="1" ht="13.5">
      <c r="I132" s="52"/>
      <c r="J132" s="80"/>
      <c r="K132" s="73"/>
      <c r="L132" s="212"/>
      <c r="M132" s="211"/>
      <c r="N132" s="211"/>
      <c r="O132" s="212"/>
    </row>
    <row r="133" spans="1:17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7" s="43" customFormat="1" ht="13.5">
      <c r="A134" s="49"/>
      <c r="B134" s="43" t="s">
        <v>910</v>
      </c>
      <c r="C134" s="49"/>
      <c r="D134" s="49"/>
      <c r="G134" s="43">
        <f t="shared" si="4"/>
        <v>28</v>
      </c>
      <c r="H134" s="43">
        <v>100</v>
      </c>
      <c r="I134" s="52">
        <f t="shared" ref="I134:I163" si="5">H134-G134</f>
        <v>72</v>
      </c>
      <c r="J134" s="80">
        <f>Jan!I134+Feb!I134</f>
        <v>172</v>
      </c>
      <c r="K134" s="73"/>
      <c r="L134" s="212"/>
      <c r="M134" s="211">
        <f>28</f>
        <v>28</v>
      </c>
      <c r="N134" s="211"/>
      <c r="O134" s="212"/>
    </row>
    <row r="135" spans="1:17" s="43" customFormat="1" ht="13.5">
      <c r="B135" s="43" t="s">
        <v>305</v>
      </c>
      <c r="G135" s="43">
        <f t="shared" si="4"/>
        <v>24.79</v>
      </c>
      <c r="H135" s="43">
        <v>100</v>
      </c>
      <c r="I135" s="52">
        <f t="shared" si="5"/>
        <v>75.210000000000008</v>
      </c>
      <c r="J135" s="80">
        <f>Jan!I135+Feb!I135</f>
        <v>175.21</v>
      </c>
      <c r="K135" s="73"/>
      <c r="L135" s="212"/>
      <c r="M135" s="211">
        <v>24.79</v>
      </c>
      <c r="N135" s="211"/>
      <c r="O135" s="212"/>
    </row>
    <row r="136" spans="1:17" s="43" customFormat="1" ht="13.5">
      <c r="B136" s="43" t="s">
        <v>306</v>
      </c>
      <c r="G136" s="43">
        <f t="shared" si="4"/>
        <v>0</v>
      </c>
      <c r="H136" s="43">
        <v>30</v>
      </c>
      <c r="I136" s="52">
        <f t="shared" si="5"/>
        <v>30</v>
      </c>
      <c r="J136" s="80">
        <f>Jan!I136+Feb!I136</f>
        <v>58.370000000000005</v>
      </c>
      <c r="K136" s="73"/>
      <c r="L136" s="212"/>
      <c r="M136" s="211"/>
      <c r="N136" s="211"/>
      <c r="O136" s="212"/>
    </row>
    <row r="137" spans="1:17" s="43" customFormat="1" ht="13.5">
      <c r="I137" s="52"/>
      <c r="J137" s="80"/>
      <c r="K137" s="73"/>
      <c r="L137" s="212"/>
      <c r="M137" s="211"/>
      <c r="N137" s="211"/>
      <c r="O137" s="212"/>
    </row>
    <row r="138" spans="1:17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7" s="43" customFormat="1" ht="13.5">
      <c r="B139" s="43" t="s">
        <v>911</v>
      </c>
      <c r="G139" s="43">
        <f t="shared" si="4"/>
        <v>5.43</v>
      </c>
      <c r="H139" s="43">
        <v>10</v>
      </c>
      <c r="I139" s="52">
        <f t="shared" si="5"/>
        <v>4.57</v>
      </c>
      <c r="J139" s="80">
        <f>Jan!I139+Feb!I139</f>
        <v>4.25</v>
      </c>
      <c r="K139" s="73"/>
      <c r="L139" s="212"/>
      <c r="M139" s="211">
        <v>5.43</v>
      </c>
      <c r="N139" s="211"/>
      <c r="O139" s="212"/>
    </row>
    <row r="140" spans="1:17" s="43" customFormat="1" ht="13.5">
      <c r="I140" s="52"/>
      <c r="J140" s="80"/>
      <c r="K140" s="73"/>
      <c r="L140" s="212"/>
      <c r="M140" s="211"/>
      <c r="N140" s="211"/>
      <c r="O140" s="212"/>
    </row>
    <row r="141" spans="1:17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7" s="43" customFormat="1" ht="13.5">
      <c r="B142" s="43" t="s">
        <v>50</v>
      </c>
      <c r="G142" s="43">
        <f t="shared" si="4"/>
        <v>397.19</v>
      </c>
      <c r="H142" s="43">
        <v>150</v>
      </c>
      <c r="I142" s="52">
        <f t="shared" si="5"/>
        <v>-247.19</v>
      </c>
      <c r="J142" s="80">
        <f>Jan!I142+Feb!I142</f>
        <v>-173.82999999999998</v>
      </c>
      <c r="K142" s="73"/>
      <c r="L142" s="212"/>
      <c r="M142" s="211">
        <f>44+44+309.19</f>
        <v>397.19</v>
      </c>
      <c r="N142" s="211"/>
      <c r="O142" s="212"/>
      <c r="Q142" s="43" t="s">
        <v>938</v>
      </c>
    </row>
    <row r="143" spans="1:17" s="43" customFormat="1" ht="13.5">
      <c r="B143" s="43" t="s">
        <v>51</v>
      </c>
      <c r="D143" s="43" t="s">
        <v>137</v>
      </c>
      <c r="G143" s="43">
        <f t="shared" si="4"/>
        <v>0</v>
      </c>
      <c r="H143" s="43">
        <v>100</v>
      </c>
      <c r="I143" s="52">
        <f t="shared" si="5"/>
        <v>100</v>
      </c>
      <c r="J143" s="80">
        <f>Jan!I143+Feb!I143</f>
        <v>174.76</v>
      </c>
      <c r="K143" s="73"/>
      <c r="L143" s="212"/>
      <c r="M143" s="211"/>
      <c r="N143" s="211"/>
      <c r="O143" s="212"/>
    </row>
    <row r="144" spans="1:17" s="43" customFormat="1" ht="13.5">
      <c r="I144" s="52"/>
      <c r="J144" s="80"/>
      <c r="K144" s="73"/>
      <c r="L144" s="212"/>
      <c r="M144" s="211"/>
      <c r="N144" s="211"/>
      <c r="O144" s="212"/>
    </row>
    <row r="145" spans="1:17" s="43" customFormat="1" ht="13.5">
      <c r="I145" s="52"/>
      <c r="J145" s="80"/>
      <c r="K145" s="73"/>
      <c r="L145" s="212"/>
      <c r="M145" s="211"/>
      <c r="N145" s="211"/>
      <c r="O145" s="212"/>
    </row>
    <row r="146" spans="1:17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7" s="43" customFormat="1" ht="14.25" thickBot="1">
      <c r="B147" s="126">
        <f>SUM(G149:G163)</f>
        <v>1554.45</v>
      </c>
      <c r="C147" s="126">
        <f>SUM(H148:H163)</f>
        <v>610</v>
      </c>
      <c r="D147" s="126">
        <f>C147-B147</f>
        <v>-944.45</v>
      </c>
      <c r="I147" s="52"/>
      <c r="J147" s="80"/>
      <c r="K147" s="73"/>
      <c r="L147" s="212"/>
      <c r="M147" s="211"/>
      <c r="N147" s="211"/>
      <c r="O147" s="212"/>
    </row>
    <row r="148" spans="1:17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7" s="43" customFormat="1" ht="14.25" thickBot="1">
      <c r="B149" s="43" t="s">
        <v>134</v>
      </c>
      <c r="G149" s="43">
        <f t="shared" si="4"/>
        <v>0</v>
      </c>
      <c r="H149" s="43">
        <v>100</v>
      </c>
      <c r="I149" s="52">
        <f t="shared" si="5"/>
        <v>100</v>
      </c>
      <c r="J149" s="80">
        <f>Jan!I149+Feb!I149</f>
        <v>200</v>
      </c>
      <c r="K149" s="73"/>
      <c r="L149" s="212"/>
      <c r="M149" s="211"/>
      <c r="N149" s="211"/>
      <c r="O149" s="212"/>
    </row>
    <row r="150" spans="1:17" s="43" customFormat="1" ht="14.25" thickBot="1">
      <c r="A150" s="79">
        <f>SUM(G150:G154)</f>
        <v>0</v>
      </c>
      <c r="B150" s="43" t="s">
        <v>135</v>
      </c>
      <c r="G150" s="43">
        <f t="shared" si="4"/>
        <v>0</v>
      </c>
      <c r="H150" s="43">
        <v>100</v>
      </c>
      <c r="I150" s="52">
        <f t="shared" si="5"/>
        <v>100</v>
      </c>
      <c r="J150" s="80">
        <f>Jan!I150+Feb!I150</f>
        <v>200</v>
      </c>
      <c r="K150" s="73"/>
      <c r="L150" s="212"/>
      <c r="M150" s="211"/>
      <c r="N150" s="211"/>
      <c r="O150" s="212"/>
    </row>
    <row r="151" spans="1:17" s="43" customFormat="1" ht="13.5">
      <c r="B151" s="43" t="s">
        <v>48</v>
      </c>
      <c r="G151" s="43">
        <f t="shared" si="4"/>
        <v>0</v>
      </c>
      <c r="H151" s="43">
        <v>30</v>
      </c>
      <c r="I151" s="52">
        <f t="shared" si="5"/>
        <v>30</v>
      </c>
      <c r="J151" s="80">
        <f>Jan!I151+Feb!I151</f>
        <v>60</v>
      </c>
      <c r="K151" s="78"/>
      <c r="L151" s="212"/>
      <c r="M151" s="211"/>
      <c r="N151" s="211"/>
      <c r="O151" s="212"/>
    </row>
    <row r="152" spans="1:17" s="43" customFormat="1" ht="13.5">
      <c r="B152" s="43" t="s">
        <v>49</v>
      </c>
      <c r="G152" s="43">
        <f t="shared" si="4"/>
        <v>0</v>
      </c>
      <c r="H152" s="43">
        <v>50</v>
      </c>
      <c r="I152" s="52">
        <f t="shared" si="5"/>
        <v>50</v>
      </c>
      <c r="J152" s="80">
        <f>Jan!I152+Feb!I152</f>
        <v>100</v>
      </c>
      <c r="K152" s="78"/>
      <c r="L152" s="212"/>
      <c r="M152" s="211"/>
      <c r="N152" s="211"/>
      <c r="O152" s="212"/>
    </row>
    <row r="153" spans="1:17" ht="13.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80">
        <f>Jan!I153+Feb!I153</f>
        <v>20</v>
      </c>
      <c r="L153" s="212"/>
      <c r="M153" s="211"/>
      <c r="N153" s="211"/>
      <c r="O153" s="212"/>
    </row>
    <row r="154" spans="1:17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7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7" ht="14.2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54.45</v>
      </c>
      <c r="H156" s="43">
        <v>30</v>
      </c>
      <c r="I156" s="52">
        <f t="shared" si="5"/>
        <v>-24.450000000000003</v>
      </c>
      <c r="J156" s="80">
        <f>Jan!I156+Feb!I156</f>
        <v>5.5499999999999972</v>
      </c>
      <c r="L156" s="212"/>
      <c r="M156" s="211">
        <v>54.45</v>
      </c>
      <c r="N156" s="211"/>
      <c r="O156" s="212"/>
      <c r="Q156" s="56" t="s">
        <v>991</v>
      </c>
    </row>
    <row r="157" spans="1:17" ht="14.25" thickBot="1">
      <c r="A157" s="79">
        <f>SUM(G156:G160)</f>
        <v>1554.45</v>
      </c>
      <c r="B157" s="43" t="s">
        <v>308</v>
      </c>
      <c r="C157" s="43"/>
      <c r="D157" s="43"/>
      <c r="E157" s="43"/>
      <c r="F157" s="43"/>
      <c r="G157" s="43">
        <f t="shared" si="4"/>
        <v>0</v>
      </c>
      <c r="H157" s="43">
        <v>30</v>
      </c>
      <c r="I157" s="52">
        <f t="shared" si="5"/>
        <v>30</v>
      </c>
      <c r="J157" s="80">
        <f>Jan!I157+Feb!I157</f>
        <v>-604.54999999999973</v>
      </c>
      <c r="L157" s="212"/>
      <c r="M157" s="211"/>
      <c r="N157" s="211"/>
      <c r="O157" s="212"/>
    </row>
    <row r="158" spans="1:17" ht="13.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80">
        <f>Jan!I158+Feb!I158</f>
        <v>60</v>
      </c>
      <c r="L158" s="212"/>
      <c r="M158" s="211"/>
      <c r="N158" s="211"/>
      <c r="O158" s="212"/>
    </row>
    <row r="159" spans="1:17" ht="13.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80">
        <f>Jan!I159+Feb!I159</f>
        <v>60</v>
      </c>
      <c r="L159" s="212"/>
      <c r="M159" s="211"/>
      <c r="N159" s="211"/>
      <c r="O159" s="212"/>
    </row>
    <row r="160" spans="1:17" ht="13.5">
      <c r="A160" s="43"/>
      <c r="B160" s="43" t="s">
        <v>325</v>
      </c>
      <c r="C160" s="43"/>
      <c r="D160" s="43"/>
      <c r="E160" s="43"/>
      <c r="F160" s="43"/>
      <c r="G160" s="43">
        <f t="shared" si="4"/>
        <v>1500</v>
      </c>
      <c r="H160" s="43">
        <v>100</v>
      </c>
      <c r="I160" s="52">
        <f t="shared" si="5"/>
        <v>-1400</v>
      </c>
      <c r="J160" s="80">
        <f>Jan!I160+Feb!I160</f>
        <v>-1300</v>
      </c>
      <c r="L160" s="212">
        <v>1500</v>
      </c>
      <c r="M160" s="211"/>
      <c r="N160" s="211"/>
      <c r="O160" s="212"/>
      <c r="Q160" s="43" t="s">
        <v>939</v>
      </c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G163" s="56">
        <v>0</v>
      </c>
      <c r="H163" s="43">
        <v>100</v>
      </c>
      <c r="I163" s="52">
        <f t="shared" si="5"/>
        <v>100</v>
      </c>
      <c r="J163" s="80">
        <f>Jan!I163+Feb!I163</f>
        <v>200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A20" zoomScale="84" zoomScaleNormal="84" workbookViewId="0">
      <selection activeCell="L118" sqref="L118"/>
    </sheetView>
  </sheetViews>
  <sheetFormatPr defaultColWidth="9" defaultRowHeight="15.75"/>
  <cols>
    <col min="1" max="1" width="31" style="65" customWidth="1"/>
    <col min="2" max="2" width="18" style="56" customWidth="1"/>
    <col min="3" max="3" width="17.140625" style="56" customWidth="1"/>
    <col min="4" max="5" width="16.5703125" style="56" customWidth="1"/>
    <col min="6" max="6" width="6.42578125" style="83" customWidth="1"/>
    <col min="7" max="7" width="14.5703125" style="56" customWidth="1"/>
    <col min="8" max="8" width="13.85546875" style="56" customWidth="1"/>
    <col min="9" max="10" width="14" style="56" customWidth="1"/>
    <col min="11" max="11" width="2.28515625" style="71" customWidth="1"/>
    <col min="12" max="12" width="11.5703125" style="56" customWidth="1"/>
    <col min="13" max="13" width="11.85546875" style="56" customWidth="1"/>
    <col min="14" max="15" width="11.5703125" style="56" customWidth="1"/>
    <col min="16" max="16" width="1.7109375" style="56" customWidth="1"/>
    <col min="17" max="17" width="11.7109375" style="56" customWidth="1"/>
    <col min="18" max="18" width="11.5703125" style="56" customWidth="1"/>
    <col min="19" max="16384" width="9" style="56"/>
  </cols>
  <sheetData>
    <row r="1" spans="1:16">
      <c r="A1" s="62" t="s">
        <v>102</v>
      </c>
      <c r="B1" s="63">
        <v>2016</v>
      </c>
      <c r="C1" s="63"/>
      <c r="L1" s="64" t="s">
        <v>327</v>
      </c>
    </row>
    <row r="2" spans="1:16">
      <c r="A2" s="62" t="s">
        <v>100</v>
      </c>
      <c r="B2" s="64" t="s">
        <v>8</v>
      </c>
      <c r="C2" s="64"/>
      <c r="M2" s="64" t="s">
        <v>960</v>
      </c>
    </row>
    <row r="3" spans="1:16">
      <c r="B3" s="56" t="s">
        <v>77</v>
      </c>
      <c r="M3" s="64"/>
      <c r="O3"/>
    </row>
    <row r="4" spans="1:16">
      <c r="A4" s="62" t="s">
        <v>4</v>
      </c>
      <c r="B4" s="67">
        <f>SUM(G5:G8)</f>
        <v>20799.809999999998</v>
      </c>
      <c r="C4" s="67"/>
      <c r="G4" s="56" t="s">
        <v>28</v>
      </c>
      <c r="L4" s="68"/>
      <c r="O4"/>
    </row>
    <row r="5" spans="1:16" ht="12.75">
      <c r="A5" s="56" t="s">
        <v>842</v>
      </c>
      <c r="B5" s="106">
        <v>3950.91</v>
      </c>
      <c r="C5" s="107">
        <v>2073.66</v>
      </c>
      <c r="D5" s="56">
        <v>14775.24</v>
      </c>
      <c r="G5" s="106">
        <f>SUM(B5:E5)</f>
        <v>20799.809999999998</v>
      </c>
      <c r="H5" s="68" t="s">
        <v>959</v>
      </c>
      <c r="I5" s="68"/>
      <c r="J5" s="68"/>
      <c r="K5" s="72"/>
      <c r="L5" s="68"/>
      <c r="O5"/>
    </row>
    <row r="6" spans="1:16" ht="12.75">
      <c r="A6" s="56" t="s">
        <v>103</v>
      </c>
      <c r="C6" s="66"/>
      <c r="G6" s="106">
        <f>SUM(B6:E6)</f>
        <v>0</v>
      </c>
      <c r="H6" s="68"/>
      <c r="I6" s="68"/>
      <c r="J6" s="68"/>
      <c r="K6" s="72"/>
      <c r="L6" s="68"/>
      <c r="O6" s="66"/>
    </row>
    <row r="7" spans="1:16" ht="12.75">
      <c r="A7" s="56"/>
      <c r="G7" s="106">
        <f>SUM(B7:E7)</f>
        <v>0</v>
      </c>
      <c r="H7" s="68"/>
      <c r="I7" s="68"/>
      <c r="J7" s="68"/>
      <c r="K7" s="72"/>
      <c r="L7" s="68"/>
      <c r="O7" s="66"/>
    </row>
    <row r="8" spans="1:16">
      <c r="G8" s="106"/>
      <c r="H8" s="68"/>
      <c r="I8" s="68"/>
      <c r="J8" s="68"/>
      <c r="K8" s="72"/>
      <c r="P8" s="66"/>
    </row>
    <row r="9" spans="1:16" ht="13.5">
      <c r="A9" s="49"/>
      <c r="B9" s="53"/>
      <c r="C9" s="43"/>
      <c r="D9" s="43"/>
      <c r="E9" s="43"/>
      <c r="F9" s="159"/>
      <c r="G9" s="46"/>
      <c r="H9" s="43"/>
      <c r="I9" s="52" t="s">
        <v>31</v>
      </c>
      <c r="J9" s="80" t="s">
        <v>146</v>
      </c>
      <c r="M9" s="43"/>
    </row>
    <row r="10" spans="1:16" s="43" customFormat="1" ht="13.5">
      <c r="A10" s="49"/>
      <c r="B10" s="53"/>
      <c r="F10" s="159"/>
      <c r="G10" s="46" t="s">
        <v>106</v>
      </c>
      <c r="H10" s="43" t="s">
        <v>35</v>
      </c>
      <c r="I10" s="54" t="s">
        <v>34</v>
      </c>
      <c r="J10" s="81" t="s">
        <v>34</v>
      </c>
      <c r="K10" s="73"/>
    </row>
    <row r="11" spans="1:16" s="43" customFormat="1" ht="13.5">
      <c r="A11" s="49" t="s">
        <v>141</v>
      </c>
      <c r="B11" s="160">
        <f>G11</f>
        <v>1450</v>
      </c>
      <c r="D11" s="43" t="s">
        <v>143</v>
      </c>
      <c r="E11" s="43">
        <f>G11/B4</f>
        <v>6.9712175255447054E-2</v>
      </c>
      <c r="F11" s="159"/>
      <c r="G11" s="44">
        <f>Tithe!D8</f>
        <v>1450</v>
      </c>
      <c r="H11" s="43">
        <v>1500</v>
      </c>
      <c r="I11" s="55">
        <f>H11-G11</f>
        <v>50</v>
      </c>
      <c r="J11" s="82">
        <f>Jan!I11+Feb!I11+Mar!I11</f>
        <v>350</v>
      </c>
      <c r="K11" s="74"/>
    </row>
    <row r="12" spans="1:16" s="43" customFormat="1" ht="13.5">
      <c r="I12" s="55"/>
      <c r="J12" s="82"/>
      <c r="K12" s="75"/>
      <c r="L12" s="167" t="s">
        <v>328</v>
      </c>
    </row>
    <row r="13" spans="1:16" s="43" customFormat="1" ht="13.5">
      <c r="A13" s="49" t="s">
        <v>314</v>
      </c>
      <c r="B13" s="160">
        <f>SUM(G14:G20)</f>
        <v>0</v>
      </c>
      <c r="F13" s="159"/>
      <c r="G13" s="46"/>
      <c r="I13" s="55"/>
      <c r="J13" s="82"/>
      <c r="K13" s="75"/>
    </row>
    <row r="14" spans="1:16" s="43" customFormat="1" ht="13.5">
      <c r="B14" s="49" t="s">
        <v>924</v>
      </c>
      <c r="E14" s="43" t="s">
        <v>315</v>
      </c>
      <c r="F14" s="159"/>
      <c r="G14" s="44"/>
      <c r="H14" s="43">
        <v>400</v>
      </c>
      <c r="I14" s="55">
        <f t="shared" ref="I14:I20" si="0">H14-G14</f>
        <v>400</v>
      </c>
      <c r="J14" s="82">
        <f>Jan!I14+Feb!I14+Mar!I14</f>
        <v>1200</v>
      </c>
      <c r="K14" s="75"/>
    </row>
    <row r="15" spans="1:16" s="43" customFormat="1" ht="13.5">
      <c r="B15" s="49" t="s">
        <v>129</v>
      </c>
      <c r="E15" s="43" t="s">
        <v>315</v>
      </c>
      <c r="F15" s="159"/>
      <c r="G15" s="44"/>
      <c r="H15" s="43">
        <v>200</v>
      </c>
      <c r="I15" s="55">
        <f t="shared" si="0"/>
        <v>200</v>
      </c>
      <c r="J15" s="82">
        <f>Jan!I15+Feb!I15+Mar!I15</f>
        <v>600</v>
      </c>
      <c r="K15" s="75"/>
    </row>
    <row r="16" spans="1:16" s="43" customFormat="1" ht="13.5">
      <c r="B16" s="49" t="s">
        <v>157</v>
      </c>
      <c r="E16" s="43" t="s">
        <v>315</v>
      </c>
      <c r="F16" s="159"/>
      <c r="G16" s="44"/>
      <c r="H16" s="43">
        <v>300</v>
      </c>
      <c r="I16" s="55">
        <f t="shared" si="0"/>
        <v>300</v>
      </c>
      <c r="J16" s="82">
        <f>Jan!I16+Feb!I16+Mar!I16</f>
        <v>900</v>
      </c>
      <c r="K16" s="75"/>
    </row>
    <row r="17" spans="1:12" s="43" customFormat="1" ht="13.5">
      <c r="B17" s="49" t="s">
        <v>313</v>
      </c>
      <c r="E17" s="43" t="s">
        <v>315</v>
      </c>
      <c r="F17" s="159"/>
      <c r="G17" s="44"/>
      <c r="H17" s="43">
        <v>200</v>
      </c>
      <c r="I17" s="55">
        <f t="shared" si="0"/>
        <v>200</v>
      </c>
      <c r="J17" s="82">
        <f>Jan!I17+Feb!I17+Mar!I17</f>
        <v>600</v>
      </c>
      <c r="K17" s="75"/>
    </row>
    <row r="18" spans="1:12" s="43" customFormat="1" ht="15.95" customHeight="1">
      <c r="B18" s="49" t="s">
        <v>131</v>
      </c>
      <c r="E18" s="43" t="s">
        <v>315</v>
      </c>
      <c r="F18" s="159"/>
      <c r="G18" s="44"/>
      <c r="H18" s="43">
        <v>50</v>
      </c>
      <c r="I18" s="55">
        <f t="shared" si="0"/>
        <v>50</v>
      </c>
      <c r="J18" s="82">
        <f>Jan!I18+Feb!I18+Mar!I18</f>
        <v>150</v>
      </c>
      <c r="K18" s="75"/>
    </row>
    <row r="19" spans="1:12" s="43" customFormat="1" ht="15.95" customHeight="1">
      <c r="B19" s="49" t="s">
        <v>130</v>
      </c>
      <c r="E19" s="43" t="s">
        <v>316</v>
      </c>
      <c r="F19" s="159"/>
      <c r="G19" s="44"/>
      <c r="H19" s="43">
        <v>200</v>
      </c>
      <c r="I19" s="55">
        <f t="shared" si="0"/>
        <v>200</v>
      </c>
      <c r="J19" s="82">
        <f>Jan!I19+Feb!I19+Mar!I19</f>
        <v>600</v>
      </c>
      <c r="K19" s="75"/>
    </row>
    <row r="20" spans="1:12" s="43" customFormat="1" ht="15.95" customHeight="1">
      <c r="B20" s="49" t="s">
        <v>158</v>
      </c>
      <c r="E20" s="43" t="s">
        <v>316</v>
      </c>
      <c r="G20" s="44"/>
      <c r="H20" s="43">
        <v>300</v>
      </c>
      <c r="I20" s="55">
        <f t="shared" si="0"/>
        <v>300</v>
      </c>
      <c r="J20" s="82">
        <f>Jan!I20+Feb!I20+Mar!I20</f>
        <v>900</v>
      </c>
      <c r="K20" s="75"/>
    </row>
    <row r="21" spans="1:12" s="43" customFormat="1" ht="15.95" customHeight="1">
      <c r="A21" s="49"/>
      <c r="F21" s="159"/>
      <c r="G21" s="44"/>
      <c r="I21" s="55"/>
      <c r="J21" s="82"/>
      <c r="K21" s="75"/>
      <c r="L21" s="49" t="s">
        <v>329</v>
      </c>
    </row>
    <row r="22" spans="1:12" s="43" customFormat="1" ht="15.95" customHeight="1">
      <c r="A22" s="49" t="s">
        <v>144</v>
      </c>
      <c r="B22" s="161">
        <f>G22</f>
        <v>0</v>
      </c>
      <c r="F22" s="159"/>
      <c r="G22" s="44"/>
      <c r="H22" s="43">
        <v>0</v>
      </c>
      <c r="I22" s="55">
        <f>H22-G22</f>
        <v>0</v>
      </c>
      <c r="J22" s="82">
        <f>Jan!I22+Feb!I22+Mar!I22</f>
        <v>0</v>
      </c>
      <c r="K22" s="75"/>
    </row>
    <row r="23" spans="1:12" s="43" customFormat="1" ht="15.95" customHeight="1">
      <c r="A23" s="49" t="s">
        <v>276</v>
      </c>
      <c r="B23" s="53" t="s">
        <v>275</v>
      </c>
      <c r="E23" s="43" t="s">
        <v>316</v>
      </c>
      <c r="F23" s="159"/>
      <c r="G23" s="44"/>
      <c r="I23" s="55"/>
      <c r="J23" s="82"/>
      <c r="K23" s="75"/>
    </row>
    <row r="24" spans="1:12" s="43" customFormat="1" ht="15.95" customHeight="1">
      <c r="A24" s="49" t="s">
        <v>145</v>
      </c>
      <c r="B24" s="160">
        <f>SUM(G25:G26)</f>
        <v>0</v>
      </c>
      <c r="F24" s="159"/>
      <c r="G24" s="44"/>
      <c r="I24" s="55"/>
      <c r="J24" s="82"/>
      <c r="K24" s="75"/>
    </row>
    <row r="25" spans="1:12" s="43" customFormat="1" ht="15.95" customHeight="1">
      <c r="B25" s="49" t="s">
        <v>123</v>
      </c>
      <c r="E25" s="43" t="s">
        <v>316</v>
      </c>
      <c r="F25" s="159"/>
      <c r="G25" s="44"/>
      <c r="H25" s="43">
        <v>500</v>
      </c>
      <c r="I25" s="55">
        <f>H25-G25</f>
        <v>500</v>
      </c>
      <c r="J25" s="82">
        <f>Jan!I25+Feb!I25+Mar!I25</f>
        <v>1500</v>
      </c>
      <c r="K25" s="75"/>
    </row>
    <row r="26" spans="1:12" s="43" customFormat="1" ht="12.75" customHeight="1">
      <c r="B26" s="49" t="s">
        <v>133</v>
      </c>
      <c r="E26" s="43" t="s">
        <v>315</v>
      </c>
      <c r="F26" s="159"/>
      <c r="G26" s="44"/>
      <c r="H26" s="43">
        <v>300</v>
      </c>
      <c r="I26" s="55">
        <f>H26-G26</f>
        <v>300</v>
      </c>
      <c r="J26" s="85">
        <f>Jan!I26+Feb!I26+Mar!I26</f>
        <v>900</v>
      </c>
      <c r="K26" s="75"/>
    </row>
    <row r="27" spans="1:12" s="43" customFormat="1" ht="12.75" customHeight="1">
      <c r="A27" s="49"/>
      <c r="F27" s="159"/>
      <c r="G27" s="57"/>
      <c r="H27" s="57"/>
      <c r="I27" s="59"/>
      <c r="J27" s="70"/>
      <c r="K27" s="70"/>
    </row>
    <row r="28" spans="1:12" s="43" customFormat="1" ht="12.75" customHeight="1" thickBot="1">
      <c r="A28" s="49"/>
      <c r="B28" s="49"/>
      <c r="F28" s="159"/>
      <c r="G28" s="58">
        <f>SUM(G14:G26)</f>
        <v>0</v>
      </c>
      <c r="H28" s="58">
        <f>SUM(H11:H26)</f>
        <v>3950</v>
      </c>
      <c r="I28" s="58">
        <f>SUM(I11:I26)</f>
        <v>2500</v>
      </c>
      <c r="J28" s="58">
        <f>SUM(J11:J26)</f>
        <v>7700</v>
      </c>
      <c r="K28" s="76"/>
    </row>
    <row r="29" spans="1:12" s="43" customFormat="1" ht="12.75" customHeight="1" thickTop="1" thickBot="1">
      <c r="H29" s="47"/>
      <c r="I29" s="47"/>
      <c r="J29" s="47"/>
      <c r="K29" s="76"/>
      <c r="L29" s="49" t="s">
        <v>330</v>
      </c>
    </row>
    <row r="30" spans="1:12" s="43" customFormat="1" ht="12.75" customHeight="1" thickBot="1">
      <c r="A30" s="49" t="s">
        <v>149</v>
      </c>
      <c r="B30" s="49"/>
      <c r="F30" s="159"/>
      <c r="G30" s="79"/>
      <c r="H30" s="47"/>
      <c r="I30" s="47"/>
      <c r="J30" s="47"/>
      <c r="K30" s="76"/>
    </row>
    <row r="31" spans="1:12" s="43" customFormat="1" ht="12.75" customHeight="1">
      <c r="A31" s="89" t="s">
        <v>142</v>
      </c>
      <c r="B31" s="49"/>
      <c r="F31" s="159"/>
      <c r="G31" s="164">
        <f>B4-G11-G28+G30</f>
        <v>19349.809999999998</v>
      </c>
      <c r="H31" s="47"/>
      <c r="I31" s="47"/>
      <c r="J31" s="47"/>
      <c r="K31" s="76"/>
      <c r="L31" s="47"/>
    </row>
    <row r="32" spans="1:12" s="43" customFormat="1" ht="12.75" customHeight="1">
      <c r="A32" s="43" t="s">
        <v>318</v>
      </c>
      <c r="B32" s="89"/>
      <c r="C32" s="45"/>
      <c r="D32" s="45"/>
      <c r="E32" s="45"/>
      <c r="F32" s="163"/>
      <c r="G32" s="165">
        <f>G46</f>
        <v>16164.420000000002</v>
      </c>
      <c r="H32" s="47"/>
      <c r="I32" s="47"/>
      <c r="J32" s="47"/>
      <c r="K32" s="76"/>
      <c r="L32" s="47"/>
    </row>
    <row r="33" spans="1:15" s="43" customFormat="1" ht="12.75" customHeight="1">
      <c r="A33" s="49" t="s">
        <v>359</v>
      </c>
      <c r="B33" s="49"/>
      <c r="F33" s="159"/>
      <c r="G33" s="69">
        <f>G31-G32-M42-N42</f>
        <v>3185.3899999999958</v>
      </c>
      <c r="H33" s="47"/>
      <c r="I33" s="47"/>
      <c r="J33" s="47"/>
      <c r="K33" s="76"/>
      <c r="L33" s="47"/>
    </row>
    <row r="34" spans="1:15" s="43" customFormat="1" ht="12.75" customHeight="1">
      <c r="H34" s="47"/>
      <c r="I34" s="47"/>
      <c r="J34" s="47"/>
      <c r="K34" s="76"/>
      <c r="L34" s="47"/>
    </row>
    <row r="35" spans="1:15" s="43" customFormat="1" ht="12.75" customHeight="1">
      <c r="A35" s="49"/>
      <c r="B35" s="49"/>
      <c r="F35" s="159"/>
      <c r="G35" s="113"/>
      <c r="H35" s="47"/>
      <c r="I35" s="47"/>
      <c r="J35" s="47"/>
      <c r="K35" s="76"/>
      <c r="L35" s="47"/>
    </row>
    <row r="36" spans="1:15" s="43" customFormat="1" ht="12.75" customHeight="1">
      <c r="A36" s="49"/>
      <c r="B36" s="49"/>
      <c r="F36" s="159"/>
      <c r="G36" s="69"/>
      <c r="H36" s="47"/>
      <c r="I36" s="47"/>
      <c r="J36" s="47"/>
      <c r="K36" s="76"/>
      <c r="L36" s="47"/>
    </row>
    <row r="37" spans="1:15" s="43" customFormat="1" ht="13.5">
      <c r="A37" s="49"/>
      <c r="B37" s="49"/>
      <c r="F37" s="159"/>
      <c r="G37" s="69"/>
      <c r="H37" s="47"/>
      <c r="I37" s="47"/>
      <c r="J37" s="47"/>
      <c r="K37" s="76"/>
      <c r="L37" s="47"/>
    </row>
    <row r="38" spans="1:15" s="43" customFormat="1" ht="13.5">
      <c r="A38" s="49"/>
      <c r="B38" s="49"/>
      <c r="F38" s="159"/>
      <c r="G38" s="69"/>
      <c r="H38" s="47"/>
      <c r="I38" s="47"/>
      <c r="J38" s="47"/>
      <c r="K38" s="76"/>
      <c r="L38" s="47"/>
    </row>
    <row r="39" spans="1:15" s="43" customFormat="1" ht="13.5">
      <c r="A39" s="49"/>
      <c r="B39" s="49"/>
      <c r="F39" s="159"/>
      <c r="G39" s="88"/>
      <c r="H39" s="47"/>
      <c r="I39" s="47"/>
      <c r="J39" s="47"/>
      <c r="K39" s="76"/>
      <c r="L39" s="47"/>
    </row>
    <row r="40" spans="1:15" s="43" customFormat="1" ht="13.5">
      <c r="A40" s="49"/>
      <c r="B40" s="49"/>
      <c r="F40" s="159"/>
      <c r="G40" s="88"/>
      <c r="H40" s="47"/>
      <c r="I40" s="47"/>
      <c r="J40" s="47"/>
      <c r="K40" s="76"/>
      <c r="L40" s="47">
        <f>SUM(L46:O46)</f>
        <v>16164.420000000002</v>
      </c>
    </row>
    <row r="41" spans="1:15" s="43" customFormat="1" ht="13.5">
      <c r="A41" s="89"/>
      <c r="B41" s="49"/>
      <c r="F41" s="159"/>
      <c r="G41" s="88"/>
      <c r="H41" s="47"/>
      <c r="I41" s="47"/>
      <c r="J41" s="47"/>
      <c r="K41" s="76"/>
      <c r="L41" s="47"/>
      <c r="M41" s="43">
        <f>M46+M44+M43+M42</f>
        <v>1410.13</v>
      </c>
      <c r="N41" s="43">
        <f>N46+N44+N43+N42</f>
        <v>675.19999999999993</v>
      </c>
      <c r="O41" s="43">
        <f>O46+O44+O43+O42</f>
        <v>53.48</v>
      </c>
    </row>
    <row r="42" spans="1:15" s="43" customFormat="1" ht="13.5">
      <c r="B42" s="49"/>
      <c r="C42" s="50"/>
      <c r="D42" s="50"/>
      <c r="F42" s="159"/>
      <c r="G42" s="88"/>
      <c r="H42" s="47"/>
      <c r="I42" s="47"/>
      <c r="J42" s="47"/>
      <c r="K42" s="76"/>
      <c r="L42" s="43" t="s">
        <v>182</v>
      </c>
    </row>
    <row r="43" spans="1:15" s="43" customFormat="1" ht="13.5">
      <c r="B43" s="49"/>
      <c r="F43" s="159"/>
      <c r="I43" s="52"/>
      <c r="J43" s="80" t="s">
        <v>146</v>
      </c>
      <c r="K43" s="73"/>
    </row>
    <row r="44" spans="1:15" s="43" customFormat="1" ht="13.5">
      <c r="A44" s="49"/>
      <c r="F44" s="159"/>
      <c r="G44" s="46"/>
      <c r="I44" s="52" t="s">
        <v>31</v>
      </c>
      <c r="J44" s="80" t="s">
        <v>147</v>
      </c>
      <c r="K44" s="73"/>
      <c r="L44" s="43" t="s">
        <v>761</v>
      </c>
      <c r="M44" s="43">
        <v>100</v>
      </c>
    </row>
    <row r="45" spans="1:15" s="43" customFormat="1" ht="13.5">
      <c r="A45" s="49"/>
      <c r="F45" s="159"/>
      <c r="G45" s="46" t="s">
        <v>106</v>
      </c>
      <c r="H45" s="43" t="s">
        <v>35</v>
      </c>
      <c r="I45" s="54" t="s">
        <v>34</v>
      </c>
      <c r="J45" s="81" t="s">
        <v>148</v>
      </c>
      <c r="K45" s="74"/>
      <c r="L45" s="205" t="s">
        <v>107</v>
      </c>
      <c r="M45" s="206" t="s">
        <v>332</v>
      </c>
      <c r="N45" s="206" t="s">
        <v>598</v>
      </c>
      <c r="O45" s="206" t="s">
        <v>216</v>
      </c>
    </row>
    <row r="46" spans="1:15" s="43" customFormat="1" ht="14.25" thickBot="1">
      <c r="D46"/>
      <c r="E46" s="162"/>
      <c r="F46" s="159"/>
      <c r="G46" s="84">
        <f>SUM(G48:G163)</f>
        <v>16164.420000000002</v>
      </c>
      <c r="H46" s="84">
        <f>SUM(H48:H163)</f>
        <v>4626.9500000000007</v>
      </c>
      <c r="I46" s="84">
        <f>H46-G46</f>
        <v>-11537.470000000001</v>
      </c>
      <c r="J46" s="84">
        <f>SUM(J48:J163)</f>
        <v>-16157.590000000004</v>
      </c>
      <c r="K46" s="77"/>
      <c r="L46" s="207">
        <f>SUM(L49:L163)</f>
        <v>14125.61</v>
      </c>
      <c r="M46" s="208">
        <f>SUM(M49:M163)</f>
        <v>1310.1300000000001</v>
      </c>
      <c r="N46" s="209">
        <f>SUM(N49:N163)</f>
        <v>675.19999999999993</v>
      </c>
      <c r="O46" s="209">
        <f>SUM(O49:O163)</f>
        <v>53.48</v>
      </c>
    </row>
    <row r="47" spans="1:15" s="43" customFormat="1" ht="14.25" thickBot="1">
      <c r="A47" s="89" t="s">
        <v>292</v>
      </c>
      <c r="B47" s="157">
        <f>B48+B61+B65</f>
        <v>14023.820000000002</v>
      </c>
      <c r="C47" s="157">
        <f>C48+C61+C65</f>
        <v>797.95000000000027</v>
      </c>
      <c r="D47" s="79">
        <f>D48+D61+D65</f>
        <v>-13225.87</v>
      </c>
      <c r="I47" s="52"/>
      <c r="J47" s="80"/>
      <c r="K47" s="73"/>
      <c r="L47" s="210"/>
      <c r="M47" s="211"/>
      <c r="N47" s="211"/>
      <c r="O47" s="212"/>
    </row>
    <row r="48" spans="1:15" s="43" customFormat="1" ht="13.5">
      <c r="A48" s="49" t="s">
        <v>278</v>
      </c>
      <c r="B48" s="49">
        <f>SUM(G49:G57)</f>
        <v>13778.95</v>
      </c>
      <c r="C48" s="49">
        <f>SUM(H49:H57)</f>
        <v>457.95000000000027</v>
      </c>
      <c r="D48" s="49">
        <f>SUM(I49:I57)</f>
        <v>-13321</v>
      </c>
      <c r="I48" s="52"/>
      <c r="J48" s="80"/>
      <c r="K48" s="73"/>
      <c r="L48" s="210"/>
      <c r="M48" s="211"/>
      <c r="N48" s="211"/>
      <c r="O48" s="212"/>
    </row>
    <row r="49" spans="1:15" s="43" customFormat="1" ht="13.5">
      <c r="B49" s="43" t="s">
        <v>185</v>
      </c>
      <c r="G49" s="43">
        <f>SUM(L49:O49)</f>
        <v>0</v>
      </c>
      <c r="H49" s="43">
        <v>0</v>
      </c>
      <c r="I49" s="52">
        <f t="shared" ref="I49:I57" si="1">H49-G49</f>
        <v>0</v>
      </c>
      <c r="J49" s="80">
        <f>Jan!I49+Feb!I49+Mar!I49</f>
        <v>0</v>
      </c>
      <c r="K49" s="73"/>
      <c r="L49" s="210"/>
      <c r="M49" s="211"/>
      <c r="N49" s="211"/>
      <c r="O49" s="212"/>
    </row>
    <row r="50" spans="1:15" s="43" customFormat="1" ht="13.5">
      <c r="A50" s="49"/>
      <c r="B50" s="43" t="s">
        <v>280</v>
      </c>
      <c r="G50" s="43">
        <f t="shared" ref="G50:G103" si="2">SUM(L50:O50)</f>
        <v>0</v>
      </c>
      <c r="H50" s="43">
        <v>0</v>
      </c>
      <c r="I50" s="52">
        <f t="shared" si="1"/>
        <v>0</v>
      </c>
      <c r="J50" s="80">
        <f>Jan!I50+Feb!I50+Mar!I50</f>
        <v>0</v>
      </c>
      <c r="K50" s="73"/>
      <c r="L50" s="210"/>
      <c r="M50" s="211"/>
      <c r="N50" s="211"/>
      <c r="O50" s="212"/>
    </row>
    <row r="51" spans="1:15" s="43" customFormat="1" ht="13.5">
      <c r="A51" s="49"/>
      <c r="B51" s="43" t="s">
        <v>281</v>
      </c>
      <c r="G51" s="43">
        <f t="shared" si="2"/>
        <v>0</v>
      </c>
      <c r="H51" s="43">
        <v>100</v>
      </c>
      <c r="I51" s="52">
        <f t="shared" si="1"/>
        <v>100</v>
      </c>
      <c r="J51" s="80">
        <f>Jan!I51+Feb!I51+Mar!I51</f>
        <v>300</v>
      </c>
      <c r="K51" s="73"/>
      <c r="L51" s="210"/>
      <c r="M51" s="211"/>
      <c r="N51" s="211"/>
      <c r="O51" s="212"/>
    </row>
    <row r="52" spans="1:15" s="43" customFormat="1" ht="13.5">
      <c r="A52" s="49"/>
      <c r="B52" s="43" t="s">
        <v>279</v>
      </c>
      <c r="G52" s="43">
        <f t="shared" si="2"/>
        <v>0</v>
      </c>
      <c r="H52" s="43">
        <v>100</v>
      </c>
      <c r="I52" s="52">
        <f t="shared" si="1"/>
        <v>100</v>
      </c>
      <c r="J52" s="80">
        <f>Jan!I52+Feb!I52+Mar!I52</f>
        <v>300</v>
      </c>
      <c r="K52" s="73"/>
      <c r="L52" s="210"/>
      <c r="M52" s="211"/>
      <c r="N52" s="211"/>
      <c r="O52" s="212"/>
    </row>
    <row r="53" spans="1:15" s="43" customFormat="1" ht="13.5">
      <c r="A53" s="49"/>
      <c r="B53" s="43" t="s">
        <v>597</v>
      </c>
      <c r="G53" s="43">
        <f t="shared" si="2"/>
        <v>610</v>
      </c>
      <c r="H53" s="43">
        <v>610</v>
      </c>
      <c r="I53" s="52">
        <f t="shared" si="1"/>
        <v>0</v>
      </c>
      <c r="J53" s="80">
        <f>Jan!I53+Feb!I53+Mar!I53</f>
        <v>0</v>
      </c>
      <c r="K53" s="73"/>
      <c r="L53" s="210">
        <v>610</v>
      </c>
      <c r="M53" s="211"/>
      <c r="N53" s="211"/>
      <c r="O53" s="212"/>
    </row>
    <row r="54" spans="1:15" s="43" customFormat="1" ht="13.5">
      <c r="A54" s="49"/>
      <c r="B54" s="43" t="s">
        <v>288</v>
      </c>
      <c r="G54" s="43">
        <f t="shared" si="2"/>
        <v>601</v>
      </c>
      <c r="H54" s="43">
        <v>80</v>
      </c>
      <c r="I54" s="52">
        <f t="shared" si="1"/>
        <v>-521</v>
      </c>
      <c r="J54" s="80">
        <f>Jan!I54+Feb!I54+Mar!I54</f>
        <v>-361</v>
      </c>
      <c r="K54" s="73"/>
      <c r="L54" s="210"/>
      <c r="M54" s="211">
        <v>601</v>
      </c>
      <c r="N54" s="211"/>
      <c r="O54" s="212"/>
    </row>
    <row r="55" spans="1:15" s="43" customFormat="1" ht="13.5">
      <c r="A55" s="49"/>
      <c r="B55" s="43" t="s">
        <v>186</v>
      </c>
      <c r="G55" s="43">
        <f t="shared" si="2"/>
        <v>14636.68</v>
      </c>
      <c r="H55" s="43">
        <v>1636.68</v>
      </c>
      <c r="I55" s="52">
        <f t="shared" si="1"/>
        <v>-13000</v>
      </c>
      <c r="J55" s="80">
        <f>Jan!I55+Feb!I55+Mar!I55</f>
        <v>-17363.32</v>
      </c>
      <c r="K55" s="73"/>
      <c r="L55" s="212">
        <f>1636.68+3000+10000</f>
        <v>14636.68</v>
      </c>
      <c r="M55" s="211"/>
      <c r="N55" s="211"/>
      <c r="O55" s="212"/>
    </row>
    <row r="56" spans="1:15" s="43" customFormat="1" ht="13.5">
      <c r="A56" s="49"/>
      <c r="B56" s="43" t="s">
        <v>246</v>
      </c>
      <c r="G56" s="43">
        <f t="shared" si="2"/>
        <v>431.27</v>
      </c>
      <c r="H56" s="43">
        <v>431.27</v>
      </c>
      <c r="I56" s="52">
        <f t="shared" si="1"/>
        <v>0</v>
      </c>
      <c r="J56" s="80">
        <f>Jan!I56+Feb!I56+Mar!I56</f>
        <v>431.27</v>
      </c>
      <c r="K56" s="73"/>
      <c r="L56" s="212">
        <v>431.27</v>
      </c>
      <c r="M56" s="211"/>
      <c r="N56" s="211"/>
      <c r="O56" s="212"/>
    </row>
    <row r="57" spans="1:15" s="43" customFormat="1" ht="13.5">
      <c r="A57" s="49"/>
      <c r="B57" s="43" t="s">
        <v>200</v>
      </c>
      <c r="G57" s="43">
        <f t="shared" si="2"/>
        <v>-2500</v>
      </c>
      <c r="H57" s="43">
        <v>-2500</v>
      </c>
      <c r="I57" s="52">
        <f t="shared" si="1"/>
        <v>0</v>
      </c>
      <c r="J57" s="80">
        <f>Jan!I57+Feb!I57+Mar!I57</f>
        <v>0</v>
      </c>
      <c r="K57" s="73"/>
      <c r="L57" s="212">
        <v>-2500</v>
      </c>
      <c r="M57" s="211"/>
      <c r="N57" s="211"/>
      <c r="O57" s="212"/>
    </row>
    <row r="58" spans="1:15" s="43" customFormat="1" ht="13.5">
      <c r="I58" s="52"/>
      <c r="J58" s="80"/>
      <c r="K58" s="73"/>
      <c r="L58" s="212"/>
      <c r="M58" s="211"/>
      <c r="N58" s="211"/>
      <c r="O58" s="212"/>
    </row>
    <row r="59" spans="1:15" s="43" customFormat="1" ht="13.5">
      <c r="I59" s="52"/>
      <c r="J59" s="80"/>
      <c r="K59" s="73"/>
      <c r="L59" s="212"/>
      <c r="M59" s="211"/>
      <c r="N59" s="211"/>
      <c r="O59" s="212"/>
    </row>
    <row r="60" spans="1:15" s="43" customFormat="1" ht="13.5">
      <c r="A60" s="49" t="s">
        <v>286</v>
      </c>
      <c r="I60" s="52"/>
      <c r="J60" s="80"/>
      <c r="K60" s="73"/>
      <c r="L60" s="212"/>
      <c r="M60" s="211"/>
      <c r="N60" s="211"/>
      <c r="O60" s="212"/>
    </row>
    <row r="61" spans="1:15" s="43" customFormat="1" ht="13.5">
      <c r="A61" s="49"/>
      <c r="B61" s="49">
        <f>SUM(G62:G63)</f>
        <v>215.86</v>
      </c>
      <c r="C61" s="49">
        <f>SUM(H62:H63)</f>
        <v>260</v>
      </c>
      <c r="D61" s="49">
        <f>C61-B61</f>
        <v>44.139999999999986</v>
      </c>
      <c r="I61" s="52"/>
      <c r="J61" s="80"/>
      <c r="K61" s="73"/>
      <c r="L61" s="212"/>
      <c r="M61" s="211"/>
      <c r="N61" s="211"/>
      <c r="O61" s="212"/>
    </row>
    <row r="62" spans="1:15" s="43" customFormat="1" ht="13.5">
      <c r="A62" s="49"/>
      <c r="B62" s="43" t="s">
        <v>881</v>
      </c>
      <c r="G62" s="43">
        <f t="shared" si="2"/>
        <v>215.86</v>
      </c>
      <c r="H62" s="43">
        <v>150</v>
      </c>
      <c r="I62" s="52">
        <f>H62-G62</f>
        <v>-65.860000000000014</v>
      </c>
      <c r="J62" s="80">
        <f>Jan!I62+Feb!I62+Mar!I62</f>
        <v>69.37</v>
      </c>
      <c r="K62" s="73"/>
      <c r="L62" s="212"/>
      <c r="M62" s="211">
        <f>132.61+83.25</f>
        <v>215.86</v>
      </c>
      <c r="N62" s="211"/>
      <c r="O62" s="212"/>
    </row>
    <row r="63" spans="1:15" s="43" customFormat="1" ht="13.5">
      <c r="A63" s="49"/>
      <c r="B63" s="43" t="s">
        <v>290</v>
      </c>
      <c r="D63" s="56"/>
      <c r="G63" s="43">
        <f t="shared" si="2"/>
        <v>0</v>
      </c>
      <c r="H63" s="43">
        <v>110</v>
      </c>
      <c r="I63" s="52">
        <f>H63-G63</f>
        <v>110</v>
      </c>
      <c r="J63" s="80">
        <f>Jan!I63+Feb!I63+Mar!I63</f>
        <v>116.92</v>
      </c>
      <c r="K63" s="73"/>
      <c r="L63" s="212"/>
      <c r="M63" s="211"/>
      <c r="N63" s="211"/>
      <c r="O63" s="212"/>
    </row>
    <row r="64" spans="1:15" s="43" customFormat="1" ht="13.5">
      <c r="A64" s="49"/>
      <c r="I64" s="52"/>
      <c r="J64" s="80"/>
      <c r="K64" s="73"/>
      <c r="L64" s="212"/>
      <c r="M64" s="211"/>
      <c r="N64" s="211"/>
      <c r="O64" s="212"/>
    </row>
    <row r="65" spans="1:17" s="43" customFormat="1" ht="13.5">
      <c r="A65" s="49" t="s">
        <v>287</v>
      </c>
      <c r="B65" s="49">
        <f>SUM(G66:G68)</f>
        <v>29.01</v>
      </c>
      <c r="C65" s="49">
        <f>SUM(H66:H68)</f>
        <v>80</v>
      </c>
      <c r="D65" s="49">
        <f>C65-B65</f>
        <v>50.989999999999995</v>
      </c>
      <c r="I65" s="52"/>
      <c r="J65" s="80"/>
      <c r="K65" s="73"/>
      <c r="L65" s="212"/>
      <c r="M65" s="211"/>
      <c r="N65" s="211"/>
      <c r="O65" s="212"/>
    </row>
    <row r="66" spans="1:17" s="43" customFormat="1" ht="13.5">
      <c r="B66" s="43" t="s">
        <v>902</v>
      </c>
      <c r="G66" s="43">
        <f t="shared" si="2"/>
        <v>0</v>
      </c>
      <c r="H66" s="43">
        <v>30</v>
      </c>
      <c r="I66" s="52">
        <f>H66-G66</f>
        <v>30</v>
      </c>
      <c r="J66" s="80">
        <f>Jan!I66+Feb!I66+Mar!I66</f>
        <v>65</v>
      </c>
      <c r="K66" s="73"/>
      <c r="L66" s="212"/>
      <c r="M66" s="211"/>
      <c r="N66" s="211"/>
      <c r="O66" s="212"/>
    </row>
    <row r="67" spans="1:17" s="43" customFormat="1" ht="13.5">
      <c r="B67" s="43" t="s">
        <v>903</v>
      </c>
      <c r="G67" s="43">
        <f t="shared" si="2"/>
        <v>19.010000000000002</v>
      </c>
      <c r="H67" s="43">
        <v>20</v>
      </c>
      <c r="I67" s="52">
        <f>H67-G67</f>
        <v>0.98999999999999844</v>
      </c>
      <c r="J67" s="80">
        <f>Jan!I67+Feb!I67+Mar!I67</f>
        <v>40.989999999999995</v>
      </c>
      <c r="K67" s="73"/>
      <c r="L67" s="212"/>
      <c r="M67" s="211">
        <v>19.010000000000002</v>
      </c>
      <c r="N67" s="211"/>
      <c r="O67" s="212"/>
    </row>
    <row r="68" spans="1:17" s="43" customFormat="1" ht="13.5">
      <c r="B68" s="43" t="s">
        <v>904</v>
      </c>
      <c r="D68" s="43" t="s">
        <v>901</v>
      </c>
      <c r="G68" s="43">
        <f t="shared" si="2"/>
        <v>10</v>
      </c>
      <c r="H68" s="43">
        <v>30</v>
      </c>
      <c r="I68" s="52">
        <f>H68-G68</f>
        <v>20</v>
      </c>
      <c r="J68" s="80">
        <f>Jan!I68+Feb!I68+Mar!I68</f>
        <v>79</v>
      </c>
      <c r="K68" s="73"/>
      <c r="L68" s="212"/>
      <c r="M68" s="211">
        <f>10</f>
        <v>10</v>
      </c>
      <c r="N68" s="211"/>
      <c r="O68" s="212"/>
    </row>
    <row r="69" spans="1:17" s="43" customFormat="1" ht="13.5">
      <c r="I69" s="52"/>
      <c r="J69" s="80"/>
      <c r="K69" s="73"/>
      <c r="L69" s="212"/>
      <c r="M69" s="211"/>
      <c r="N69" s="211"/>
      <c r="O69" s="212"/>
    </row>
    <row r="70" spans="1:17" s="43" customFormat="1" ht="13.5">
      <c r="A70" s="49" t="s">
        <v>282</v>
      </c>
      <c r="B70" s="49">
        <f>SUM(G72:G73)</f>
        <v>0</v>
      </c>
      <c r="C70" s="49">
        <f>SUM(H71:H73)</f>
        <v>70</v>
      </c>
      <c r="D70" s="49">
        <f>C70-B70</f>
        <v>70</v>
      </c>
      <c r="I70" s="52"/>
      <c r="J70" s="80"/>
      <c r="K70" s="73"/>
      <c r="L70" s="212"/>
      <c r="M70" s="211"/>
      <c r="N70" s="211"/>
      <c r="O70" s="212"/>
    </row>
    <row r="71" spans="1:17" s="43" customFormat="1" ht="13.5">
      <c r="B71" s="43" t="s">
        <v>283</v>
      </c>
      <c r="G71" s="43">
        <f t="shared" si="2"/>
        <v>153.43</v>
      </c>
      <c r="H71" s="43">
        <v>25</v>
      </c>
      <c r="I71" s="52">
        <f>H71-G71</f>
        <v>-128.43</v>
      </c>
      <c r="J71" s="80">
        <f>Jan!I71+Feb!I71+Mar!I71</f>
        <v>-117.87</v>
      </c>
      <c r="K71" s="73"/>
      <c r="L71" s="212"/>
      <c r="M71" s="211">
        <f>99.95</f>
        <v>99.95</v>
      </c>
      <c r="N71" s="211"/>
      <c r="O71" s="212">
        <v>53.48</v>
      </c>
      <c r="Q71" s="43" t="s">
        <v>956</v>
      </c>
    </row>
    <row r="72" spans="1:17" s="43" customFormat="1" ht="13.5">
      <c r="A72" s="49"/>
      <c r="B72" s="43" t="s">
        <v>284</v>
      </c>
      <c r="G72" s="43">
        <f t="shared" si="2"/>
        <v>0</v>
      </c>
      <c r="H72" s="43">
        <v>25</v>
      </c>
      <c r="I72" s="52">
        <f>H72-G72</f>
        <v>25</v>
      </c>
      <c r="J72" s="80">
        <f>Jan!I72+Feb!I72+Mar!I72</f>
        <v>75</v>
      </c>
      <c r="K72" s="73"/>
      <c r="L72" s="212"/>
      <c r="M72" s="211"/>
      <c r="N72" s="211"/>
      <c r="O72" s="212"/>
    </row>
    <row r="73" spans="1:17" s="43" customFormat="1" ht="13.5">
      <c r="A73" s="49"/>
      <c r="B73" s="43" t="s">
        <v>289</v>
      </c>
      <c r="G73" s="43">
        <f t="shared" si="2"/>
        <v>0</v>
      </c>
      <c r="H73" s="43">
        <v>20</v>
      </c>
      <c r="I73" s="52">
        <f t="shared" ref="I73:I136" si="3">H73-G73</f>
        <v>20</v>
      </c>
      <c r="J73" s="80">
        <f>Jan!I73+Feb!I73+Mar!I73</f>
        <v>60</v>
      </c>
      <c r="K73" s="73"/>
      <c r="L73" s="212"/>
      <c r="M73" s="211"/>
      <c r="N73" s="211"/>
      <c r="O73" s="212"/>
    </row>
    <row r="74" spans="1:17" s="43" customFormat="1" ht="13.5">
      <c r="A74" s="49"/>
      <c r="I74" s="52"/>
      <c r="J74" s="80"/>
      <c r="K74" s="73"/>
      <c r="L74" s="212"/>
      <c r="M74" s="211"/>
      <c r="N74" s="211"/>
      <c r="O74" s="212"/>
    </row>
    <row r="75" spans="1:17" s="43" customFormat="1" ht="13.5">
      <c r="A75" s="49" t="s">
        <v>285</v>
      </c>
      <c r="B75" s="43" t="s">
        <v>45</v>
      </c>
      <c r="G75" s="43">
        <f t="shared" si="2"/>
        <v>109.09</v>
      </c>
      <c r="H75" s="43">
        <v>75</v>
      </c>
      <c r="I75" s="52">
        <f t="shared" si="3"/>
        <v>-34.090000000000003</v>
      </c>
      <c r="J75" s="80">
        <f>Jan!I75+Feb!I75+Mar!I75</f>
        <v>-8.3699999999999974</v>
      </c>
      <c r="K75" s="73"/>
      <c r="L75" s="212"/>
      <c r="M75" s="211">
        <f>2.49+4.23+2.4+3.5+5.25+4.63+15.54+2.4+2.4+8.71+2.4+2.4+4.47+2.4+4.41+30+2.58+2.4+2.4+4.08</f>
        <v>109.09</v>
      </c>
      <c r="N75" s="211"/>
      <c r="O75" s="212"/>
    </row>
    <row r="76" spans="1:17" s="43" customFormat="1" ht="14.25" thickBot="1">
      <c r="A76" s="49"/>
      <c r="I76" s="52"/>
      <c r="J76" s="80"/>
      <c r="K76" s="73"/>
      <c r="L76" s="212"/>
      <c r="M76" s="211"/>
      <c r="N76" s="211"/>
      <c r="O76" s="212"/>
    </row>
    <row r="77" spans="1:17" s="43" customFormat="1" ht="14.25" thickBot="1">
      <c r="A77" s="89" t="s">
        <v>291</v>
      </c>
      <c r="B77" s="187">
        <f>B80+B86+B91+B100+B105+B111+B117+B130+B133+B138+B141</f>
        <v>1518.96</v>
      </c>
      <c r="C77" s="187">
        <f>C80+C86+C91+C100+C105+C111+C117+C130+C133+C138+C141</f>
        <v>2849</v>
      </c>
      <c r="D77" s="187">
        <f>D80+D86+D91+D100+D105+D111+D117+D130+D133+D138+D141</f>
        <v>1280.04</v>
      </c>
      <c r="I77" s="52"/>
      <c r="J77" s="80"/>
      <c r="K77" s="73"/>
      <c r="L77" s="212"/>
      <c r="M77" s="211"/>
      <c r="N77" s="211"/>
      <c r="O77" s="212"/>
    </row>
    <row r="78" spans="1:17" s="43" customFormat="1" ht="13.5">
      <c r="A78" s="89"/>
      <c r="B78" s="195"/>
      <c r="C78" s="195"/>
      <c r="D78" s="195"/>
      <c r="I78" s="52"/>
      <c r="J78" s="80"/>
      <c r="K78" s="73"/>
      <c r="L78" s="212"/>
      <c r="M78" s="211"/>
      <c r="N78" s="211"/>
      <c r="O78" s="212"/>
    </row>
    <row r="79" spans="1:17" s="43" customFormat="1" ht="13.5">
      <c r="A79" s="49" t="s">
        <v>905</v>
      </c>
      <c r="I79" s="52"/>
      <c r="J79" s="80"/>
      <c r="K79" s="73"/>
      <c r="L79" s="212"/>
      <c r="M79" s="211"/>
      <c r="N79" s="211"/>
      <c r="O79" s="212"/>
    </row>
    <row r="80" spans="1:17" s="43" customFormat="1" ht="13.5">
      <c r="A80" s="49" t="s">
        <v>885</v>
      </c>
      <c r="B80" s="49">
        <f>SUM(G81:G85)</f>
        <v>257.66000000000003</v>
      </c>
      <c r="C80" s="49">
        <f>SUM(H81:H84)</f>
        <v>290</v>
      </c>
      <c r="D80" s="49">
        <f>C80-B80</f>
        <v>32.339999999999975</v>
      </c>
      <c r="I80" s="52"/>
      <c r="J80" s="80"/>
      <c r="K80" s="73"/>
      <c r="L80" s="212"/>
      <c r="M80" s="211"/>
      <c r="N80" s="211"/>
      <c r="O80" s="212"/>
    </row>
    <row r="81" spans="1:15" s="43" customFormat="1" ht="13.5">
      <c r="B81" s="43" t="s">
        <v>25</v>
      </c>
      <c r="D81" s="43" t="s">
        <v>882</v>
      </c>
      <c r="G81" s="43">
        <f t="shared" si="2"/>
        <v>84.5</v>
      </c>
      <c r="H81" s="43">
        <v>100</v>
      </c>
      <c r="I81" s="52">
        <f t="shared" si="3"/>
        <v>15.5</v>
      </c>
      <c r="J81" s="80">
        <f>Jan!I81+Feb!I81+Mar!I81</f>
        <v>41.709999999999994</v>
      </c>
      <c r="K81" s="73"/>
      <c r="L81" s="212">
        <v>84.5</v>
      </c>
      <c r="M81" s="211"/>
      <c r="N81" s="211"/>
      <c r="O81" s="212"/>
    </row>
    <row r="82" spans="1:15" s="43" customFormat="1" ht="13.5">
      <c r="B82" s="43" t="s">
        <v>596</v>
      </c>
      <c r="D82" s="43" t="s">
        <v>883</v>
      </c>
      <c r="G82" s="43">
        <f t="shared" si="2"/>
        <v>52.64</v>
      </c>
      <c r="H82" s="43">
        <v>60</v>
      </c>
      <c r="I82" s="52">
        <f t="shared" si="3"/>
        <v>7.3599999999999994</v>
      </c>
      <c r="J82" s="80">
        <f>Jan!I82+Feb!I82+Mar!I82</f>
        <v>7.1200000000000045</v>
      </c>
      <c r="K82" s="73"/>
      <c r="L82" s="212">
        <v>52.64</v>
      </c>
      <c r="M82" s="211"/>
      <c r="N82" s="211"/>
      <c r="O82" s="212"/>
    </row>
    <row r="83" spans="1:15" s="43" customFormat="1" ht="13.5">
      <c r="B83" s="43" t="s">
        <v>602</v>
      </c>
      <c r="C83" s="43" t="s">
        <v>733</v>
      </c>
      <c r="D83" s="43" t="s">
        <v>617</v>
      </c>
      <c r="G83" s="43">
        <f t="shared" si="2"/>
        <v>86.29</v>
      </c>
      <c r="H83" s="43">
        <v>100</v>
      </c>
      <c r="I83" s="52">
        <f t="shared" si="3"/>
        <v>13.709999999999994</v>
      </c>
      <c r="J83" s="80">
        <f>Jan!I83+Feb!I83+Mar!I83</f>
        <v>28.909999999999997</v>
      </c>
      <c r="K83" s="73"/>
      <c r="L83" s="212">
        <v>86.29</v>
      </c>
      <c r="M83" s="211"/>
      <c r="N83" s="211"/>
      <c r="O83" s="212"/>
    </row>
    <row r="84" spans="1:15" s="43" customFormat="1" ht="13.5">
      <c r="B84" s="43" t="s">
        <v>890</v>
      </c>
      <c r="C84" s="43" t="s">
        <v>733</v>
      </c>
      <c r="D84" s="43" t="s">
        <v>617</v>
      </c>
      <c r="G84" s="43">
        <f t="shared" si="2"/>
        <v>34.229999999999997</v>
      </c>
      <c r="H84" s="43">
        <v>30</v>
      </c>
      <c r="I84" s="52">
        <f t="shared" si="3"/>
        <v>-4.2299999999999969</v>
      </c>
      <c r="J84" s="80">
        <f>Jan!I84+Feb!I84+Mar!I84</f>
        <v>-13.169999999999995</v>
      </c>
      <c r="K84" s="73"/>
      <c r="L84" s="212">
        <v>34.229999999999997</v>
      </c>
      <c r="M84" s="211"/>
      <c r="N84" s="211"/>
      <c r="O84" s="212"/>
    </row>
    <row r="85" spans="1:15" s="43" customFormat="1" ht="13.5">
      <c r="I85" s="52"/>
      <c r="J85" s="80"/>
      <c r="K85" s="73"/>
      <c r="L85" s="212"/>
      <c r="M85" s="211"/>
      <c r="N85" s="211"/>
      <c r="O85" s="212"/>
    </row>
    <row r="86" spans="1:15" s="43" customFormat="1" ht="13.5">
      <c r="A86" s="49" t="s">
        <v>37</v>
      </c>
      <c r="B86" s="49">
        <f>SUM(G88:G90)</f>
        <v>0</v>
      </c>
      <c r="C86" s="49">
        <f>SUM(H87:H89)</f>
        <v>336</v>
      </c>
      <c r="D86" s="49">
        <f>C86-B86</f>
        <v>336</v>
      </c>
      <c r="I86" s="52"/>
      <c r="J86" s="80"/>
      <c r="K86" s="73"/>
      <c r="L86" s="212"/>
      <c r="M86" s="211"/>
      <c r="N86" s="211"/>
      <c r="O86" s="212"/>
    </row>
    <row r="87" spans="1:15" s="43" customFormat="1" ht="13.5">
      <c r="B87" s="43" t="s">
        <v>884</v>
      </c>
      <c r="D87" s="43" t="s">
        <v>896</v>
      </c>
      <c r="G87" s="43">
        <f t="shared" si="2"/>
        <v>0</v>
      </c>
      <c r="H87" s="43">
        <v>100</v>
      </c>
      <c r="I87" s="52">
        <f t="shared" si="3"/>
        <v>100</v>
      </c>
      <c r="J87" s="80">
        <f>Jan!I87+Feb!I87+Mar!I87</f>
        <v>300</v>
      </c>
      <c r="K87" s="73"/>
      <c r="L87" s="212"/>
      <c r="M87" s="211"/>
      <c r="N87" s="211"/>
      <c r="O87" s="212"/>
    </row>
    <row r="88" spans="1:15" s="43" customFormat="1" ht="13.5">
      <c r="B88" s="43" t="s">
        <v>38</v>
      </c>
      <c r="D88" s="43" t="s">
        <v>642</v>
      </c>
      <c r="G88" s="43">
        <f t="shared" si="2"/>
        <v>0</v>
      </c>
      <c r="H88" s="43">
        <v>200</v>
      </c>
      <c r="I88" s="52">
        <f t="shared" si="3"/>
        <v>200</v>
      </c>
      <c r="J88" s="80">
        <f>Jan!I88+Feb!I88+Mar!I88</f>
        <v>-325</v>
      </c>
      <c r="K88" s="73"/>
      <c r="L88" s="212"/>
      <c r="M88" s="211"/>
      <c r="N88" s="211"/>
      <c r="O88" s="212"/>
    </row>
    <row r="89" spans="1:15" s="43" customFormat="1" ht="13.5">
      <c r="B89" s="43" t="s">
        <v>39</v>
      </c>
      <c r="D89" s="43" t="s">
        <v>643</v>
      </c>
      <c r="G89" s="43">
        <f t="shared" si="2"/>
        <v>0</v>
      </c>
      <c r="H89" s="43">
        <v>36</v>
      </c>
      <c r="I89" s="52">
        <f t="shared" si="3"/>
        <v>36</v>
      </c>
      <c r="J89" s="80">
        <f>Jan!I89+Feb!I89+Mar!I89</f>
        <v>108</v>
      </c>
      <c r="K89" s="73"/>
      <c r="L89" s="212"/>
      <c r="M89" s="211"/>
      <c r="N89" s="211"/>
      <c r="O89" s="212"/>
    </row>
    <row r="90" spans="1:15" s="43" customFormat="1" ht="13.5">
      <c r="I90" s="52"/>
      <c r="J90" s="80"/>
      <c r="K90" s="73"/>
      <c r="L90" s="212"/>
      <c r="M90" s="211"/>
      <c r="N90" s="211"/>
      <c r="O90" s="212"/>
    </row>
    <row r="91" spans="1:15" s="43" customFormat="1" ht="13.5">
      <c r="A91" s="49" t="s">
        <v>40</v>
      </c>
      <c r="B91" s="49">
        <f>SUM(G93:G99)</f>
        <v>0</v>
      </c>
      <c r="C91" s="49">
        <f>SUM(H92:H98)</f>
        <v>178</v>
      </c>
      <c r="D91" s="49">
        <f>C91-B91</f>
        <v>178</v>
      </c>
      <c r="I91" s="52"/>
      <c r="J91" s="80"/>
      <c r="K91" s="73"/>
      <c r="L91" s="212"/>
      <c r="M91" s="211"/>
      <c r="N91" s="211"/>
      <c r="O91" s="212"/>
    </row>
    <row r="92" spans="1:15" s="43" customFormat="1" ht="13.5">
      <c r="B92" s="43" t="s">
        <v>293</v>
      </c>
      <c r="G92" s="43">
        <f t="shared" si="2"/>
        <v>0</v>
      </c>
      <c r="H92" s="43">
        <v>20</v>
      </c>
      <c r="I92" s="52">
        <f t="shared" si="3"/>
        <v>20</v>
      </c>
      <c r="J92" s="80">
        <f>Jan!I92+Feb!I92+Mar!I92</f>
        <v>60</v>
      </c>
      <c r="K92" s="73"/>
      <c r="L92" s="212"/>
      <c r="M92" s="211"/>
      <c r="N92" s="211"/>
      <c r="O92" s="212"/>
    </row>
    <row r="93" spans="1:15" s="43" customFormat="1" ht="13.5">
      <c r="B93" s="43" t="s">
        <v>294</v>
      </c>
      <c r="G93" s="43">
        <f t="shared" si="2"/>
        <v>0</v>
      </c>
      <c r="H93" s="43">
        <v>5</v>
      </c>
      <c r="I93" s="52">
        <f t="shared" si="3"/>
        <v>5</v>
      </c>
      <c r="J93" s="80">
        <f>Jan!I93+Feb!I93+Mar!I93</f>
        <v>15</v>
      </c>
      <c r="K93" s="73"/>
      <c r="L93" s="212"/>
      <c r="M93" s="211"/>
      <c r="N93" s="211"/>
      <c r="O93" s="212"/>
    </row>
    <row r="94" spans="1:15" s="43" customFormat="1" ht="13.5">
      <c r="B94" s="43" t="s">
        <v>165</v>
      </c>
      <c r="G94" s="43">
        <f t="shared" si="2"/>
        <v>0</v>
      </c>
      <c r="H94" s="43">
        <v>65</v>
      </c>
      <c r="I94" s="52">
        <f t="shared" si="3"/>
        <v>65</v>
      </c>
      <c r="J94" s="80">
        <f>Jan!I94+Feb!I94+Mar!I94</f>
        <v>195</v>
      </c>
      <c r="K94" s="73"/>
      <c r="L94" s="212"/>
      <c r="M94" s="211"/>
      <c r="N94" s="211"/>
      <c r="O94" s="212"/>
    </row>
    <row r="95" spans="1:15" s="43" customFormat="1" ht="13.5">
      <c r="B95" s="43" t="s">
        <v>127</v>
      </c>
      <c r="G95" s="43">
        <f t="shared" si="2"/>
        <v>0</v>
      </c>
      <c r="H95" s="43">
        <v>15</v>
      </c>
      <c r="I95" s="52">
        <f t="shared" si="3"/>
        <v>15</v>
      </c>
      <c r="J95" s="80">
        <f>Jan!I95+Feb!I95+Mar!I95</f>
        <v>45</v>
      </c>
      <c r="K95" s="73"/>
      <c r="L95" s="212"/>
      <c r="M95" s="211"/>
      <c r="N95" s="211"/>
      <c r="O95" s="212"/>
    </row>
    <row r="96" spans="1:15" s="43" customFormat="1" ht="13.5">
      <c r="B96" s="43" t="s">
        <v>906</v>
      </c>
      <c r="G96" s="43">
        <f t="shared" si="2"/>
        <v>0</v>
      </c>
      <c r="H96" s="43">
        <v>35</v>
      </c>
      <c r="I96" s="52">
        <f t="shared" si="3"/>
        <v>35</v>
      </c>
      <c r="J96" s="80">
        <f>Jan!I96+Feb!I96+Mar!I96</f>
        <v>105</v>
      </c>
      <c r="K96" s="73"/>
      <c r="L96" s="212"/>
      <c r="M96" s="211"/>
      <c r="N96" s="211"/>
      <c r="O96" s="212"/>
    </row>
    <row r="97" spans="1:17" s="43" customFormat="1" ht="13.5">
      <c r="B97" s="43" t="s">
        <v>295</v>
      </c>
      <c r="G97" s="43">
        <f t="shared" si="2"/>
        <v>0</v>
      </c>
      <c r="H97" s="43">
        <v>26</v>
      </c>
      <c r="I97" s="52">
        <f t="shared" si="3"/>
        <v>26</v>
      </c>
      <c r="J97" s="80">
        <f>Jan!I97+Feb!I97+Mar!I97</f>
        <v>78</v>
      </c>
      <c r="K97" s="73"/>
      <c r="L97" s="212"/>
      <c r="M97" s="211"/>
      <c r="N97" s="211"/>
      <c r="O97" s="212"/>
    </row>
    <row r="98" spans="1:17" s="43" customFormat="1" ht="13.5">
      <c r="B98" s="43" t="s">
        <v>296</v>
      </c>
      <c r="G98" s="43">
        <f t="shared" si="2"/>
        <v>0</v>
      </c>
      <c r="H98" s="43">
        <v>12</v>
      </c>
      <c r="I98" s="52">
        <f t="shared" si="3"/>
        <v>12</v>
      </c>
      <c r="J98" s="80">
        <f>Jan!I98+Feb!I98+Mar!I98</f>
        <v>36</v>
      </c>
      <c r="K98" s="73"/>
      <c r="L98" s="212"/>
      <c r="M98" s="211"/>
      <c r="N98" s="211"/>
      <c r="O98" s="212"/>
    </row>
    <row r="99" spans="1:17" s="43" customFormat="1" ht="13.5">
      <c r="I99" s="52"/>
      <c r="J99" s="80"/>
      <c r="K99" s="73"/>
      <c r="L99" s="212"/>
      <c r="M99" s="211"/>
      <c r="N99" s="211"/>
      <c r="O99" s="212"/>
    </row>
    <row r="100" spans="1:17" s="43" customFormat="1" ht="13.5">
      <c r="A100" s="49" t="s">
        <v>108</v>
      </c>
      <c r="B100" s="49">
        <f>SUM(G102:G104)</f>
        <v>59.910000000000004</v>
      </c>
      <c r="C100" s="49">
        <f>SUM(H101:H103)</f>
        <v>170</v>
      </c>
      <c r="D100" s="49">
        <f>C100-B100</f>
        <v>110.09</v>
      </c>
      <c r="I100" s="52"/>
      <c r="J100" s="80"/>
      <c r="K100" s="73"/>
      <c r="L100" s="212"/>
      <c r="M100" s="211"/>
      <c r="N100" s="211"/>
      <c r="O100" s="212"/>
    </row>
    <row r="101" spans="1:17" s="43" customFormat="1" ht="13.5">
      <c r="B101" s="43" t="s">
        <v>322</v>
      </c>
      <c r="G101" s="43">
        <f t="shared" si="2"/>
        <v>0</v>
      </c>
      <c r="H101" s="43">
        <v>60</v>
      </c>
      <c r="I101" s="52">
        <f t="shared" si="3"/>
        <v>60</v>
      </c>
      <c r="J101" s="80">
        <f>Jan!I101+Feb!I101+Mar!I101</f>
        <v>180</v>
      </c>
      <c r="K101" s="73"/>
      <c r="L101" s="212"/>
      <c r="M101" s="211"/>
      <c r="N101" s="211"/>
      <c r="O101" s="212"/>
    </row>
    <row r="102" spans="1:17" s="43" customFormat="1" ht="13.5">
      <c r="B102" s="89" t="s">
        <v>645</v>
      </c>
      <c r="G102" s="43">
        <f t="shared" si="2"/>
        <v>59.910000000000004</v>
      </c>
      <c r="H102" s="43">
        <v>100</v>
      </c>
      <c r="I102" s="52">
        <f t="shared" si="3"/>
        <v>40.089999999999996</v>
      </c>
      <c r="J102" s="80">
        <f>Jan!I102+Feb!I102+Mar!I102</f>
        <v>240.09</v>
      </c>
      <c r="K102" s="73"/>
      <c r="L102" s="212"/>
      <c r="M102" s="211"/>
      <c r="N102" s="211">
        <f>107.51-38.59-9.01</f>
        <v>59.910000000000004</v>
      </c>
      <c r="O102" s="212"/>
      <c r="Q102" s="43" t="s">
        <v>958</v>
      </c>
    </row>
    <row r="103" spans="1:17" s="43" customFormat="1" ht="13.5">
      <c r="B103" s="43" t="s">
        <v>126</v>
      </c>
      <c r="G103" s="43">
        <f t="shared" si="2"/>
        <v>0</v>
      </c>
      <c r="H103" s="43">
        <v>10</v>
      </c>
      <c r="I103" s="52">
        <f t="shared" si="3"/>
        <v>10</v>
      </c>
      <c r="J103" s="80">
        <f>Jan!I103+Feb!I103+Mar!I103</f>
        <v>30</v>
      </c>
      <c r="K103" s="73"/>
      <c r="L103" s="212"/>
      <c r="M103" s="211"/>
      <c r="N103" s="211"/>
      <c r="O103" s="212"/>
    </row>
    <row r="104" spans="1:17" s="43" customFormat="1" ht="13.5">
      <c r="I104" s="52"/>
      <c r="J104" s="80"/>
      <c r="K104" s="73"/>
      <c r="L104" s="212"/>
      <c r="M104" s="211"/>
      <c r="N104" s="211"/>
      <c r="O104" s="212"/>
    </row>
    <row r="105" spans="1:17" s="43" customFormat="1" ht="13.5">
      <c r="A105" s="49" t="s">
        <v>44</v>
      </c>
      <c r="B105" s="49">
        <f>SUM(G107:G109)</f>
        <v>0</v>
      </c>
      <c r="C105" s="49">
        <f>SUM(H106:H108)</f>
        <v>200</v>
      </c>
      <c r="D105" s="49">
        <f>C105-B105</f>
        <v>200</v>
      </c>
      <c r="I105" s="52"/>
      <c r="J105" s="80"/>
      <c r="K105" s="73"/>
      <c r="L105" s="212"/>
      <c r="M105" s="211"/>
      <c r="N105" s="211"/>
      <c r="O105" s="212"/>
    </row>
    <row r="106" spans="1:17" s="43" customFormat="1" ht="13.5">
      <c r="B106" s="43" t="s">
        <v>297</v>
      </c>
      <c r="G106" s="43">
        <f t="shared" ref="G106:G159" si="4">SUM(L106:O106)</f>
        <v>0</v>
      </c>
      <c r="H106" s="43">
        <v>100</v>
      </c>
      <c r="I106" s="52">
        <f t="shared" si="3"/>
        <v>100</v>
      </c>
      <c r="J106" s="80">
        <f>Jan!I106+Feb!I106+Mar!I106</f>
        <v>270</v>
      </c>
      <c r="K106" s="73"/>
      <c r="L106" s="212"/>
      <c r="M106" s="211"/>
      <c r="N106" s="211"/>
      <c r="O106" s="212"/>
    </row>
    <row r="107" spans="1:17" s="43" customFormat="1" ht="13.5">
      <c r="B107" s="43" t="s">
        <v>644</v>
      </c>
      <c r="G107" s="43">
        <f t="shared" si="4"/>
        <v>0</v>
      </c>
      <c r="H107" s="43">
        <v>25</v>
      </c>
      <c r="I107" s="52">
        <f t="shared" si="3"/>
        <v>25</v>
      </c>
      <c r="J107" s="80">
        <f>Jan!I107+Feb!I107+Mar!I107</f>
        <v>75</v>
      </c>
      <c r="K107" s="73"/>
      <c r="L107" s="212"/>
      <c r="M107" s="211"/>
      <c r="N107" s="211"/>
      <c r="O107" s="212"/>
    </row>
    <row r="108" spans="1:17" s="43" customFormat="1" ht="13.5">
      <c r="B108" s="43" t="s">
        <v>897</v>
      </c>
      <c r="D108" s="43" t="s">
        <v>899</v>
      </c>
      <c r="G108" s="43">
        <f t="shared" si="4"/>
        <v>0</v>
      </c>
      <c r="H108" s="43">
        <v>75</v>
      </c>
      <c r="I108" s="52">
        <f t="shared" si="3"/>
        <v>75</v>
      </c>
      <c r="J108" s="80">
        <f>Jan!I108+Feb!I108+Mar!I108</f>
        <v>225</v>
      </c>
      <c r="K108" s="73"/>
      <c r="L108" s="212"/>
      <c r="M108" s="211"/>
      <c r="N108" s="211"/>
      <c r="O108" s="212"/>
    </row>
    <row r="109" spans="1:17" s="43" customFormat="1" ht="13.5">
      <c r="B109" s="43" t="s">
        <v>898</v>
      </c>
      <c r="D109" s="43" t="s">
        <v>900</v>
      </c>
      <c r="G109" s="43">
        <f t="shared" si="4"/>
        <v>0</v>
      </c>
      <c r="H109" s="43">
        <v>25</v>
      </c>
      <c r="I109" s="52">
        <f t="shared" si="3"/>
        <v>25</v>
      </c>
      <c r="J109" s="80">
        <f>Jan!I109+Feb!I109+Mar!I109</f>
        <v>33.480000000000004</v>
      </c>
      <c r="K109" s="73"/>
      <c r="L109" s="212"/>
      <c r="M109" s="211"/>
      <c r="N109" s="211"/>
      <c r="O109" s="212"/>
    </row>
    <row r="110" spans="1:17" s="43" customFormat="1" ht="13.5">
      <c r="I110" s="52"/>
      <c r="J110" s="80"/>
      <c r="K110" s="73"/>
      <c r="L110" s="212"/>
      <c r="M110" s="211"/>
      <c r="N110" s="211"/>
      <c r="O110" s="212"/>
    </row>
    <row r="111" spans="1:17" s="43" customFormat="1" ht="13.5">
      <c r="A111" s="49" t="s">
        <v>46</v>
      </c>
      <c r="B111" s="49">
        <f>SUM(G113:G116)</f>
        <v>434.1</v>
      </c>
      <c r="C111" s="49">
        <f>SUM(H112:H114)</f>
        <v>415</v>
      </c>
      <c r="D111" s="49">
        <f>C111-B111</f>
        <v>-19.100000000000023</v>
      </c>
      <c r="I111" s="52"/>
      <c r="J111" s="80"/>
      <c r="K111" s="73"/>
      <c r="L111" s="212"/>
      <c r="M111" s="211"/>
      <c r="N111" s="211"/>
      <c r="O111" s="212"/>
    </row>
    <row r="112" spans="1:17" s="43" customFormat="1" ht="13.5">
      <c r="B112" s="43" t="s">
        <v>324</v>
      </c>
      <c r="D112" s="43" t="s">
        <v>47</v>
      </c>
      <c r="G112" s="43">
        <f t="shared" si="4"/>
        <v>0</v>
      </c>
      <c r="H112" s="43">
        <v>150</v>
      </c>
      <c r="I112" s="52">
        <f t="shared" si="3"/>
        <v>150</v>
      </c>
      <c r="J112" s="80">
        <f>Jan!I112+Feb!I112+Mar!I112</f>
        <v>221</v>
      </c>
      <c r="K112" s="73"/>
      <c r="L112" s="212"/>
      <c r="M112" s="211"/>
      <c r="N112" s="238"/>
      <c r="O112" s="212"/>
    </row>
    <row r="113" spans="1:17" s="43" customFormat="1" ht="13.5">
      <c r="A113" s="49"/>
      <c r="B113" s="43" t="s">
        <v>323</v>
      </c>
      <c r="G113" s="43">
        <f t="shared" si="4"/>
        <v>194.1</v>
      </c>
      <c r="H113" s="43">
        <v>215</v>
      </c>
      <c r="I113" s="52">
        <f t="shared" si="3"/>
        <v>20.900000000000006</v>
      </c>
      <c r="J113" s="80">
        <f>Jan!I113+Feb!I113+Mar!I113</f>
        <v>450.9</v>
      </c>
      <c r="K113" s="73"/>
      <c r="L113" s="212">
        <f>80+72</f>
        <v>152</v>
      </c>
      <c r="M113" s="211">
        <f>18.1+24</f>
        <v>42.1</v>
      </c>
      <c r="N113" s="211"/>
      <c r="O113" s="212"/>
      <c r="Q113" s="43" t="s">
        <v>1044</v>
      </c>
    </row>
    <row r="114" spans="1:17" s="43" customFormat="1" ht="13.5">
      <c r="A114" s="49"/>
      <c r="B114" s="43" t="s">
        <v>317</v>
      </c>
      <c r="G114" s="43">
        <f t="shared" si="4"/>
        <v>240</v>
      </c>
      <c r="H114" s="43">
        <v>50</v>
      </c>
      <c r="I114" s="52">
        <f t="shared" si="3"/>
        <v>-190</v>
      </c>
      <c r="J114" s="80">
        <f>Jan!I114+Feb!I114+Mar!I114</f>
        <v>-3450</v>
      </c>
      <c r="K114" s="73"/>
      <c r="L114" s="212">
        <f>120+120</f>
        <v>240</v>
      </c>
      <c r="M114" s="211"/>
      <c r="N114" s="211"/>
      <c r="O114" s="212"/>
      <c r="Q114" s="43" t="s">
        <v>957</v>
      </c>
    </row>
    <row r="115" spans="1:17" s="43" customFormat="1" ht="13.5">
      <c r="A115" s="49"/>
      <c r="B115" s="43" t="s">
        <v>907</v>
      </c>
      <c r="G115" s="43">
        <f t="shared" si="4"/>
        <v>0</v>
      </c>
      <c r="H115" s="43">
        <v>100</v>
      </c>
      <c r="I115" s="52">
        <f t="shared" si="3"/>
        <v>100</v>
      </c>
      <c r="J115" s="80">
        <f>Jan!I115+Feb!I115+Mar!I115</f>
        <v>300</v>
      </c>
      <c r="K115" s="73"/>
      <c r="L115" s="212"/>
      <c r="M115" s="211"/>
      <c r="N115" s="211"/>
      <c r="O115" s="212"/>
    </row>
    <row r="116" spans="1:17" s="43" customFormat="1" ht="13.5">
      <c r="A116" s="49"/>
      <c r="I116" s="52"/>
      <c r="J116" s="80"/>
      <c r="K116" s="73"/>
      <c r="L116" s="212"/>
      <c r="M116" s="211"/>
      <c r="N116" s="211"/>
      <c r="O116" s="212"/>
    </row>
    <row r="117" spans="1:17" s="43" customFormat="1" ht="13.5">
      <c r="A117" s="49" t="s">
        <v>41</v>
      </c>
      <c r="B117" s="49">
        <f>SUM(G119:G129)</f>
        <v>767.29</v>
      </c>
      <c r="C117" s="49">
        <f>SUM(H118:H128)</f>
        <v>820</v>
      </c>
      <c r="D117" s="49">
        <f>C117-B117</f>
        <v>52.710000000000036</v>
      </c>
      <c r="I117" s="52"/>
      <c r="J117" s="80"/>
      <c r="K117" s="73"/>
      <c r="L117" s="212"/>
      <c r="M117" s="211"/>
      <c r="N117" s="211"/>
      <c r="O117" s="212"/>
    </row>
    <row r="118" spans="1:17" s="43" customFormat="1" ht="13.5">
      <c r="B118" s="43" t="s">
        <v>42</v>
      </c>
      <c r="G118" s="43">
        <f t="shared" si="4"/>
        <v>298</v>
      </c>
      <c r="H118" s="43">
        <v>100</v>
      </c>
      <c r="I118" s="52">
        <f t="shared" si="3"/>
        <v>-198</v>
      </c>
      <c r="J118" s="80">
        <f>Jan!I118+Feb!I118+Mar!I118</f>
        <v>-433</v>
      </c>
      <c r="K118" s="73"/>
      <c r="L118" s="212">
        <v>298</v>
      </c>
      <c r="M118" s="211"/>
      <c r="N118" s="211"/>
      <c r="O118" s="212"/>
      <c r="Q118" s="105">
        <v>42398</v>
      </c>
    </row>
    <row r="119" spans="1:17" s="43" customFormat="1" ht="13.5">
      <c r="B119" s="43" t="s">
        <v>908</v>
      </c>
      <c r="G119" s="43">
        <f t="shared" si="4"/>
        <v>140</v>
      </c>
      <c r="H119" s="43">
        <v>100</v>
      </c>
      <c r="I119" s="52">
        <f t="shared" si="3"/>
        <v>-40</v>
      </c>
      <c r="J119" s="80">
        <f>Jan!I119+Feb!I119+Mar!I119</f>
        <v>97.47999999999999</v>
      </c>
      <c r="K119" s="73"/>
      <c r="L119" s="212"/>
      <c r="M119" s="211">
        <v>140</v>
      </c>
      <c r="N119" s="211"/>
      <c r="O119" s="212"/>
      <c r="Q119" s="43" t="s">
        <v>947</v>
      </c>
    </row>
    <row r="120" spans="1:17" s="43" customFormat="1" ht="14.25" thickBot="1">
      <c r="B120" s="43" t="s">
        <v>304</v>
      </c>
      <c r="G120" s="43">
        <f t="shared" si="4"/>
        <v>589.25</v>
      </c>
      <c r="H120" s="43">
        <v>500</v>
      </c>
      <c r="I120" s="52">
        <f t="shared" si="3"/>
        <v>-89.25</v>
      </c>
      <c r="J120" s="80">
        <f>Jan!I120+Feb!I120+Mar!I120</f>
        <v>384.75</v>
      </c>
      <c r="K120" s="73"/>
      <c r="L120" s="212"/>
      <c r="M120" s="211"/>
      <c r="N120" s="211">
        <f>55.68+13.52+62.52+70.57+8.25+(54.6-26.04)+62.88+34.89+5.99+53.07+134.86+20.37+38.09</f>
        <v>589.25</v>
      </c>
      <c r="O120" s="212"/>
    </row>
    <row r="121" spans="1:17" s="43" customFormat="1" ht="14.25" thickBot="1">
      <c r="C121" s="43" t="s">
        <v>298</v>
      </c>
      <c r="E121" s="79">
        <f>14</f>
        <v>14</v>
      </c>
      <c r="I121" s="52"/>
      <c r="J121" s="80"/>
      <c r="K121" s="73"/>
      <c r="L121" s="212"/>
      <c r="M121" s="211"/>
      <c r="N121" s="211"/>
      <c r="O121" s="212"/>
    </row>
    <row r="122" spans="1:17" s="43" customFormat="1" ht="13.5">
      <c r="B122" s="43" t="s">
        <v>164</v>
      </c>
      <c r="G122" s="43">
        <f t="shared" si="4"/>
        <v>38.04</v>
      </c>
      <c r="H122" s="43">
        <v>50</v>
      </c>
      <c r="I122" s="52">
        <f t="shared" si="3"/>
        <v>11.96</v>
      </c>
      <c r="J122" s="80">
        <f>Jan!I122+Feb!I122+Mar!I122</f>
        <v>111.96000000000001</v>
      </c>
      <c r="K122" s="73"/>
      <c r="L122" s="212"/>
      <c r="M122" s="211">
        <f>12</f>
        <v>12</v>
      </c>
      <c r="N122" s="211">
        <f>26.04</f>
        <v>26.04</v>
      </c>
      <c r="O122" s="212"/>
      <c r="Q122" s="43" t="s">
        <v>949</v>
      </c>
    </row>
    <row r="123" spans="1:17" s="43" customFormat="1" ht="14.25" thickBot="1">
      <c r="B123" s="43" t="s">
        <v>43</v>
      </c>
      <c r="G123" s="43">
        <f t="shared" si="4"/>
        <v>0</v>
      </c>
      <c r="H123" s="43">
        <v>50</v>
      </c>
      <c r="I123" s="52">
        <f t="shared" si="3"/>
        <v>50</v>
      </c>
      <c r="J123" s="80">
        <f>Jan!I123+Feb!I123+Mar!I123</f>
        <v>82.04</v>
      </c>
      <c r="K123" s="73"/>
      <c r="L123" s="212"/>
      <c r="M123" s="211"/>
      <c r="N123" s="211"/>
      <c r="O123" s="212"/>
    </row>
    <row r="124" spans="1:17" s="43" customFormat="1" ht="14.25" thickBot="1">
      <c r="C124" s="157" t="s">
        <v>299</v>
      </c>
      <c r="D124" s="158"/>
      <c r="E124" s="79">
        <f>Jan!E135+Feb!E143+Mar!E143+Apr!E143+May!E143+Jun!E143+July!E143+Aug!E143+Sep!E143+Oct!E143+Nov!E143+Dec!E143</f>
        <v>0</v>
      </c>
      <c r="I124" s="52"/>
      <c r="J124" s="80"/>
      <c r="K124" s="73"/>
      <c r="L124" s="212"/>
      <c r="M124" s="211"/>
      <c r="N124" s="211"/>
      <c r="O124" s="212"/>
    </row>
    <row r="125" spans="1:17" s="43" customFormat="1" ht="14.25" thickBot="1">
      <c r="C125" s="157" t="s">
        <v>300</v>
      </c>
      <c r="D125" s="158"/>
      <c r="E125" s="79">
        <f>Jan!E136+Feb!E144+Mar!E144+Apr!E144+May!E144+Jun!E144+July!E144+Aug!E144+Sep!E144+Oct!E144+Nov!E144+Dec!E144</f>
        <v>0</v>
      </c>
      <c r="I125" s="52"/>
      <c r="J125" s="80"/>
      <c r="K125" s="73"/>
      <c r="L125" s="212"/>
      <c r="M125" s="211"/>
      <c r="N125" s="211"/>
      <c r="O125" s="212"/>
    </row>
    <row r="126" spans="1:17" s="43" customFormat="1" ht="14.25" thickBot="1">
      <c r="C126" s="157" t="s">
        <v>301</v>
      </c>
      <c r="D126" s="158"/>
      <c r="E126" s="79">
        <f>Jan!E137+Feb!E145+Mar!E145+Apr!E145+May!E145+Jun!E145+July!E145+Aug!E145+Sep!E145+Oct!E145+Nov!E145+Dec!E145</f>
        <v>0</v>
      </c>
      <c r="I126" s="52"/>
      <c r="J126" s="80"/>
      <c r="K126" s="73"/>
      <c r="L126" s="212"/>
      <c r="M126" s="211"/>
      <c r="N126" s="211"/>
      <c r="O126" s="212"/>
    </row>
    <row r="127" spans="1:17" s="43" customFormat="1" ht="14.25" thickBot="1">
      <c r="C127" s="157" t="s">
        <v>302</v>
      </c>
      <c r="D127" s="158"/>
      <c r="E127" s="79">
        <f>Jan!E138+Feb!E146+Mar!E146+Apr!E146+May!E146+Jun!E146+July!E146+Aug!E146+Sep!E146+Oct!E146+Nov!E146+Dec!E146</f>
        <v>0</v>
      </c>
      <c r="I127" s="52"/>
      <c r="J127" s="80"/>
      <c r="K127" s="73"/>
      <c r="L127" s="212"/>
      <c r="M127" s="211"/>
      <c r="N127" s="211"/>
      <c r="O127" s="212"/>
    </row>
    <row r="128" spans="1:17" s="43" customFormat="1" ht="13.5">
      <c r="B128" s="43" t="s">
        <v>303</v>
      </c>
      <c r="G128" s="43">
        <f t="shared" si="4"/>
        <v>0</v>
      </c>
      <c r="H128" s="43">
        <v>20</v>
      </c>
      <c r="I128" s="52">
        <f>H128-G128</f>
        <v>20</v>
      </c>
      <c r="J128" s="80">
        <f>Jan!I128+Feb!I128+Mar!I128</f>
        <v>60</v>
      </c>
      <c r="K128" s="73"/>
      <c r="L128" s="212"/>
      <c r="M128" s="211"/>
      <c r="N128" s="211"/>
      <c r="O128" s="212"/>
    </row>
    <row r="129" spans="1:17" s="43" customFormat="1" ht="13.5">
      <c r="I129" s="52"/>
      <c r="J129" s="80"/>
      <c r="K129" s="73"/>
      <c r="L129" s="212"/>
      <c r="M129" s="211"/>
      <c r="N129" s="211"/>
      <c r="O129" s="212"/>
    </row>
    <row r="130" spans="1:17" s="43" customFormat="1" ht="13.5">
      <c r="A130" s="49" t="s">
        <v>52</v>
      </c>
      <c r="B130" s="49">
        <f>G132</f>
        <v>0</v>
      </c>
      <c r="C130" s="49">
        <f>H131</f>
        <v>50</v>
      </c>
      <c r="D130" s="49">
        <f>I132</f>
        <v>0</v>
      </c>
      <c r="I130" s="52"/>
      <c r="J130" s="80"/>
      <c r="K130" s="73"/>
      <c r="L130" s="212"/>
      <c r="M130" s="211"/>
      <c r="N130" s="211"/>
      <c r="O130" s="212"/>
    </row>
    <row r="131" spans="1:17" s="43" customFormat="1" ht="13.5">
      <c r="B131" s="43" t="s">
        <v>53</v>
      </c>
      <c r="G131" s="43">
        <f t="shared" si="4"/>
        <v>15.46</v>
      </c>
      <c r="H131" s="43">
        <v>50</v>
      </c>
      <c r="I131" s="52">
        <f t="shared" si="3"/>
        <v>34.54</v>
      </c>
      <c r="J131" s="80">
        <f>Jan!I131+Feb!I131+Mar!I131</f>
        <v>129.04999999999998</v>
      </c>
      <c r="K131" s="73"/>
      <c r="L131" s="212"/>
      <c r="M131" s="211">
        <f>5.87+9.59</f>
        <v>15.46</v>
      </c>
      <c r="N131" s="211"/>
      <c r="O131" s="212"/>
      <c r="Q131" s="43" t="s">
        <v>948</v>
      </c>
    </row>
    <row r="132" spans="1:17" s="43" customFormat="1" ht="13.5">
      <c r="I132" s="52"/>
      <c r="J132" s="80"/>
      <c r="K132" s="73"/>
      <c r="L132" s="212"/>
      <c r="M132" s="211"/>
      <c r="N132" s="211"/>
      <c r="O132" s="212"/>
    </row>
    <row r="133" spans="1:17" s="43" customFormat="1" ht="13.5">
      <c r="A133" s="49" t="s">
        <v>909</v>
      </c>
      <c r="B133" s="49">
        <f>SUM(G136:G137)</f>
        <v>0</v>
      </c>
      <c r="C133" s="49">
        <f>SUM(H135:H136)</f>
        <v>130</v>
      </c>
      <c r="D133" s="49">
        <f>C133-B133</f>
        <v>130</v>
      </c>
      <c r="I133" s="52"/>
      <c r="J133" s="80"/>
      <c r="K133" s="73"/>
      <c r="L133" s="212"/>
      <c r="M133" s="211"/>
      <c r="N133" s="211"/>
      <c r="O133" s="212"/>
    </row>
    <row r="134" spans="1:17" s="43" customFormat="1" ht="13.5">
      <c r="A134" s="49"/>
      <c r="B134" s="43" t="s">
        <v>910</v>
      </c>
      <c r="C134" s="49"/>
      <c r="D134" s="49"/>
      <c r="G134" s="43">
        <f t="shared" si="4"/>
        <v>0</v>
      </c>
      <c r="H134" s="43">
        <v>100</v>
      </c>
      <c r="I134" s="52">
        <f t="shared" si="3"/>
        <v>100</v>
      </c>
      <c r="J134" s="80">
        <f>Jan!I134+Feb!I134+Mar!I134</f>
        <v>272</v>
      </c>
      <c r="K134" s="73"/>
      <c r="L134" s="212"/>
      <c r="M134" s="211"/>
      <c r="N134" s="211"/>
      <c r="O134" s="212"/>
    </row>
    <row r="135" spans="1:17" s="43" customFormat="1" ht="13.5">
      <c r="B135" s="43" t="s">
        <v>305</v>
      </c>
      <c r="G135" s="43">
        <f t="shared" si="4"/>
        <v>0</v>
      </c>
      <c r="H135" s="43">
        <v>100</v>
      </c>
      <c r="I135" s="52">
        <f t="shared" si="3"/>
        <v>100</v>
      </c>
      <c r="J135" s="80">
        <f>Jan!I135+Feb!I135+Mar!I135</f>
        <v>275.21000000000004</v>
      </c>
      <c r="K135" s="73"/>
      <c r="L135" s="212"/>
      <c r="M135" s="211"/>
      <c r="N135" s="211"/>
      <c r="O135" s="212"/>
    </row>
    <row r="136" spans="1:17" s="43" customFormat="1" ht="13.5">
      <c r="B136" s="43" t="s">
        <v>306</v>
      </c>
      <c r="G136" s="43">
        <f t="shared" si="4"/>
        <v>0</v>
      </c>
      <c r="H136" s="43">
        <v>30</v>
      </c>
      <c r="I136" s="52">
        <f t="shared" si="3"/>
        <v>30</v>
      </c>
      <c r="J136" s="80">
        <f>Jan!I136+Feb!I136+Mar!I136</f>
        <v>88.37</v>
      </c>
      <c r="K136" s="73"/>
      <c r="L136" s="212"/>
      <c r="M136" s="211"/>
      <c r="N136" s="211"/>
      <c r="O136" s="212"/>
    </row>
    <row r="137" spans="1:17" s="43" customFormat="1" ht="13.5">
      <c r="I137" s="52"/>
      <c r="J137" s="80"/>
      <c r="K137" s="73"/>
      <c r="L137" s="212"/>
      <c r="M137" s="211"/>
      <c r="N137" s="211"/>
      <c r="O137" s="212"/>
    </row>
    <row r="138" spans="1:17" s="43" customFormat="1" ht="13.5">
      <c r="A138" s="49" t="s">
        <v>54</v>
      </c>
      <c r="B138" s="49">
        <f>G140</f>
        <v>0</v>
      </c>
      <c r="C138" s="49">
        <f>H139</f>
        <v>10</v>
      </c>
      <c r="D138" s="49">
        <f>C138-B138</f>
        <v>10</v>
      </c>
      <c r="I138" s="52"/>
      <c r="J138" s="80"/>
      <c r="K138" s="73"/>
      <c r="L138" s="212"/>
      <c r="M138" s="211"/>
      <c r="N138" s="211"/>
      <c r="O138" s="212"/>
    </row>
    <row r="139" spans="1:17" s="43" customFormat="1" ht="13.5">
      <c r="B139" s="43" t="s">
        <v>911</v>
      </c>
      <c r="G139" s="43">
        <f t="shared" si="4"/>
        <v>9.75</v>
      </c>
      <c r="H139" s="43">
        <v>10</v>
      </c>
      <c r="I139" s="52">
        <f t="shared" ref="I139:I163" si="5">H139-G139</f>
        <v>0.25</v>
      </c>
      <c r="J139" s="80">
        <f>Jan!I139+Feb!I139+Mar!I139</f>
        <v>4.5</v>
      </c>
      <c r="K139" s="73"/>
      <c r="L139" s="212"/>
      <c r="M139" s="211">
        <f>9.75</f>
        <v>9.75</v>
      </c>
      <c r="N139" s="211"/>
      <c r="O139" s="212"/>
    </row>
    <row r="140" spans="1:17" s="43" customFormat="1" ht="13.5">
      <c r="I140" s="52"/>
      <c r="J140" s="80"/>
      <c r="K140" s="73"/>
      <c r="L140" s="212"/>
      <c r="M140" s="211"/>
      <c r="N140" s="211"/>
      <c r="O140" s="212"/>
    </row>
    <row r="141" spans="1:17" s="43" customFormat="1" ht="13.5">
      <c r="A141" s="49" t="s">
        <v>136</v>
      </c>
      <c r="B141" s="49">
        <f>SUM(G143:G144)</f>
        <v>0</v>
      </c>
      <c r="C141" s="49">
        <f>SUM(H142:H143)</f>
        <v>250</v>
      </c>
      <c r="D141" s="49">
        <f>C141-B141</f>
        <v>250</v>
      </c>
      <c r="I141" s="52"/>
      <c r="J141" s="80"/>
      <c r="K141" s="73"/>
      <c r="L141" s="212"/>
      <c r="M141" s="211"/>
      <c r="N141" s="211"/>
      <c r="O141" s="212"/>
    </row>
    <row r="142" spans="1:17" s="43" customFormat="1" ht="13.5">
      <c r="B142" s="43" t="s">
        <v>50</v>
      </c>
      <c r="G142" s="43">
        <f t="shared" si="4"/>
        <v>35.909999999999997</v>
      </c>
      <c r="H142" s="43">
        <v>150</v>
      </c>
      <c r="I142" s="52">
        <f t="shared" si="5"/>
        <v>114.09</v>
      </c>
      <c r="J142" s="80">
        <f>Jan!I142+Feb!I142+Mar!I142</f>
        <v>-59.739999999999981</v>
      </c>
      <c r="K142" s="73"/>
      <c r="L142" s="212"/>
      <c r="M142" s="211">
        <f>14.14+21.77</f>
        <v>35.909999999999997</v>
      </c>
      <c r="N142" s="211"/>
      <c r="O142" s="212"/>
    </row>
    <row r="143" spans="1:17" s="43" customFormat="1" ht="13.5">
      <c r="B143" s="43" t="s">
        <v>51</v>
      </c>
      <c r="D143" s="43" t="s">
        <v>137</v>
      </c>
      <c r="G143" s="43">
        <f t="shared" si="4"/>
        <v>0</v>
      </c>
      <c r="H143" s="43">
        <v>100</v>
      </c>
      <c r="I143" s="52">
        <f t="shared" si="5"/>
        <v>100</v>
      </c>
      <c r="J143" s="80">
        <f>Jan!I143+Feb!I143+Mar!I143</f>
        <v>274.76</v>
      </c>
      <c r="K143" s="73"/>
      <c r="L143" s="212"/>
      <c r="M143" s="211"/>
      <c r="N143" s="211"/>
      <c r="O143" s="212"/>
    </row>
    <row r="144" spans="1:17" s="43" customFormat="1" ht="13.5">
      <c r="I144" s="52"/>
      <c r="J144" s="80"/>
      <c r="K144" s="73"/>
      <c r="L144" s="212"/>
      <c r="M144" s="211"/>
      <c r="N144" s="211"/>
      <c r="O144" s="212"/>
    </row>
    <row r="145" spans="1:15" s="43" customFormat="1" ht="13.5">
      <c r="I145" s="52"/>
      <c r="J145" s="80"/>
      <c r="K145" s="73"/>
      <c r="L145" s="212"/>
      <c r="M145" s="211"/>
      <c r="N145" s="211"/>
      <c r="O145" s="212"/>
    </row>
    <row r="146" spans="1:15" s="43" customFormat="1" ht="14.25" thickBot="1">
      <c r="A146" s="49" t="s">
        <v>310</v>
      </c>
      <c r="I146" s="52"/>
      <c r="J146" s="80"/>
      <c r="K146" s="73"/>
      <c r="L146" s="212"/>
      <c r="M146" s="211"/>
      <c r="N146" s="211"/>
      <c r="O146" s="212"/>
    </row>
    <row r="147" spans="1:15" s="43" customFormat="1" ht="14.25" thickBot="1">
      <c r="B147" s="126">
        <f>SUM(G149:G163)</f>
        <v>0</v>
      </c>
      <c r="C147" s="126">
        <f>SUM(H148:H163)</f>
        <v>610</v>
      </c>
      <c r="D147" s="126">
        <f>C147-B147</f>
        <v>610</v>
      </c>
      <c r="I147" s="52"/>
      <c r="J147" s="80"/>
      <c r="K147" s="73"/>
      <c r="L147" s="212"/>
      <c r="M147" s="211"/>
      <c r="N147" s="211"/>
      <c r="O147" s="212"/>
    </row>
    <row r="148" spans="1:15" s="43" customFormat="1" ht="13.5">
      <c r="A148" s="49" t="s">
        <v>312</v>
      </c>
      <c r="I148" s="52"/>
      <c r="J148" s="80"/>
      <c r="K148" s="73"/>
      <c r="L148" s="212"/>
      <c r="M148" s="211"/>
      <c r="N148" s="211"/>
      <c r="O148" s="212"/>
    </row>
    <row r="149" spans="1:15" s="43" customFormat="1" ht="14.25" thickBot="1">
      <c r="B149" s="43" t="s">
        <v>134</v>
      </c>
      <c r="G149" s="43">
        <f t="shared" si="4"/>
        <v>0</v>
      </c>
      <c r="H149" s="43">
        <v>100</v>
      </c>
      <c r="I149" s="52">
        <f t="shared" si="5"/>
        <v>100</v>
      </c>
      <c r="J149" s="80">
        <f>Jan!I149+Feb!I149+Mar!I149</f>
        <v>300</v>
      </c>
      <c r="K149" s="73"/>
      <c r="L149" s="212"/>
      <c r="M149" s="211"/>
      <c r="N149" s="211"/>
      <c r="O149" s="212"/>
    </row>
    <row r="150" spans="1:15" s="43" customFormat="1" ht="14.25" thickBot="1">
      <c r="A150" s="79">
        <f>SUM(G150:G154)</f>
        <v>0</v>
      </c>
      <c r="B150" s="43" t="s">
        <v>135</v>
      </c>
      <c r="G150" s="43">
        <f t="shared" si="4"/>
        <v>0</v>
      </c>
      <c r="H150" s="43">
        <v>100</v>
      </c>
      <c r="I150" s="52">
        <f t="shared" si="5"/>
        <v>100</v>
      </c>
      <c r="J150" s="80">
        <f>Jan!I150+Feb!I150+Mar!I150</f>
        <v>300</v>
      </c>
      <c r="K150" s="73"/>
      <c r="L150" s="212"/>
      <c r="M150" s="211"/>
      <c r="N150" s="211"/>
      <c r="O150" s="212"/>
    </row>
    <row r="151" spans="1:15" s="43" customFormat="1" ht="13.5">
      <c r="B151" s="43" t="s">
        <v>48</v>
      </c>
      <c r="G151" s="43">
        <f t="shared" si="4"/>
        <v>0</v>
      </c>
      <c r="H151" s="43">
        <v>30</v>
      </c>
      <c r="I151" s="52">
        <f t="shared" si="5"/>
        <v>30</v>
      </c>
      <c r="J151" s="80">
        <f>Jan!I151+Feb!I151+Mar!I151</f>
        <v>90</v>
      </c>
      <c r="K151" s="78"/>
      <c r="L151" s="212"/>
      <c r="M151" s="211"/>
      <c r="N151" s="211"/>
      <c r="O151" s="212"/>
    </row>
    <row r="152" spans="1:15" s="43" customFormat="1" ht="13.5">
      <c r="B152" s="43" t="s">
        <v>49</v>
      </c>
      <c r="G152" s="43">
        <f t="shared" si="4"/>
        <v>0</v>
      </c>
      <c r="H152" s="43">
        <v>50</v>
      </c>
      <c r="I152" s="52">
        <f t="shared" si="5"/>
        <v>50</v>
      </c>
      <c r="J152" s="80">
        <f>Jan!I152+Feb!I152+Mar!I152</f>
        <v>150</v>
      </c>
      <c r="K152" s="78"/>
      <c r="L152" s="212"/>
      <c r="M152" s="211"/>
      <c r="N152" s="211"/>
      <c r="O152" s="212"/>
    </row>
    <row r="153" spans="1:15" ht="13.5">
      <c r="A153" s="43"/>
      <c r="B153" s="43" t="s">
        <v>326</v>
      </c>
      <c r="C153" s="43"/>
      <c r="D153" s="43"/>
      <c r="E153" s="43"/>
      <c r="F153" s="43"/>
      <c r="G153" s="43">
        <f t="shared" si="4"/>
        <v>0</v>
      </c>
      <c r="H153" s="43">
        <v>10</v>
      </c>
      <c r="I153" s="52">
        <f t="shared" si="5"/>
        <v>10</v>
      </c>
      <c r="J153" s="80">
        <f>Jan!I153+Feb!I153+Mar!I153</f>
        <v>30</v>
      </c>
      <c r="L153" s="212"/>
      <c r="M153" s="211"/>
      <c r="N153" s="211"/>
      <c r="O153" s="212"/>
    </row>
    <row r="154" spans="1:15" ht="13.5">
      <c r="A154" s="43"/>
      <c r="B154" s="43"/>
      <c r="C154" s="43"/>
      <c r="D154" s="43"/>
      <c r="E154" s="43"/>
      <c r="F154" s="43"/>
      <c r="G154" s="43"/>
      <c r="H154" s="43"/>
      <c r="I154" s="52"/>
      <c r="J154" s="80"/>
      <c r="L154" s="212"/>
      <c r="M154" s="211"/>
      <c r="N154" s="211"/>
      <c r="O154" s="212"/>
    </row>
    <row r="155" spans="1:15" ht="13.5">
      <c r="A155" s="49" t="s">
        <v>311</v>
      </c>
      <c r="B155" s="43"/>
      <c r="C155" s="43"/>
      <c r="D155" s="43"/>
      <c r="E155" s="43"/>
      <c r="F155" s="43"/>
      <c r="G155" s="43"/>
      <c r="H155" s="43"/>
      <c r="I155" s="52"/>
      <c r="J155" s="80"/>
      <c r="L155" s="212"/>
      <c r="M155" s="211"/>
      <c r="N155" s="211"/>
      <c r="O155" s="212"/>
    </row>
    <row r="156" spans="1:15" ht="14.25" thickBot="1">
      <c r="A156" s="43"/>
      <c r="B156" s="43" t="s">
        <v>307</v>
      </c>
      <c r="C156" s="43"/>
      <c r="D156" s="43"/>
      <c r="E156" s="43"/>
      <c r="F156" s="43"/>
      <c r="G156" s="43">
        <f t="shared" si="4"/>
        <v>0</v>
      </c>
      <c r="H156" s="43">
        <v>30</v>
      </c>
      <c r="I156" s="52">
        <f t="shared" si="5"/>
        <v>30</v>
      </c>
      <c r="J156" s="80">
        <f>Jan!I156+Feb!I156+Mar!I156</f>
        <v>35.549999999999997</v>
      </c>
      <c r="L156" s="212"/>
      <c r="M156" s="211"/>
      <c r="N156" s="211"/>
      <c r="O156" s="212"/>
    </row>
    <row r="157" spans="1:15" ht="14.25" thickBot="1">
      <c r="A157" s="79">
        <f>SUM(G156:G160)</f>
        <v>0</v>
      </c>
      <c r="B157" s="43" t="s">
        <v>308</v>
      </c>
      <c r="C157" s="43"/>
      <c r="D157" s="43"/>
      <c r="E157" s="43"/>
      <c r="F157" s="43"/>
      <c r="G157" s="43">
        <f t="shared" si="4"/>
        <v>0</v>
      </c>
      <c r="H157" s="43">
        <v>30</v>
      </c>
      <c r="I157" s="52">
        <f t="shared" si="5"/>
        <v>30</v>
      </c>
      <c r="J157" s="80">
        <f>Jan!I157+Feb!I157+Mar!I157</f>
        <v>-574.54999999999973</v>
      </c>
      <c r="L157" s="212"/>
      <c r="M157" s="211"/>
      <c r="N157" s="211"/>
      <c r="O157" s="212"/>
    </row>
    <row r="158" spans="1:15" ht="13.5">
      <c r="A158" s="47"/>
      <c r="B158" s="43" t="s">
        <v>326</v>
      </c>
      <c r="C158" s="43"/>
      <c r="D158" s="43"/>
      <c r="E158" s="43"/>
      <c r="F158" s="43"/>
      <c r="G158" s="43">
        <f t="shared" si="4"/>
        <v>0</v>
      </c>
      <c r="H158" s="43">
        <v>30</v>
      </c>
      <c r="I158" s="52">
        <f t="shared" si="5"/>
        <v>30</v>
      </c>
      <c r="J158" s="80">
        <f>Jan!I158+Feb!I158+Mar!I158</f>
        <v>90</v>
      </c>
      <c r="L158" s="212"/>
      <c r="M158" s="211"/>
      <c r="N158" s="211"/>
      <c r="O158" s="212"/>
    </row>
    <row r="159" spans="1:15" ht="13.5">
      <c r="A159" s="47"/>
      <c r="B159" s="43" t="s">
        <v>309</v>
      </c>
      <c r="C159" s="43"/>
      <c r="D159" s="43"/>
      <c r="E159" s="43"/>
      <c r="F159" s="43"/>
      <c r="G159" s="43">
        <f t="shared" si="4"/>
        <v>0</v>
      </c>
      <c r="H159" s="43">
        <v>30</v>
      </c>
      <c r="I159" s="52">
        <f t="shared" si="5"/>
        <v>30</v>
      </c>
      <c r="J159" s="80">
        <f>Jan!I159+Feb!I159+Mar!I159</f>
        <v>90</v>
      </c>
      <c r="L159" s="212"/>
      <c r="M159" s="211"/>
      <c r="N159" s="211"/>
      <c r="O159" s="212"/>
    </row>
    <row r="160" spans="1:15" ht="13.5">
      <c r="A160" s="43"/>
      <c r="B160" s="43" t="s">
        <v>325</v>
      </c>
      <c r="C160" s="43"/>
      <c r="D160" s="43"/>
      <c r="E160" s="43"/>
      <c r="F160" s="43"/>
      <c r="H160" s="43">
        <v>100</v>
      </c>
      <c r="I160" s="52">
        <f t="shared" si="5"/>
        <v>100</v>
      </c>
      <c r="J160" s="80">
        <f>Jan!I160+Feb!I160+Mar!I160</f>
        <v>-1200</v>
      </c>
      <c r="L160" s="212"/>
      <c r="M160" s="211"/>
      <c r="N160" s="211"/>
      <c r="O160" s="212"/>
    </row>
    <row r="161" spans="1:15" ht="13.5">
      <c r="A161" s="43"/>
      <c r="B161" s="43"/>
      <c r="C161" s="43"/>
      <c r="D161" s="43"/>
      <c r="E161" s="43"/>
      <c r="F161" s="43"/>
      <c r="H161" s="43"/>
      <c r="I161" s="52"/>
      <c r="J161" s="80"/>
      <c r="L161" s="212"/>
      <c r="M161" s="211"/>
      <c r="N161" s="211"/>
      <c r="O161" s="212"/>
    </row>
    <row r="162" spans="1:15" ht="13.5">
      <c r="A162" s="43"/>
      <c r="B162" s="43"/>
      <c r="C162" s="43"/>
      <c r="D162" s="43"/>
      <c r="E162" s="43"/>
      <c r="F162" s="43"/>
      <c r="H162" s="43"/>
      <c r="I162" s="52"/>
      <c r="J162" s="80"/>
      <c r="L162" s="212"/>
      <c r="M162" s="211"/>
      <c r="N162" s="211"/>
      <c r="O162" s="212"/>
    </row>
    <row r="163" spans="1:15" ht="13.5">
      <c r="A163" s="49" t="s">
        <v>138</v>
      </c>
      <c r="B163" s="43"/>
      <c r="C163" s="43"/>
      <c r="D163" s="43"/>
      <c r="E163" s="43"/>
      <c r="F163" s="43"/>
      <c r="H163" s="43">
        <v>100</v>
      </c>
      <c r="I163" s="52">
        <f t="shared" si="5"/>
        <v>100</v>
      </c>
      <c r="J163" s="80">
        <f>Jan!I163+Feb!I163+Mar!I163</f>
        <v>300</v>
      </c>
      <c r="L163" s="212"/>
      <c r="M163" s="211"/>
      <c r="N163" s="211"/>
      <c r="O163" s="21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Overview</vt:lpstr>
      <vt:lpstr>Summary</vt:lpstr>
      <vt:lpstr>Budgeting</vt:lpstr>
      <vt:lpstr>Saving</vt:lpstr>
      <vt:lpstr>Tithe</vt:lpstr>
      <vt:lpstr>NYC Utility</vt:lpstr>
      <vt:lpstr>Jan</vt:lpstr>
      <vt:lpstr>Feb</vt:lpstr>
      <vt:lpstr>Mar</vt:lpstr>
      <vt:lpstr>Apr</vt:lpstr>
      <vt:lpstr>May</vt:lpstr>
      <vt:lpstr>Jun</vt:lpstr>
      <vt:lpstr>July</vt:lpstr>
      <vt:lpstr>Aug</vt:lpstr>
      <vt:lpstr>Sep</vt:lpstr>
      <vt:lpstr>Oct</vt:lpstr>
      <vt:lpstr>Nov</vt:lpstr>
      <vt:lpstr>Dec</vt:lpstr>
      <vt:lpstr>Glendale, NY</vt:lpstr>
      <vt:lpstr>2106EZ</vt:lpstr>
      <vt:lpstr>Real Estate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Franes</dc:creator>
  <cp:lastModifiedBy>chris</cp:lastModifiedBy>
  <dcterms:created xsi:type="dcterms:W3CDTF">2012-08-12T19:52:52Z</dcterms:created>
  <dcterms:modified xsi:type="dcterms:W3CDTF">2016-07-28T20:55:03Z</dcterms:modified>
</cp:coreProperties>
</file>