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<sst xmlns="http://schemas.openxmlformats.org/spreadsheetml/2006/main" count="14237" uniqueCount="3325">
  <si>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</si>
  <si>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</si>
  <si>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</si>
  <si>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</si>
  <si>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</si>
  <si>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</si>
  <si>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</si>
  <si>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</si>
  <si>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</si>
  <si>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</si>
  <si>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</si>
  <si>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</si>
  <si>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</si>
  <si>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</si>
  <si>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</si>
  <si>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</si>
  <si>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</si>
  <si>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</si>
  <si>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</si>
  <si>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</si>
  <si>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</si>
  <si>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</si>
  <si>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</si>
  <si>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</si>
  <si>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</si>
  <si>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</si>
  <si>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</si>
  <si>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</si>
  <si>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</si>
  <si>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</si>
  <si>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</si>
  <si>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</si>
  <si>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</si>
  <si>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</si>
  <si>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</si>
  <si>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</si>
  <si>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</si>
  <si>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</si>
  <si>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</si>
  <si>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</si>
  <si>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</si>
  <si>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</si>
  <si>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</si>
  <si>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</si>
  <si>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</si>
  <si>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</si>
  <si>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</si>
  <si>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</si>
  <si>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</si>
  <si>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</si>
  <si>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</si>
  <si>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</si>
  <si>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</si>
  <si>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</si>
  <si>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</si>
  <si>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</si>
  <si>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</si>
  <si>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</si>
  <si>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</si>
  <si>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</si>
  <si>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</si>
  <si>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</si>
  <si>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</si>
  <si>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</si>
  <si>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</si>
  <si>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</si>
  <si>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</si>
  <si>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</si>
  <si>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</si>
  <si>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</si>
  <si>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</si>
  <si>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</si>
  <si>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</si>
  <si>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</si>
  <si>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</si>
  <si>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</si>
  <si>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</si>
  <si>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</si>
  <si>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</si>
  <si>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</si>
  <si>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</si>
  <si>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</si>
  <si>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</si>
  <si>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</si>
  <si>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</si>
  <si>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</si>
  <si>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</si>
  <si>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</si>
  <si>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</si>
  <si>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</si>
  <si>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</si>
  <si>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</si>
  <si>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</si>
  <si>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</si>
  <si>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</si>
  <si>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</si>
  <si>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</si>
  <si>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</si>
  <si>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</si>
  <si>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</si>
  <si>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</si>
  <si>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</si>
  <si>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</si>
  <si>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</si>
  <si>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</si>
  <si>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</si>
  <si>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</si>
  <si>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</si>
  <si>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</si>
  <si>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</si>
  <si>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</si>
  <si>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</si>
  <si>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</si>
  <si>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</si>
  <si>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</si>
  <si>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</si>
  <si>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</si>
  <si>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</si>
  <si>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</si>
  <si>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</si>
  <si>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</si>
  <si>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</si>
  <si>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</si>
  <si>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</si>
  <si>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</si>
  <si>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</si>
  <si>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</si>
  <si>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</si>
  <si>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</si>
  <si>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</si>
  <si>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</si>
  <si>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</si>
  <si>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</si>
  <si>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</si>
  <si>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</si>
  <si>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</si>
  <si>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</si>
  <si>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</si>
  <si>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</si>
  <si>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</si>
  <si>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</si>
  <si>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</si>
  <si>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</si>
  <si>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</si>
  <si>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</si>
  <si>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</si>
  <si>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</si>
  <si>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</si>
  <si>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</si>
  <si>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</si>
  <si>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</si>
  <si>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</si>
  <si>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</si>
  <si>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</si>
  <si>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</si>
  <si>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</si>
  <si>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</si>
  <si>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</si>
  <si>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</si>
  <si>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</si>
  <si>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</si>
  <si>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</si>
  <si>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</si>
  <si>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</si>
  <si>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</si>
  <si>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</si>
  <si>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</si>
  <si>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</si>
  <si>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</si>
  <si>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</si>
  <si>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</si>
  <si>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</si>
  <si>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</si>
  <si>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</si>
  <si>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</si>
  <si>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</si>
  <si>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</si>
  <si>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</si>
  <si>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</si>
  <si>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</si>
  <si>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</si>
  <si>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</si>
  <si>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</si>
  <si>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</si>
  <si>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</si>
  <si>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</si>
  <si>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</si>
  <si>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</si>
  <si>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</si>
  <si>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</si>
  <si>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</si>
  <si>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</si>
  <si>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</si>
  <si>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</si>
  <si>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</si>
  <si>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</si>
  <si>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</si>
  <si>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</si>
  <si>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</si>
  <si>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</si>
  <si>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</si>
  <si>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</si>
  <si>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</si>
  <si>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</si>
  <si>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</si>
  <si>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</si>
  <si>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</si>
  <si>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</si>
  <si>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</si>
  <si>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</si>
  <si>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</si>
  <si>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</si>
  <si>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</si>
  <si>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</si>
  <si>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</si>
  <si>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</si>
  <si>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</si>
  <si>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</si>
  <si>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</si>
  <si>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</si>
  <si>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</si>
  <si>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</si>
  <si>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</si>
  <si>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</si>
  <si>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</si>
  <si>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</si>
  <si>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</si>
  <si>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</si>
  <si>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</si>
  <si>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</si>
  <si>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</si>
  <si>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</si>
  <si>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</si>
  <si>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</si>
  <si>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</si>
  <si>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</si>
  <si>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</si>
  <si>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</si>
  <si>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</si>
  <si>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</si>
  <si>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</si>
  <si>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</si>
  <si>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</si>
  <si>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</si>
  <si>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</si>
  <si>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</si>
  <si>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</si>
  <si>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</si>
  <si>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</si>
  <si>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</si>
  <si>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</si>
  <si>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</si>
  <si>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</si>
  <si>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</si>
  <si>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</si>
  <si>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</si>
  <si>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</si>
  <si>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</si>
  <si>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</si>
  <si>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</si>
  <si>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</si>
  <si>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</si>
  <si>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</si>
  <si>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</si>
  <si>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</si>
  <si>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</si>
  <si>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</si>
  <si>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</si>
  <si>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</si>
  <si>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</si>
  <si>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</si>
  <si>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</si>
  <si>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</si>
  <si>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</si>
  <si>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</si>
  <si>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</si>
  <si>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</si>
  <si>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</si>
  <si>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</si>
  <si>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</si>
  <si>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</si>
  <si>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</si>
  <si>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</si>
  <si>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</si>
  <si>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</si>
  <si>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</si>
  <si>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</si>
  <si>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</si>
  <si>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</si>
  <si>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</si>
  <si>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</si>
  <si>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</si>
  <si>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</si>
  <si>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</si>
  <si>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</si>
  <si>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</si>
  <si>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</si>
  <si>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</si>
  <si>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</si>
  <si>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</si>
  <si>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</si>
  <si>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</si>
  <si>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</si>
  <si>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</si>
  <si>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</si>
  <si>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</si>
  <si>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</si>
  <si>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</si>
  <si>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</si>
  <si>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</si>
  <si>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</si>
  <si>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</si>
  <si>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</si>
  <si>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</si>
  <si>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</si>
  <si>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</si>
  <si>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</si>
  <si>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</si>
  <si>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</si>
  <si>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</si>
  <si>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</si>
  <si>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</si>
  <si>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</si>
  <si>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</si>
  <si>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</si>
  <si>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</si>
  <si>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</si>
  <si>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</si>
  <si>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</si>
  <si>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</si>
  <si>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</si>
  <si>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</si>
  <si>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</si>
  <si>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</si>
  <si>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</si>
  <si>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</si>
  <si>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</si>
  <si>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</si>
  <si>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</si>
  <si>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</si>
  <si>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</si>
  <si>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</si>
  <si>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</si>
  <si>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</si>
  <si>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</si>
  <si>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</si>
  <si>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</si>
  <si>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</si>
  <si>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</si>
  <si>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</si>
  <si>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</si>
  <si>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</si>
  <si>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</si>
  <si>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</si>
  <si>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</si>
  <si>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</si>
  <si>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</si>
  <si>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</si>
  <si>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</si>
  <si>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</si>
  <si>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</si>
  <si>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</si>
  <si>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</si>
  <si>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</si>
  <si>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</si>
  <si>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</si>
  <si>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</si>
  <si>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</si>
  <si>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</si>
  <si>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</si>
  <si>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</si>
  <si>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</si>
  <si>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</si>
  <si>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</si>
  <si>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</si>
  <si>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</si>
  <si>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</si>
  <si>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</si>
  <si>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</si>
  <si>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</si>
  <si>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</si>
  <si>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</si>
  <si>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</si>
  <si>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</si>
  <si>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</si>
  <si>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</si>
  <si>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</si>
  <si>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</si>
  <si>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</si>
  <si>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</si>
  <si>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</si>
  <si>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</si>
  <si>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</si>
  <si>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</si>
  <si>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</si>
  <si>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</si>
  <si>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</si>
  <si>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</si>
  <si>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</si>
  <si>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</si>
  <si>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</si>
  <si>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</si>
  <si>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</si>
  <si>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</si>
  <si>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</si>
  <si>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</si>
  <si>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</si>
  <si>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</si>
  <si>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</si>
  <si>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</si>
  <si>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</si>
  <si>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</si>
  <si>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</si>
  <si>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</si>
  <si>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</si>
  <si>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</si>
  <si>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</si>
  <si>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</si>
  <si>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</si>
  <si>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</si>
  <si>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</si>
  <si>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</si>
  <si>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</si>
  <si>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</si>
  <si>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</si>
  <si>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</si>
  <si>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</si>
  <si>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</si>
  <si>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</si>
  <si>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</si>
  <si>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</si>
  <si>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</si>
  <si>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</si>
  <si>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</si>
  <si>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</si>
  <si>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</si>
  <si>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</si>
  <si>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</si>
  <si>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</si>
  <si>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</si>
  <si>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</si>
  <si>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</si>
  <si>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</si>
  <si>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</si>
  <si>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</si>
  <si>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</si>
  <si>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</si>
  <si>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</si>
  <si>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</si>
  <si>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</si>
  <si>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</si>
  <si>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</si>
  <si>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</si>
  <si>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</si>
  <si>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</si>
  <si>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</si>
  <si>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</si>
  <si>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</si>
  <si>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</si>
  <si>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</si>
  <si>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</si>
  <si>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</si>
  <si>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</si>
  <si>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</si>
  <si>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</si>
  <si>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</si>
  <si>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</si>
  <si>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</si>
  <si>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</si>
  <si>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</si>
  <si>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</si>
  <si>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</si>
  <si>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</si>
  <si>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</si>
  <si>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</si>
  <si>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</si>
  <si>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</si>
  <si>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</si>
  <si>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</si>
  <si>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</si>
  <si>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</si>
  <si>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</si>
  <si>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</si>
  <si>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</si>
  <si>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</si>
  <si>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</si>
  <si>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</si>
  <si>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</si>
  <si>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</si>
  <si>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</si>
  <si>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</si>
  <si>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</si>
  <si>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</si>
  <si>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</si>
  <si>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</si>
  <si>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</si>
  <si>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</si>
  <si>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</si>
  <si>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</si>
  <si>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</si>
  <si>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</si>
  <si>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</si>
  <si>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</si>
  <si>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</si>
  <si>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</si>
  <si>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</si>
  <si>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</si>
  <si>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</si>
  <si>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</si>
  <si>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</si>
  <si>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</si>
  <si>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</si>
  <si>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</si>
  <si>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</si>
  <si>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</si>
  <si>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</si>
  <si>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</si>
  <si>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</si>
  <si>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</si>
  <si>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</si>
  <si>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</si>
  <si>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</si>
  <si>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</si>
  <si>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</si>
  <si>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</si>
  <si>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</si>
  <si>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</si>
  <si>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</si>
  <si>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</si>
  <si>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</si>
  <si>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</si>
  <si>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</si>
  <si>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</si>
  <si>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</si>
  <si>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</si>
  <si>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</si>
  <si>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</si>
  <si>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</si>
  <si>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</si>
  <si>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</si>
  <si>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</si>
  <si>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</si>
  <si>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</si>
  <si>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</si>
  <si>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</si>
  <si>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</si>
  <si>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</si>
  <si>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</si>
  <si>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</si>
  <si>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</si>
  <si>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</si>
  <si>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</si>
  <si>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</si>
  <si>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</si>
  <si>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</si>
  <si>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</si>
  <si>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</si>
  <si>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</si>
  <si>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</si>
  <si>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</si>
  <si>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</si>
  <si>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</si>
  <si>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</si>
  <si>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</si>
  <si>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</si>
  <si>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</si>
  <si>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</si>
  <si>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</si>
  <si>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</si>
  <si>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</si>
  <si>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</si>
  <si>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</si>
  <si>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</si>
  <si>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</si>
  <si>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</si>
  <si>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</si>
  <si>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</si>
  <si>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</si>
  <si>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</si>
  <si>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</si>
  <si>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</si>
  <si>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</si>
  <si>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</si>
  <si>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</si>
  <si>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</si>
  <si>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</si>
  <si>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</si>
  <si>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</si>
  <si>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</si>
  <si>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</si>
  <si>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</si>
  <si>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</si>
  <si>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</si>
  <si>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</si>
  <si>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</si>
  <si>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</si>
  <si>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</si>
  <si>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</si>
  <si>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</si>
  <si>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</si>
  <si>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</si>
  <si>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</si>
  <si>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</si>
  <si>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</si>
  <si>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</si>
  <si>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</si>
  <si>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</si>
  <si>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</si>
  <si>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</si>
  <si>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</si>
  <si>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</si>
  <si>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</si>
  <si>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</si>
  <si>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</si>
  <si>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</si>
  <si>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</si>
  <si>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</si>
  <si>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</si>
  <si>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</si>
  <si>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</si>
  <si>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</si>
  <si>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</si>
  <si>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</si>
  <si>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</si>
  <si>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</si>
  <si>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</si>
  <si>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</si>
  <si>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</si>
  <si>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</si>
  <si>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</si>
  <si>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</si>
  <si>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</si>
  <si>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</si>
  <si>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</si>
  <si>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</si>
  <si>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</si>
  <si>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</si>
  <si>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</si>
  <si>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</si>
  <si>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</si>
  <si>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</si>
  <si>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</si>
  <si>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</si>
  <si>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</si>
  <si>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</si>
  <si>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</si>
  <si>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</si>
  <si>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</si>
  <si>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</si>
  <si>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</si>
  <si>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</si>
  <si>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</si>
  <si>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</si>
  <si>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</si>
  <si>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</si>
  <si>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</si>
  <si>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</si>
  <si>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</si>
  <si>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</si>
  <si>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</si>
  <si>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</si>
  <si>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</si>
  <si>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</si>
  <si>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</si>
  <si>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</si>
  <si>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</si>
  <si>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</si>
  <si>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</si>
  <si>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</si>
  <si>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</si>
  <si>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</si>
  <si>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</si>
  <si>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</si>
  <si>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</si>
  <si>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</si>
  <si>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</si>
  <si>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</si>
  <si>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</si>
  <si>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</si>
  <si>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</si>
  <si>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</si>
  <si>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</si>
  <si>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</si>
  <si>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</si>
  <si>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</si>
  <si>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</si>
  <si>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</si>
  <si>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</si>
  <si>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</si>
  <si>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</si>
  <si>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</si>
  <si>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</si>
  <si>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</si>
  <si>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</si>
  <si>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</si>
  <si>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</si>
  <si>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</si>
  <si>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</si>
  <si>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</si>
  <si>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</si>
  <si>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</si>
  <si>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</si>
  <si>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</si>
  <si>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</si>
  <si>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</si>
  <si>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</si>
  <si>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</si>
  <si>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</si>
  <si>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</si>
  <si>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</si>
  <si>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</si>
  <si>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</si>
  <si>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</si>
  <si>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</si>
  <si>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</si>
  <si>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</si>
  <si>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</si>
  <si>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</si>
  <si>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</si>
  <si>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</si>
  <si>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</si>
  <si>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</si>
  <si>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</si>
  <si>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</si>
  <si>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</si>
  <si>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</si>
  <si>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</si>
  <si>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</si>
  <si>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</si>
  <si>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</si>
  <si>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</si>
  <si>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</si>
  <si>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</si>
  <si>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</si>
  <si>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</si>
  <si>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</si>
  <si>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</si>
  <si>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</si>
  <si>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</si>
  <si>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</si>
  <si>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</si>
  <si>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</si>
  <si>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</si>
  <si>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</si>
  <si>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</si>
  <si>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</si>
  <si>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</si>
  <si>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</si>
  <si>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</si>
  <si>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</si>
  <si>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</si>
  <si>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</si>
  <si>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</si>
  <si>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</si>
  <si>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</si>
  <si>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</si>
  <si>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</si>
  <si>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</si>
  <si>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</si>
  <si>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</si>
  <si>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</si>
  <si>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</si>
  <si>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</si>
  <si>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</si>
  <si>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</si>
  <si>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</si>
  <si>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</si>
  <si>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</si>
  <si>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</si>
  <si>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</si>
  <si>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</si>
  <si>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</si>
  <si>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</si>
  <si>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</si>
  <si>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</si>
  <si>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</si>
  <si>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</si>
  <si>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</si>
  <si>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</si>
  <si>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</si>
  <si>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</si>
  <si>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</si>
  <si>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</si>
  <si>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</si>
  <si>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</si>
  <si>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</si>
  <si>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</si>
  <si>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</si>
  <si>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</si>
  <si>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</si>
  <si>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</si>
  <si>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</si>
  <si>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</si>
  <si>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</si>
  <si>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</si>
  <si>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</si>
  <si>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</si>
  <si>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</si>
  <si>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</si>
  <si>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</si>
  <si>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</si>
  <si>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</si>
  <si>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</si>
  <si>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</si>
  <si>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</si>
  <si>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</si>
  <si>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</si>
  <si>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</si>
  <si>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</si>
  <si>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</si>
  <si>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</si>
  <si>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</si>
  <si>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</si>
  <si>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</si>
  <si>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</si>
  <si>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</si>
  <si>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</si>
  <si>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</si>
  <si>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</si>
  <si>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</si>
  <si>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</si>
  <si>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</si>
  <si>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</si>
  <si>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</si>
  <si>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</si>
  <si>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</si>
  <si>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</si>
  <si>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</si>
  <si>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</si>
  <si>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</si>
  <si>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</si>
  <si>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</si>
  <si>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</si>
  <si>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</si>
  <si>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</si>
  <si>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</si>
  <si>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</si>
  <si>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</si>
  <si>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</si>
  <si>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</si>
  <si>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</si>
  <si>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</si>
  <si>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</si>
  <si>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</si>
  <si>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</si>
  <si>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</si>
  <si>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</si>
  <si>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</si>
  <si>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</si>
  <si>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</si>
  <si>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</si>
  <si>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</si>
  <si>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</si>
  <si>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</si>
  <si>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</si>
  <si>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</si>
  <si>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</si>
  <si>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</si>
  <si>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</si>
  <si>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</si>
  <si>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</si>
  <si>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</si>
  <si>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</si>
  <si>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</si>
  <si>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</si>
  <si>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</si>
  <si>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</si>
  <si>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</si>
  <si>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</si>
  <si>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</si>
  <si>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</si>
  <si>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</si>
  <si>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</si>
  <si>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</si>
  <si>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</si>
  <si>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</si>
  <si>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</si>
  <si>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</si>
  <si>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</si>
  <si>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</si>
  <si>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</si>
  <si>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</si>
  <si>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</si>
  <si>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</si>
  <si>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</si>
  <si>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</si>
  <si>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</si>
  <si>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</si>
  <si>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</si>
  <si>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</si>
  <si>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</si>
  <si>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</si>
  <si>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</si>
  <si>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</si>
  <si>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</si>
  <si>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</si>
  <si>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</si>
  <si>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</si>
  <si>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</si>
  <si>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</si>
  <si>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</si>
  <si>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</si>
  <si>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</si>
  <si>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</si>
  <si>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</si>
  <si>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</si>
  <si>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</si>
  <si>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</si>
  <si>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</si>
  <si>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</si>
  <si>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</si>
  <si>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</si>
  <si>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</si>
  <si>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</si>
  <si>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</si>
  <si>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</si>
  <si>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</si>
  <si>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</si>
  <si>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</si>
  <si>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</si>
  <si>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</si>
  <si>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</si>
  <si>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</si>
  <si>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</si>
  <si>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</si>
  <si>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</si>
  <si>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</si>
  <si>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</si>
  <si>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</si>
  <si>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</si>
  <si>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</si>
  <si>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</si>
  <si>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</si>
  <si>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</si>
  <si>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</si>
  <si>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</si>
  <si>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</si>
  <si>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</si>
  <si>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</si>
  <si>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</si>
  <si>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</si>
  <si>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</si>
  <si>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</si>
  <si>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</si>
  <si>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</si>
  <si>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</si>
  <si>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</si>
  <si>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</si>
  <si>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</si>
  <si>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</si>
  <si>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</si>
  <si>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</si>
  <si>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</si>
  <si>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</si>
  <si>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</si>
  <si>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</si>
  <si>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</si>
  <si>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</si>
  <si>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</si>
  <si>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</si>
  <si>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</si>
  <si>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</si>
  <si>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</si>
  <si>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</si>
  <si>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</si>
  <si>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</si>
  <si>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</si>
  <si>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</si>
  <si>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</si>
  <si>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</si>
  <si>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</si>
  <si>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</si>
  <si>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</si>
  <si>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</si>
  <si>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</si>
  <si>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</si>
  <si>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</si>
  <si>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</si>
  <si>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</si>
  <si>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</si>
  <si>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</si>
  <si>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</si>
  <si>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</si>
  <si>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</si>
  <si>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</si>
  <si>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</si>
  <si>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</si>
  <si>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</si>
  <si>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</si>
  <si>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</si>
  <si>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</si>
  <si>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</si>
  <si>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</si>
  <si>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</si>
  <si>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</si>
  <si>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</si>
  <si>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</si>
  <si>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</si>
  <si>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</si>
  <si>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</si>
  <si>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</si>
  <si>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</si>
  <si>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</si>
  <si>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</si>
  <si>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</si>
  <si>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</si>
  <si>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</si>
  <si>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</si>
  <si>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</si>
  <si>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</si>
  <si>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</si>
  <si>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</si>
  <si>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</si>
  <si>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</si>
  <si>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</si>
  <si>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</si>
  <si>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</si>
  <si>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</si>
  <si>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</si>
  <si>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</si>
  <si>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</si>
  <si>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</si>
  <si>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</si>
  <si>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</si>
  <si>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</si>
  <si>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</si>
  <si>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</si>
  <si>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</si>
  <si>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</si>
  <si>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</si>
  <si>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</si>
  <si>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</si>
  <si>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</si>
  <si>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</si>
  <si>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</si>
  <si>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</si>
  <si>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</si>
  <si>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</si>
  <si>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</si>
  <si>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</si>
  <si>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</si>
  <si>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</si>
  <si>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</si>
  <si>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</si>
  <si>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</si>
  <si>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</si>
  <si>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</si>
  <si>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</si>
  <si>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</si>
  <si>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</si>
  <si>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</si>
  <si>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</si>
  <si>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</si>
  <si>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</si>
  <si>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</si>
  <si>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</si>
  <si>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</si>
  <si>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</si>
  <si>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</si>
  <si>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</si>
  <si>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</si>
  <si>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</si>
  <si>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</si>
  <si>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</si>
  <si>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</si>
  <si>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</si>
  <si>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</si>
  <si>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</si>
  <si>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</si>
  <si>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</si>
  <si>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</si>
  <si>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</si>
  <si>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</si>
  <si>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</si>
  <si>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</si>
  <si>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</si>
  <si>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</si>
  <si>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</si>
  <si>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</si>
  <si>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</si>
  <si>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</si>
  <si>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</si>
  <si>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</si>
  <si>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</si>
  <si>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</si>
  <si>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</si>
  <si>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</si>
  <si>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</si>
  <si>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</si>
  <si>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</si>
  <si>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</si>
  <si>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</si>
  <si>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</si>
  <si>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</si>
  <si>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</si>
  <si>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</si>
  <si>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</si>
  <si>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</si>
  <si>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</si>
  <si>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</si>
  <si>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</si>
  <si>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</si>
  <si>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</si>
  <si>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</si>
  <si>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</si>
  <si>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</si>
  <si>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</si>
  <si>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</si>
  <si>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</si>
  <si>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</si>
  <si>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</si>
  <si>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</si>
  <si>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</si>
  <si>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</si>
  <si>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</si>
  <si>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</si>
  <si>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</si>
  <si>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</si>
  <si>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</si>
  <si>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</si>
  <si>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</si>
  <si>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</si>
  <si>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</si>
  <si>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</si>
  <si>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</si>
  <si>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</si>
  <si>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</si>
  <si>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</si>
  <si>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</si>
  <si>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</si>
  <si>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</si>
  <si>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</si>
  <si>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</si>
  <si>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</si>
  <si>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</si>
  <si>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</si>
  <si>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</si>
  <si>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</si>
  <si>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</si>
  <si>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</si>
  <si>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</si>
  <si>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</si>
  <si>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</si>
  <si>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</si>
  <si>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</si>
  <si>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</si>
  <si>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</si>
  <si>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</si>
  <si>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</si>
  <si>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</si>
  <si>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</si>
  <si>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</si>
  <si>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</si>
  <si>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</si>
  <si>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</si>
  <si>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</si>
  <si>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</si>
  <si>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</si>
  <si>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</si>
  <si>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</si>
  <si>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</si>
  <si>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</si>
  <si>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</si>
  <si>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</si>
  <si>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</si>
  <si>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</si>
  <si>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</si>
  <si>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</si>
  <si>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</si>
  <si>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</si>
  <si>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</si>
  <si>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</si>
  <si>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</si>
  <si>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</si>
  <si>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</si>
  <si>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</si>
  <si>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</si>
  <si>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</si>
  <si>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</si>
  <si>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</si>
  <si>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</si>
  <si>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</si>
  <si>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</si>
  <si>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</si>
  <si>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</si>
  <si>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</si>
  <si>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</si>
  <si>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</si>
  <si>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</si>
  <si>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</si>
  <si>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</si>
  <si>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</si>
  <si>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</si>
  <si>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</si>
  <si>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</si>
  <si>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</si>
  <si>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</si>
  <si>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</si>
  <si>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</si>
  <si>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</si>
  <si>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</si>
  <si>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</si>
  <si>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</si>
  <si>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</si>
  <si>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</si>
  <si>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</si>
  <si>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</si>
  <si>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</si>
  <si>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</si>
  <si>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</si>
  <si>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</si>
  <si>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</si>
  <si>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</si>
  <si>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</si>
  <si>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</si>
  <si>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</si>
  <si>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</si>
  <si>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</si>
  <si>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</si>
  <si>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</si>
  <si>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</si>
  <si>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</si>
  <si>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</si>
  <si>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</si>
  <si>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</si>
  <si>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</si>
  <si>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</si>
  <si>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</si>
  <si>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</si>
  <si>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</si>
  <si>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</si>
  <si>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</si>
  <si>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</si>
  <si>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</si>
  <si>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</si>
  <si>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</si>
  <si>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</si>
  <si>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</si>
  <si>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</si>
  <si>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</si>
  <si>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</si>
  <si>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</si>
  <si>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</si>
  <si>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</si>
  <si>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</si>
  <si>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</si>
  <si>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</si>
  <si>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</si>
  <si>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</si>
  <si>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</si>
  <si>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</si>
  <si>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</si>
  <si>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</si>
  <si>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</si>
  <si>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</si>
  <si>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</si>
  <si>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</si>
  <si>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</si>
  <si>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</si>
  <si>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</si>
  <si>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</si>
  <si>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</si>
  <si>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</si>
  <si>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</si>
  <si>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</si>
  <si>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</si>
  <si>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</si>
  <si>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</si>
  <si>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</si>
  <si>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</si>
  <si>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</si>
  <si>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</si>
  <si>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</si>
  <si>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</si>
  <si>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</si>
  <si>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</si>
  <si>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</si>
  <si>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</si>
  <si>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</si>
  <si>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</si>
  <si>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</si>
  <si>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</si>
  <si>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</si>
  <si>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</si>
  <si>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</si>
  <si>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</si>
  <si>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</si>
  <si>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</si>
  <si>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</si>
  <si>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</si>
  <si>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</si>
  <si>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</si>
  <si>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</si>
  <si>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</si>
  <si>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</si>
  <si>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</si>
  <si>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</si>
  <si>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</si>
  <si>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</si>
  <si>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</si>
  <si>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</si>
  <si>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</si>
  <si>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</si>
  <si>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</si>
  <si>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</si>
  <si>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</si>
  <si>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</si>
  <si>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</si>
  <si>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</si>
  <si>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</si>
  <si>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</si>
  <si>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</si>
  <si>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</si>
  <si>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</si>
  <si>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</si>
  <si>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</si>
  <si>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</si>
  <si>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</si>
  <si>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</si>
  <si>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</si>
  <si>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</si>
  <si>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</si>
  <si>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</si>
  <si>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</si>
  <si>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</si>
  <si>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</si>
  <si>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</si>
  <si>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</si>
  <si>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</si>
  <si>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</si>
  <si>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</si>
  <si>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</si>
  <si>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</si>
  <si>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</si>
  <si>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</si>
  <si>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</si>
  <si>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</si>
  <si>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</si>
  <si>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</si>
  <si>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</si>
  <si>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</si>
  <si>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</si>
  <si>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</si>
  <si>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</si>
  <si>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</si>
  <si>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</si>
  <si>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</si>
  <si>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</si>
  <si>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</si>
  <si>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</si>
  <si>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</si>
  <si>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</si>
  <si>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</si>
  <si>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</si>
  <si>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</si>
  <si>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</si>
  <si>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</si>
  <si>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</si>
  <si>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</si>
  <si>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</si>
  <si>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</si>
  <si>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</si>
  <si>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</si>
  <si>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</si>
  <si>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</si>
  <si>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</si>
  <si>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</si>
  <si>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</si>
  <si>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</si>
  <si>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</si>
  <si>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</si>
  <si>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</si>
  <si>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</si>
  <si>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</si>
  <si>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</si>
  <si>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</si>
  <si>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</si>
  <si>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</si>
  <si>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</si>
  <si>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</si>
  <si>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</si>
  <si>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</si>
  <si>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</si>
  <si>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</si>
  <si>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</si>
  <si>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</si>
  <si>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</si>
  <si>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</si>
  <si>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</si>
  <si>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</si>
  <si>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</si>
  <si>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</si>
  <si>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</si>
  <si>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</si>
  <si>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</si>
  <si>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</si>
  <si>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</si>
  <si>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</si>
  <si>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</si>
  <si>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</si>
  <si>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</si>
  <si>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</si>
  <si>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</si>
  <si>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</si>
  <si>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</si>
  <si>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</si>
  <si>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</si>
  <si>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</si>
  <si>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</si>
  <si>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</si>
  <si>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</si>
  <si>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</si>
  <si>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</si>
  <si>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</si>
  <si>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</si>
  <si>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</si>
  <si>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</si>
  <si>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</si>
  <si>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</si>
  <si>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</si>
  <si>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</si>
  <si>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</si>
  <si>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</si>
  <si>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</si>
  <si>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</si>
  <si>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</si>
  <si>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</si>
  <si>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</si>
  <si>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</si>
  <si>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</si>
  <si>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</si>
  <si>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</si>
  <si>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</si>
  <si>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</si>
  <si>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</si>
  <si>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</si>
  <si>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</si>
  <si>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</si>
  <si>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</si>
  <si>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</si>
  <si>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</si>
  <si>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</si>
  <si>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</si>
  <si>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</si>
  <si>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</si>
  <si>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</si>
  <si>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</si>
  <si>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</si>
  <si>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</si>
  <si>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</si>
  <si>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</si>
  <si>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</si>
  <si>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</si>
  <si>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</si>
  <si>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</si>
  <si>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</si>
  <si>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</si>
  <si>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</si>
  <si>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</si>
  <si>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</si>
  <si>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</si>
  <si>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</si>
  <si>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</si>
  <si>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</si>
  <si>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</si>
  <si>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</si>
  <si>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</si>
  <si>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</si>
  <si>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</si>
  <si>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</si>
  <si>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</si>
  <si>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</si>
  <si>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</si>
  <si>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</si>
  <si>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</si>
  <si>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</si>
  <si>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</si>
  <si>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</si>
  <si>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</si>
  <si>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</si>
  <si>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</si>
  <si>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</si>
  <si>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</si>
  <si>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</si>
  <si>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</si>
  <si>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</si>
  <si>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</si>
  <si>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</si>
  <si>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</si>
  <si>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</si>
  <si>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</si>
  <si>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</si>
  <si>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</si>
  <si>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</si>
  <si>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</si>
  <si>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</si>
  <si>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</si>
  <si>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</si>
  <si>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</si>
  <si>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</si>
  <si>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</si>
  <si>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</si>
  <si>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</si>
  <si>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</si>
  <si>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</si>
  <si>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</si>
  <si>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</si>
  <si>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</si>
  <si>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</si>
  <si>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</si>
  <si>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</si>
  <si>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</si>
  <si>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</si>
  <si>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</si>
  <si>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</si>
  <si>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</si>
  <si>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</si>
  <si>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</si>
  <si>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</si>
  <si>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</si>
  <si>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</si>
  <si>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</si>
  <si>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</si>
  <si>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</si>
  <si>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</si>
  <si>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</si>
  <si>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</si>
  <si>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</si>
  <si>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</si>
  <si>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</si>
  <si>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</si>
  <si>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</si>
  <si>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</si>
  <si>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</si>
  <si>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</si>
  <si>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</si>
  <si>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</si>
  <si>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</si>
  <si>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</si>
  <si>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</si>
  <si>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</si>
  <si>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</si>
  <si>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</si>
  <si>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</si>
  <si>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</si>
  <si>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</si>
  <si>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</si>
  <si>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</si>
  <si>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</si>
  <si>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</si>
  <si>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</si>
  <si>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</si>
  <si>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</si>
  <si>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</si>
  <si>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</si>
  <si>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</si>
  <si>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</si>
  <si>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</si>
  <si>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</si>
  <si>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</si>
  <si>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</si>
  <si>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</si>
  <si>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</si>
  <si>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</si>
  <si>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</si>
  <si>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</si>
  <si>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</si>
  <si>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</si>
  <si>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</si>
  <si>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</si>
  <si>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</si>
  <si>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</si>
  <si>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</si>
  <si>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</si>
  <si>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</si>
  <si>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</si>
  <si>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</si>
  <si>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</si>
  <si>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</si>
  <si>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</si>
  <si>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</si>
  <si>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</si>
  <si>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</si>
  <si>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</si>
  <si>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</si>
  <si>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</si>
  <si>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</si>
  <si>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</si>
  <si>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</si>
  <si>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</si>
  <si>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</si>
  <si>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</si>
  <si>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</si>
  <si>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</si>
  <si>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</si>
  <si>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</si>
  <si>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</si>
  <si>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</si>
  <si>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</si>
  <si>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</si>
  <si>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</si>
  <si>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</si>
  <si>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</si>
  <si>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</si>
  <si>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</si>
  <si>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</si>
  <si>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</si>
  <si>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</si>
  <si>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</si>
  <si>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</si>
  <si>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</si>
  <si>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</si>
  <si>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</si>
  <si>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</si>
  <si>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</si>
  <si>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</si>
  <si>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</si>
  <si>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</si>
  <si>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</si>
  <si>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</si>
  <si>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</si>
  <si>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</si>
  <si>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</si>
  <si>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</si>
  <si>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</si>
  <si>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</si>
  <si>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</si>
  <si>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</si>
  <si>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</si>
  <si>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</si>
  <si>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</si>
  <si>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</si>
  <si>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</si>
  <si>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</si>
  <si>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</si>
  <si>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</si>
  <si>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</si>
  <si>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</si>
  <si>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</si>
  <si>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</si>
  <si>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</si>
  <si>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</si>
  <si>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</si>
  <si>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</si>
  <si>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</si>
  <si>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</si>
  <si>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</si>
  <si>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</si>
  <si>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</si>
  <si>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</si>
  <si>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</si>
  <si>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</si>
  <si>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</si>
  <si>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</si>
  <si>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</si>
  <si>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</si>
  <si>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</si>
  <si>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</si>
  <si>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</si>
  <si>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</si>
  <si>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</si>
  <si>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</si>
  <si>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</si>
  <si>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</si>
  <si>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</si>
  <si>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</si>
  <si>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</si>
  <si>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</si>
  <si>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</si>
  <si>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</si>
  <si>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</si>
  <si>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</si>
  <si>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</si>
  <si>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</si>
  <si>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</si>
  <si>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</si>
  <si>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</si>
  <si>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</si>
  <si>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</si>
  <si>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</si>
  <si>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</si>
  <si>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</si>
  <si>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</si>
  <si>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</si>
  <si>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</si>
  <si>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</si>
  <si>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</si>
  <si>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</si>
  <si>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</si>
  <si>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</si>
  <si>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</si>
  <si>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</si>
  <si>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</si>
  <si>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</si>
  <si>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</si>
  <si>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</si>
  <si>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</si>
  <si>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</si>
  <si>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</si>
  <si>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</si>
  <si>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</si>
  <si>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</si>
  <si>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</si>
  <si>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</si>
  <si>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</si>
  <si>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</si>
  <si>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</si>
  <si>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</si>
  <si>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</si>
  <si>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</si>
  <si>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</si>
  <si>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</si>
  <si>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</si>
  <si>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</si>
  <si>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</si>
  <si>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</si>
  <si>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</si>
  <si>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</si>
  <si>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</si>
  <si>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</si>
  <si>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</si>
  <si>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</si>
  <si>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</si>
  <si>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</si>
  <si>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</si>
  <si>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</si>
  <si>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</si>
  <si>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</si>
  <si>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</si>
  <si>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</si>
  <si>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</si>
  <si>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</si>
  <si>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</si>
  <si>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</si>
  <si>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</si>
  <si>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</si>
  <si>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</si>
  <si>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</si>
  <si>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</si>
  <si>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</si>
  <si>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</si>
  <si>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</si>
  <si>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</si>
  <si>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</si>
  <si>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</si>
  <si>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</si>
  <si>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</si>
  <si>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</si>
  <si>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</si>
  <si>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</si>
  <si>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</si>
  <si>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</si>
  <si>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</si>
  <si>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</si>
  <si>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</si>
  <si>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</si>
  <si>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</si>
  <si>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</si>
  <si>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</si>
  <si>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</si>
  <si>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</si>
  <si>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</si>
  <si>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</si>
  <si>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</si>
  <si>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</si>
  <si>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</si>
  <si>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</si>
  <si>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</si>
  <si>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</si>
  <si>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</si>
  <si>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</si>
  <si>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</si>
  <si>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</si>
  <si>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</si>
  <si>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</si>
  <si>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</si>
  <si>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</si>
  <si>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</si>
  <si>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</si>
  <si>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</si>
  <si>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</si>
  <si>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</si>
  <si>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</si>
  <si>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</si>
  <si>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</si>
  <si>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</si>
  <si>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</si>
  <si>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</si>
  <si>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</si>
  <si>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</si>
  <si>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</si>
  <si>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</si>
  <si>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</si>
  <si>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</si>
  <si>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</si>
  <si>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</si>
  <si>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</si>
  <si>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</si>
  <si>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</si>
  <si>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</si>
  <si>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</si>
  <si>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</si>
  <si>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</si>
  <si>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</si>
  <si>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</si>
  <si>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</si>
  <si>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</si>
  <si>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</si>
  <si>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</si>
  <si>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</si>
  <si>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</si>
  <si>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</si>
  <si>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</si>
  <si>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</si>
  <si>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</si>
  <si>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</si>
  <si>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</si>
  <si>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</si>
  <si>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</si>
  <si>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</si>
  <si>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</si>
  <si>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</si>
  <si>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</si>
  <si>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</si>
  <si>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</si>
  <si>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</si>
  <si>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</si>
  <si>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</si>
  <si>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</si>
  <si>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</si>
  <si>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</si>
  <si>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</si>
  <si>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</si>
  <si>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</si>
  <si>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</si>
  <si>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</si>
  <si>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</si>
  <si>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</si>
  <si>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</si>
  <si>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</si>
  <si>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</si>
  <si>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</si>
  <si>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</si>
  <si>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</si>
  <si>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</si>
  <si>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</si>
  <si>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</si>
  <si>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</si>
  <si>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</si>
  <si>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</si>
  <si>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</si>
  <si>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</si>
  <si>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</si>
  <si>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</si>
  <si>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</si>
  <si>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</si>
  <si>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</si>
  <si>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</si>
  <si>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</si>
  <si>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</si>
  <si>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</si>
  <si>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</si>
  <si>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</si>
  <si>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</si>
  <si>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</si>
  <si>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</si>
  <si>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</si>
  <si>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</si>
  <si>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</si>
  <si>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</si>
  <si>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</si>
  <si>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</si>
  <si>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</si>
  <si>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</si>
  <si>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</si>
  <si>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</si>
  <si>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</si>
  <si>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</si>
  <si>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</si>
  <si>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</si>
  <si>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</si>
  <si>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</si>
  <si>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</si>
  <si>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</si>
  <si>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</si>
  <si>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</si>
  <si>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</si>
  <si>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</si>
  <si>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</si>
  <si>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</si>
  <si>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</si>
  <si>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</si>
  <si>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</si>
  <si>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</si>
  <si>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</si>
  <si>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</si>
  <si>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</si>
  <si>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</si>
  <si>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</si>
  <si>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</si>
  <si>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</si>
  <si>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</si>
  <si>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</si>
  <si>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</si>
  <si>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</si>
  <si>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</si>
  <si>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</si>
  <si>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</si>
  <si>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</si>
  <si>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</si>
  <si>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</si>
  <si>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</si>
  <si>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</si>
  <si>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</si>
  <si>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</si>
  <si>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</si>
  <si>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</si>
  <si>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</si>
  <si>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</si>
  <si>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</si>
  <si>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</si>
  <si>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</si>
  <si>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</si>
  <si>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</si>
  <si>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</si>
  <si>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</si>
  <si>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</si>
  <si>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</si>
  <si>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</si>
  <si>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</si>
  <si>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</si>
  <si>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</si>
  <si>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</si>
  <si>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</si>
  <si>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</si>
  <si>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</si>
  <si>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</si>
  <si>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</si>
  <si>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</si>
  <si>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</si>
  <si>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</si>
  <si>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</si>
  <si>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</si>
  <si>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</si>
  <si>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</si>
  <si>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</si>
  <si>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</si>
  <si>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</si>
  <si>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</si>
  <si>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</si>
  <si>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</si>
  <si>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</si>
  <si>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</si>
  <si>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</si>
  <si>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</si>
  <si>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</si>
  <si>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</si>
  <si>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</si>
  <si>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</si>
  <si>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</si>
  <si>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</si>
  <si>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</si>
  <si>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</si>
  <si>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</si>
  <si>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</si>
  <si>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</si>
  <si>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</si>
  <si>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</si>
  <si>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</si>
  <si>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</si>
  <si>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</si>
  <si>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</si>
  <si>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</si>
  <si>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</si>
  <si>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</si>
  <si>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</si>
  <si>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</si>
  <si>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</si>
  <si>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</si>
  <si>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</si>
  <si>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</si>
  <si>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</si>
  <si>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</si>
  <si>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</si>
  <si>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</si>
  <si>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</si>
  <si>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</si>
  <si>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</si>
  <si>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</si>
  <si>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</si>
  <si>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</si>
  <si>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</si>
  <si>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</si>
  <si>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</si>
  <si>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</si>
  <si>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</si>
  <si>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</si>
  <si>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</si>
  <si>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</si>
  <si>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</si>
  <si>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</si>
  <si>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</si>
  <si>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</si>
  <si>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</si>
  <si>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</si>
  <si>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</si>
  <si>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</si>
  <si>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</si>
  <si>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</si>
  <si>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</si>
  <si>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</si>
  <si>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</si>
  <si>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</si>
  <si>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</si>
  <si>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</si>
  <si>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</si>
  <si>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</si>
  <si>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</si>
  <si>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</si>
  <si>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</si>
  <si>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</si>
  <si>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</si>
  <si>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</si>
  <si>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</si>
  <si>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</si>
  <si>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</si>
  <si>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</si>
  <si>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</si>
  <si>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</si>
  <si>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</si>
  <si>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</si>
  <si>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</si>
  <si>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</si>
  <si>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</si>
  <si>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</si>
  <si>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</si>
  <si>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</si>
  <si>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</si>
  <si>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</si>
  <si>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</si>
  <si>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</si>
  <si>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</si>
  <si>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</si>
  <si>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</si>
  <si>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</si>
  <si>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</si>
  <si>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</si>
  <si>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</si>
  <si>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</si>
  <si>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</si>
  <si>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</si>
  <si>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</si>
  <si>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</si>
  <si>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</si>
  <si>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</si>
  <si>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</si>
  <si>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</si>
  <si>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</si>
  <si>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</si>
  <si>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</si>
  <si>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</si>
  <si>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</si>
  <si>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</si>
  <si>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</si>
  <si>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</si>
  <si>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</si>
  <si>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</si>
  <si>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</si>
  <si>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</si>
  <si>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</si>
  <si>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</si>
  <si>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</si>
  <si>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</si>
  <si>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</si>
  <si>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</si>
  <si>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</si>
  <si>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</si>
  <si>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</si>
  <si>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</si>
  <si>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</si>
  <si>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</si>
  <si>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</si>
  <si>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</si>
  <si>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</si>
  <si>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</si>
  <si>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</si>
  <si>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</si>
  <si>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</si>
  <si>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</si>
  <si>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</si>
  <si>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</si>
  <si>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</si>
  <si>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</si>
  <si>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</si>
  <si>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</si>
  <si>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</si>
  <si>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</si>
  <si>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</si>
  <si>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</si>
  <si>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</si>
  <si>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</si>
  <si>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</si>
  <si>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</si>
  <si>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</si>
  <si>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</si>
  <si>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</si>
  <si>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</si>
  <si>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</si>
  <si>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</si>
  <si>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</si>
  <si>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</si>
  <si>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</si>
  <si>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</si>
  <si>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</si>
  <si>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</si>
  <si>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</si>
  <si>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</si>
  <si>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</si>
  <si>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</si>
  <si>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</si>
  <si>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</si>
  <si>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</si>
  <si>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</si>
  <si>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</si>
  <si>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</si>
  <si>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</si>
  <si>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</si>
  <si>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</si>
  <si>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</si>
  <si>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</si>
  <si>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</si>
  <si>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</si>
  <si>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</si>
  <si>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</si>
  <si>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</si>
  <si>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</si>
  <si>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</si>
  <si>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</si>
  <si>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</si>
  <si>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</si>
  <si>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</si>
  <si>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</si>
  <si>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</si>
  <si>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</si>
  <si>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</si>
  <si>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</si>
  <si>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</si>
  <si>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</si>
  <si>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</si>
  <si>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</si>
  <si>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</si>
  <si>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</si>
  <si>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</si>
  <si>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</si>
  <si>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</si>
  <si>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</si>
  <si>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</si>
  <si>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</si>
  <si>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</si>
  <si>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</si>
  <si>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</si>
  <si>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</si>
  <si>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</si>
  <si>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</si>
  <si>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</si>
  <si>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</si>
  <si>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</si>
  <si>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</si>
  <si>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</si>
  <si>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</si>
  <si>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</si>
  <si>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</si>
  <si>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</si>
  <si>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</si>
  <si>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</si>
  <si>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</si>
  <si>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</si>
  <si>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</si>
  <si>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</si>
  <si>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</si>
  <si>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</si>
  <si>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</si>
  <si>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</si>
  <si>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</si>
  <si>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</si>
  <si>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</si>
  <si>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</si>
  <si>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</si>
  <si>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</si>
  <si>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</si>
  <si>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</si>
  <si>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</si>
  <si>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</si>
  <si>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</si>
  <si>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</si>
  <si>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</si>
  <si>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</si>
  <si>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</si>
  <si>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</si>
  <si>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</si>
  <si>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</si>
  <si>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</si>
  <si>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</si>
  <si>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</si>
  <si>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</si>
  <si>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</si>
  <si>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</si>
  <si>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</si>
  <si>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</si>
  <si>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</si>
  <si>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</si>
  <si>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</si>
  <si>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</si>
  <si>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</si>
  <si>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</si>
  <si>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</si>
  <si>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</si>
  <si>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</si>
  <si>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</si>
  <si>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</si>
  <si>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</si>
  <si>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</si>
  <si>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</si>
  <si>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</si>
  <si>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</si>
  <si>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</si>
  <si>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</si>
  <si>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</si>
  <si>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</si>
  <si>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</si>
  <si>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</si>
  <si>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</si>
  <si>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</si>
  <si>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</si>
  <si>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</si>
  <si>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</si>
  <si>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</si>
  <si>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</si>
  <si>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</si>
  <si>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</si>
  <si>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</si>
  <si>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</si>
  <si>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</si>
  <si>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</si>
  <si>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</si>
  <si>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</si>
  <si>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</si>
  <si>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</si>
  <si>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</si>
  <si>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</si>
  <si>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</si>
  <si>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</si>
  <si>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</si>
  <si>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</si>
  <si>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</si>
  <si>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</si>
  <si>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</si>
  <si>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</si>
  <si>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</si>
  <si>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</si>
  <si>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</si>
  <si>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</si>
  <si>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</si>
  <si>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</si>
  <si>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</si>
  <si>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</si>
  <si>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</si>
  <si>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</si>
  <si>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</si>
  <si>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</si>
  <si>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</si>
  <si>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</si>
  <si>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</si>
  <si>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</si>
  <si>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</si>
  <si>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</si>
  <si>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</si>
  <si>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</si>
  <si>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</si>
  <si>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</si>
  <si>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</si>
  <si>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</si>
  <si>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</si>
  <si>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</si>
  <si>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</si>
  <si>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</si>
  <si>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</si>
  <si>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</si>
  <si>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</si>
  <si>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</si>
  <si>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</si>
  <si>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</si>
  <si>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</si>
  <si>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</si>
  <si>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</si>
  <si>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</si>
  <si>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</si>
  <si>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</si>
  <si>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</si>
  <si>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</si>
  <si>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</si>
  <si>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</si>
  <si>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</si>
  <si>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</si>
  <si>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</si>
  <si>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</si>
  <si>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</si>
  <si>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</si>
  <si>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</si>
  <si>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</si>
  <si>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</si>
  <si>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</si>
  <si>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</si>
  <si>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</si>
  <si>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</si>
  <si>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</si>
  <si>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</si>
  <si>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</si>
  <si>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</si>
  <si>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</si>
  <si>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</si>
  <si>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</si>
  <si>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</si>
  <si>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</si>
  <si>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</si>
  <si>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</si>
  <si>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</si>
  <si>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</si>
  <si>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</si>
  <si>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</si>
  <si>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</si>
  <si>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</si>
  <si>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</si>
  <si>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</si>
  <si>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</si>
  <si>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</si>
  <si>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</si>
  <si>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</si>
  <si>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</si>
  <si>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</si>
  <si>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</si>
  <si>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</si>
  <si>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</si>
  <si>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</si>
  <si>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</si>
  <si>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</si>
  <si>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</si>
  <si>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</si>
  <si>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</si>
  <si>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</si>
  <si>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</si>
  <si>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</si>
  <si>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</si>
  <si>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</si>
  <si>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</si>
  <si>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</si>
  <si>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</si>
  <si>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</si>
  <si>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</si>
  <si>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</si>
  <si>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</si>
  <si>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</si>
  <si>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</si>
  <si>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</si>
  <si>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</si>
  <si>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</si>
  <si>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</si>
  <si>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</si>
  <si>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</si>
  <si>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</si>
  <si>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</si>
  <si>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</si>
  <si>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</si>
  <si>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</si>
  <si>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</si>
  <si>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</si>
  <si>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</si>
  <si>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</si>
  <si>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</si>
  <si>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</si>
  <si>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</si>
  <si>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</si>
  <si>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</si>
  <si>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</si>
  <si>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</si>
  <si>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</si>
  <si>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</si>
  <si>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</si>
  <si>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</si>
  <si>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</si>
  <si>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</si>
  <si>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</si>
  <si>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</si>
  <si>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</si>
  <si>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</si>
  <si>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</si>
  <si>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</si>
  <si>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</si>
  <si>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</si>
  <si>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</si>
  <si>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</si>
  <si>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</si>
  <si>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</si>
  <si>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</si>
  <si>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</si>
  <si>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</si>
  <si>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</si>
  <si>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</si>
  <si>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</si>
  <si>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</si>
  <si>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</si>
  <si>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</si>
  <si>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</si>
  <si>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</si>
  <si>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</si>
  <si>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</si>
  <si>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</si>
  <si>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</si>
  <si>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</si>
  <si>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</si>
  <si>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</si>
  <si>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</si>
  <si>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</si>
  <si>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</si>
  <si>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</si>
  <si>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</si>
  <si>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</si>
  <si>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</si>
  <si>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</si>
  <si>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</si>
  <si>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</si>
  <si>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</si>
  <si>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</si>
  <si>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</si>
  <si>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</si>
  <si>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</si>
  <si>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</si>
  <si>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</si>
  <si>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</si>
  <si>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</si>
  <si>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</si>
  <si>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</si>
  <si>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</si>
  <si>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</si>
  <si>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</si>
  <si>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</si>
  <si>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</si>
  <si>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</si>
  <si>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</si>
  <si>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</si>
  <si>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</si>
  <si>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</si>
  <si>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</si>
  <si>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</si>
  <si>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</si>
  <si>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</si>
  <si>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</si>
  <si>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</si>
  <si>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</si>
  <si>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</si>
  <si>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</si>
  <si>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</si>
  <si>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</si>
  <si>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</si>
  <si>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</si>
  <si>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</si>
  <si>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</si>
  <si>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</si>
  <si>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</si>
  <si>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</si>
  <si>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</si>
  <si>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</si>
  <si>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</si>
  <si>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</si>
  <si>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</si>
  <si>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</si>
  <si>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</si>
  <si>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</si>
  <si>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</si>
  <si>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</si>
  <si>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</si>
  <si>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</si>
  <si>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</si>
  <si>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</si>
  <si>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</si>
  <si>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</si>
  <si>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</si>
  <si>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</si>
  <si>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</si>
  <si>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</si>
  <si>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</si>
  <si>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</si>
  <si>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</si>
  <si>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</si>
  <si>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</si>
  <si>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</si>
  <si>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</si>
  <si>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</si>
  <si>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</si>
  <si>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</si>
  <si>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</si>
  <si>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</si>
  <si>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</si>
  <si>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</si>
  <si>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</si>
  <si>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</si>
  <si>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</si>
  <si>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</si>
  <si>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</si>
  <si>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</si>
  <si>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</si>
  <si>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</si>
  <si>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</si>
  <si>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</si>
  <si>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</si>
  <si>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</si>
  <si>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</si>
  <si>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</si>
  <si>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</si>
  <si>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</si>
  <si>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</si>
  <si>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</si>
  <si>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</si>
  <si>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</si>
  <si>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</si>
  <si>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</si>
  <si>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</si>
  <si>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</si>
  <si>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</si>
  <si>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</si>
  <si>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</si>
  <si>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</si>
  <si>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</si>
  <si>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</si>
  <si>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</si>
  <si>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</si>
  <si>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</si>
  <si>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</si>
  <si>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</si>
  <si>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</si>
  <si>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</si>
  <si>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</si>
  <si>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</si>
  <si>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</si>
  <si>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</si>
  <si>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</si>
  <si>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</si>
  <si>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</si>
  <si>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</si>
  <si>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</si>
  <si>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</si>
  <si>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</si>
  <si>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</si>
  <si>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</si>
  <si>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</si>
  <si>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</si>
  <si>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</si>
  <si>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</si>
  <si>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</si>
  <si>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</si>
  <si>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</si>
  <si>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</si>
  <si>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</si>
  <si>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</si>
  <si>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</si>
  <si>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</si>
  <si>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</si>
  <si>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</si>
  <si>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</si>
  <si>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</si>
  <si>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</si>
  <si>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</si>
  <si>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</si>
  <si>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</si>
  <si>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</si>
  <si>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</si>
  <si>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</si>
  <si>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</si>
  <si>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</si>
  <si>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</si>
  <si>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</si>
  <si>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</si>
  <si>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</si>
  <si>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</si>
  <si>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</si>
  <si>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</si>
  <si>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</si>
  <si>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</si>
  <si>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</si>
  <si>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</si>
  <si>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</si>
  <si>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</si>
  <si>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</si>
  <si>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</si>
  <si>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</si>
  <si>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</si>
  <si>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</si>
  <si>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</si>
  <si>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</si>
  <si>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</si>
  <si>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</si>
  <si>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</si>
  <si>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</si>
  <si>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</si>
  <si>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</si>
  <si>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</si>
  <si>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</si>
  <si>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</si>
  <si>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</si>
  <si>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</si>
  <si>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</si>
  <si>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</si>
  <si>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</si>
  <si>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</si>
  <si>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</si>
  <si>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</si>
  <si>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</si>
  <si>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</si>
  <si>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</si>
  <si>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</si>
  <si>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</si>
  <si>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</si>
  <si>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</si>
  <si>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</si>
  <si>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</si>
  <si>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</si>
  <si>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</si>
  <si>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</si>
  <si>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</si>
  <si>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</si>
  <si>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</si>
  <si>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</si>
  <si>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</si>
  <si>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</si>
  <si>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</si>
  <si>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</si>
  <si>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</si>
  <si>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</si>
  <si>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</si>
  <si>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</si>
  <si>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</si>
  <si>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</si>
  <si>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</si>
  <si>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</si>
  <si>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</si>
  <si>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</si>
  <si>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</si>
  <si>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</si>
  <si>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</si>
  <si>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</si>
  <si>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</si>
  <si>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</si>
  <si>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</si>
  <si>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</si>
  <si>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</si>
  <si>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</si>
  <si>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</si>
  <si>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</si>
  <si>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</si>
  <si>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</si>
  <si>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</si>
  <si>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</si>
  <si>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</si>
  <si>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</si>
  <si>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</si>
  <si>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</si>
  <si>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</si>
  <si>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</si>
  <si>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</si>
  <si>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</si>
  <si>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</si>
  <si>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</si>
  <si>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</si>
  <si>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</si>
  <si>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</si>
  <si>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</si>
  <si>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</si>
  <si>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</si>
  <si>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</si>
  <si>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</si>
  <si>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</si>
  <si>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</si>
  <si>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</si>
  <si>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</si>
  <si>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</si>
  <si>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</si>
  <si>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</si>
  <si>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</si>
  <si>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</si>
  <si>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</si>
  <si>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</si>
  <si>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</si>
  <si>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</si>
  <si>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</si>
  <si>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</si>
  <si>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</si>
  <si>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</si>
  <si>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</si>
  <si>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</si>
  <si>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</si>
  <si>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</si>
  <si>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</si>
  <si>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</si>
  <si>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</si>
  <si>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</si>
  <si>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</si>
  <si>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</si>
  <si>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</si>
  <si>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</si>
  <si>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</si>
  <si>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</si>
  <si>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</si>
  <si>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</si>
  <si>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</si>
  <si>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</si>
  <si>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</si>
  <si>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</si>
  <si>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</si>
  <si>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</si>
  <si>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</si>
  <si>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</si>
  <si>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</si>
  <si>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</si>
  <si>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</si>
  <si>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</si>
  <si>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</si>
  <si>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</si>
  <si>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</si>
  <si>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</si>
  <si>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</si>
  <si>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</si>
  <si>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</si>
  <si>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</si>
  <si>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</si>
  <si>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</si>
  <si>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</si>
  <si>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</si>
  <si>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</si>
  <si>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</si>
  <si>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</si>
  <si>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</si>
  <si>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</si>
  <si>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</si>
  <si>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</si>
  <si>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</si>
  <si>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</si>
  <si>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</si>
  <si>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</si>
  <si>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</si>
  <si>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</si>
  <si>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</si>
  <si>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</si>
  <si>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</si>
  <si>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</si>
  <si>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</si>
  <si>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</si>
  <si>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</si>
  <si>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</si>
  <si>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</si>
  <si>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</si>
  <si>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</si>
  <si>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</si>
  <si>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</si>
  <si>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</si>
  <si>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</si>
  <si>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</si>
  <si>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</si>
  <si>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</si>
  <si>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</si>
  <si>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</si>
  <si>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</si>
  <si>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</si>
  <si>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</si>
  <si>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</si>
  <si>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</si>
  <si>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</si>
  <si>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</si>
  <si>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</si>
  <si>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</si>
  <si>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</si>
  <si>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</si>
  <si>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</si>
  <si>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</si>
  <si>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</si>
  <si>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</si>
  <si>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</si>
  <si>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</si>
  <si>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</si>
  <si>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</si>
  <si>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</si>
  <si>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</si>
  <si>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</si>
  <si>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</si>
  <si>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</si>
  <si>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</si>
  <si>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</si>
  <si>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</si>
  <si>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</si>
  <si>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</si>
  <si>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</si>
  <si>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</si>
  <si>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</si>
  <si>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</si>
  <si>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</si>
  <si>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</si>
  <si>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</si>
  <si>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</si>
  <si>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</si>
  <si>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</si>
  <si>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</si>
  <si>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</si>
  <si>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</si>
  <si>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</si>
  <si>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</si>
  <si>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</si>
  <si>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</si>
  <si>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</si>
  <si>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</si>
  <si>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</si>
  <si>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</si>
  <si>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</si>
  <si>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</si>
  <si>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</si>
  <si>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</si>
  <si>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</si>
  <si>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</si>
  <si>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</si>
  <si>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</si>
  <si>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</si>
  <si>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</si>
  <si>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</si>
  <si>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</si>
  <si>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</si>
  <si>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</si>
  <si>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</si>
  <si>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</si>
  <si>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</si>
  <si>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</si>
  <si>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</si>
  <si>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</si>
  <si>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</si>
  <si>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</si>
  <si>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</si>
  <si>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</si>
  <si>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</si>
  <si>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</si>
  <si>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</si>
  <si>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</si>
  <si>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</si>
  <si>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</si>
  <si>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</si>
  <si>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</si>
  <si>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</si>
  <si>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</si>
  <si>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</si>
  <si>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</si>
  <si>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</si>
  <si>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</si>
  <si>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</si>
  <si>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</si>
  <si>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</si>
  <si>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</si>
  <si>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</si>
  <si>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</si>
  <si>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</si>
  <si>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</si>
  <si>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</si>
  <si>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</si>
  <si>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</si>
  <si>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</si>
  <si>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</si>
  <si>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</si>
  <si>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</si>
  <si>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</si>
  <si>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</si>
  <si>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</si>
  <si>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</si>
  <si>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</si>
  <si>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</si>
  <si>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</si>
  <si>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</si>
  <si>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</si>
  <si>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</si>
  <si>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</si>
  <si>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</si>
  <si>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</si>
  <si>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</si>
  <si>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</si>
  <si>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</si>
  <si>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</si>
  <si>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</si>
  <si>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</si>
  <si>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</si>
  <si>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</si>
  <si>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</si>
  <si>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</si>
  <si>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</si>
  <si>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</si>
  <si>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</si>
  <si>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</si>
  <si>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</si>
  <si>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</si>
  <si>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</si>
  <si>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</si>
  <si>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</si>
  <si>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</si>
  <si>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</si>
  <si>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</si>
  <si>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</si>
  <si>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</si>
  <si>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</si>
  <si>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</si>
  <si>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</si>
  <si>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</si>
  <si>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</si>
  <si>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</si>
  <si>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</si>
  <si>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</si>
  <si>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</si>
  <si>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</si>
  <si>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</si>
  <si>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</si>
  <si>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</si>
  <si>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</si>
  <si>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</si>
  <si>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</si>
  <si>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</si>
  <si>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</si>
  <si>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</si>
  <si>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</si>
  <si>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</si>
  <si>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</si>
  <si>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</si>
  <si>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</si>
  <si>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</si>
  <si>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</si>
  <si>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</si>
  <si>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</si>
  <si>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</si>
  <si>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</si>
  <si>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</si>
  <si>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</si>
  <si>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</si>
  <si>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</si>
  <si>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</si>
  <si>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</si>
  <si>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</si>
  <si>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</si>
  <si>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</si>
  <si>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</si>
  <si>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</si>
  <si>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</si>
  <si>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</si>
  <si>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</si>
  <si>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</si>
  <si>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</si>
  <si>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</si>
  <si>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</si>
  <si>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</si>
  <si>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</si>
  <si>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</si>
  <si>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</si>
  <si>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</si>
  <si>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</si>
  <si>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</si>
  <si>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</si>
  <si>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</si>
  <si>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</si>
  <si>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</si>
  <si>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</si>
  <si>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</si>
  <si>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</si>
  <si>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</si>
  <si>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</si>
  <si>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</si>
  <si>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</si>
  <si>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</si>
  <si>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</si>
  <si>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</si>
  <si>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</si>
  <si>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</si>
  <si>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</si>
  <si>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</si>
  <si>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</si>
  <si>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</si>
  <si>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</si>
  <si>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</si>
  <si>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</si>
  <si>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</si>
  <si>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</si>
  <si>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</si>
  <si>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</si>
  <si>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</si>
  <si>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</si>
  <si>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</si>
  <si>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</si>
  <si>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</si>
  <si>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</si>
  <si>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</si>
  <si>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</si>
  <si>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</si>
  <si>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</si>
  <si>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</si>
  <si>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</si>
  <si>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</si>
  <si>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</si>
  <si>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</si>
  <si>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</si>
  <si>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</si>
  <si>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</si>
  <si>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</si>
  <si>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</si>
  <si>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</si>
  <si>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</si>
  <si>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</si>
  <si>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</si>
  <si>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</si>
  <si>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</si>
  <si>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</si>
  <si>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</si>
  <si>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</si>
  <si>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</si>
  <si>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</si>
  <si>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</si>
  <si>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</si>
  <si>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</si>
  <si>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</si>
  <si>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</si>
  <si>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</si>
  <si>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</si>
  <si>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</si>
  <si>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</si>
  <si>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</si>
  <si>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</si>
  <si>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</si>
  <si>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</si>
  <si>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</si>
  <si>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</si>
  <si>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</si>
  <si>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</si>
  <si>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</si>
  <si>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</si>
  <si>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</si>
  <si>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</si>
  <si>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</si>
  <si>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</si>
  <si>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</si>
  <si>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</si>
  <si>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</si>
  <si>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</si>
  <si>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</si>
  <si>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</si>
  <si>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</si>
  <si>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</si>
  <si>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</si>
  <si>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</si>
  <si>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</si>
  <si>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</si>
  <si>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</si>
  <si>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</si>
  <si>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</si>
  <si>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</si>
  <si>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</si>
  <si>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</si>
  <si>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</si>
  <si>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</si>
  <si>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</si>
  <si>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</si>
  <si>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</si>
  <si>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</si>
  <si>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</si>
  <si>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</si>
  <si>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</si>
  <si>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</si>
  <si>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</si>
  <si>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</si>
  <si>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</si>
  <si>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</si>
  <si>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</si>
  <si>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</si>
  <si>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</si>
  <si>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</si>
  <si>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</si>
  <si>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</si>
  <si>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</si>
  <si>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</si>
  <si>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</si>
  <si>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</si>
  <si>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</si>
  <si>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</si>
  <si>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</si>
  <si>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</si>
  <si>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</si>
  <si>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</si>
  <si>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</si>
  <si>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</si>
  <si>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</si>
  <si>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</si>
  <si>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</si>
  <si>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</si>
  <si>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</si>
  <si>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</si>
  <si>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</si>
  <si>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</si>
  <si>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</si>
  <si>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</si>
  <si>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</si>
  <si>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</si>
  <si>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</si>
  <si>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</si>
  <si>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</si>
  <si>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</si>
  <si>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</si>
  <si>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</si>
  <si>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</si>
  <si>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</si>
  <si>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</si>
  <si>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</si>
  <si>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</si>
  <si>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</si>
  <si>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</si>
  <si>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</si>
  <si>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</si>
  <si>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</si>
  <si>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</si>
  <si>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</si>
  <si>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</si>
  <si>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</si>
  <si>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</si>
  <si>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</si>
  <si>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</si>
  <si>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</si>
  <si>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</si>
  <si>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</si>
  <si>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</si>
  <si>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</si>
  <si>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</si>
  <si>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</si>
  <si>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</si>
  <si>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</si>
  <si>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</si>
  <si>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</si>
  <si>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</si>
  <si>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</si>
  <si>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</si>
  <si>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</si>
  <si>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</si>
  <si>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</si>
  <si>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</si>
  <si>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</si>
  <si>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</si>
  <si>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</si>
  <si>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</si>
  <si>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</si>
  <si>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</si>
  <si>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</si>
  <si>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</si>
  <si>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</si>
  <si>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</si>
  <si>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</si>
  <si>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</si>
  <si>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</si>
  <si>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</si>
  <si>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</si>
  <si>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</si>
  <si>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</si>
  <si>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</si>
  <si>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</si>
  <si>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</si>
  <si>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</si>
  <si>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</si>
  <si>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</si>
  <si>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</si>
  <si>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</si>
  <si>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</si>
  <si>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</si>
  <si>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</si>
  <si>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</si>
  <si>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</si>
  <si>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</si>
  <si>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</si>
  <si>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</si>
  <si>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</si>
  <si>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</si>
  <si>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</si>
  <si>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</si>
  <si>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</si>
  <si>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</si>
  <si>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</si>
  <si>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</si>
  <si>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</si>
  <si>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</si>
  <si>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</si>
  <si>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</si>
  <si>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</si>
  <si>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</si>
  <si>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</si>
  <si>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</si>
  <si>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</si>
  <si>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</si>
  <si>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</si>
  <si>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</si>
  <si>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</si>
  <si>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</si>
  <si>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</si>
  <si>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</si>
  <si>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</si>
  <si>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</si>
  <si>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</si>
  <si>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</si>
  <si>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</si>
  <si>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</si>
  <si>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</si>
  <si>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</si>
  <si>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</si>
  <si>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</si>
  <si>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</si>
  <si>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</si>
  <si>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</si>
  <si>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</si>
  <si>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</si>
  <si>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</si>
  <si>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</si>
  <si>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</si>
  <si>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</si>
  <si>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</si>
  <si>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</si>
  <si>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</si>
  <si>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</si>
  <si>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</si>
  <si>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</si>
  <si>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</si>
  <si>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</si>
  <si>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</si>
  <si>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</si>
  <si>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</si>
  <si>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</si>
  <si>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</si>
  <si>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</si>
  <si>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</si>
  <si>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</si>
  <si>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</si>
  <si>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</si>
  <si>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</si>
  <si>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</si>
  <si>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 · Dinâmica___Valor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</si>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</sst>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21604582.49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12936295.6856848</c:v>
                </c:pt>
                <c:pt idx="3">
                  <c:v>65543349.7496768</c:v>
                </c:pt>
                <c:pt idx="4">
                  <c:v>26566515.9321276</c:v>
                </c:pt>
                <c:pt idx="5">
                  <c:v>1061066.0144022</c:v>
                </c:pt>
                <c:pt idx="6">
                  <c:v>2725430.97321846</c:v>
                </c:pt>
              </c:numCache>
            </c:numRef>
          </c:val>
        </c:ser>
        <c:gapWidth val="60"/>
        <c:overlap val="100"/>
        <c:axId val="48996908"/>
        <c:axId val="99410778"/>
      </c:barChart>
      <c:catAx>
        <c:axId val="489969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9410778"/>
        <c:crosses val="autoZero"/>
        <c:auto val="1"/>
        <c:lblAlgn val="ctr"/>
        <c:lblOffset val="100"/>
        <c:noMultiLvlLbl val="0"/>
      </c:catAx>
      <c:valAx>
        <c:axId val="99410778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89969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7760211.16860531</c:v>
                </c:pt>
                <c:pt idx="1">
                  <c:v>900096.699835606</c:v>
                </c:pt>
                <c:pt idx="2">
                  <c:v>4055322.09028495</c:v>
                </c:pt>
                <c:pt idx="3">
                  <c:v>18564351.2153648</c:v>
                </c:pt>
                <c:pt idx="4">
                  <c:v>34263368.5755861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37955142"/>
        <c:axId val="31012916"/>
      </c:barChart>
      <c:catAx>
        <c:axId val="3795514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1012916"/>
        <c:crosses val="autoZero"/>
        <c:auto val="1"/>
        <c:lblAlgn val="ctr"/>
        <c:lblOffset val="100"/>
        <c:noMultiLvlLbl val="0"/>
      </c:catAx>
      <c:valAx>
        <c:axId val="31012916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7955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0.0373529572675223</c:v>
                </c:pt>
                <c:pt idx="1">
                  <c:v>0.0458304086728906</c:v>
                </c:pt>
                <c:pt idx="2">
                  <c:v>0.0500942151643744</c:v>
                </c:pt>
                <c:pt idx="3">
                  <c:v>0.0585673112022835</c:v>
                </c:pt>
                <c:pt idx="4">
                  <c:v>0.0683835182108827</c:v>
                </c:pt>
                <c:pt idx="5">
                  <c:v>0.0824920609191565</c:v>
                </c:pt>
                <c:pt idx="6">
                  <c:v>0.0990861827489124</c:v>
                </c:pt>
                <c:pt idx="7">
                  <c:v>0.109789190534254</c:v>
                </c:pt>
                <c:pt idx="8">
                  <c:v>0.120582896099782</c:v>
                </c:pt>
                <c:pt idx="9">
                  <c:v>0.130710676840127</c:v>
                </c:pt>
                <c:pt idx="10">
                  <c:v>0.138261428670121</c:v>
                </c:pt>
                <c:pt idx="11">
                  <c:v>0.148089290003409</c:v>
                </c:pt>
                <c:pt idx="12">
                  <c:v>0.156868337418998</c:v>
                </c:pt>
                <c:pt idx="13">
                  <c:v>0.17121304750379</c:v>
                </c:pt>
                <c:pt idx="14">
                  <c:v>0.182250087862953</c:v>
                </c:pt>
                <c:pt idx="15">
                  <c:v>0.193790253121946</c:v>
                </c:pt>
                <c:pt idx="16">
                  <c:v>0.204994525112435</c:v>
                </c:pt>
                <c:pt idx="17">
                  <c:v>0.216747370501354</c:v>
                </c:pt>
                <c:pt idx="18">
                  <c:v>0.23051550562667</c:v>
                </c:pt>
                <c:pt idx="19">
                  <c:v>0.251667059144424</c:v>
                </c:pt>
                <c:pt idx="20">
                  <c:v>0.275271793615551</c:v>
                </c:pt>
                <c:pt idx="21">
                  <c:v>0.296517930097767</c:v>
                </c:pt>
                <c:pt idx="22">
                  <c:v>0.328062573734896</c:v>
                </c:pt>
                <c:pt idx="23">
                  <c:v>0.358162277579809</c:v>
                </c:pt>
                <c:pt idx="24">
                  <c:v>0.380136691261709</c:v>
                </c:pt>
                <c:pt idx="25">
                  <c:v>0.409967062377444</c:v>
                </c:pt>
                <c:pt idx="26">
                  <c:v>0.445862595525126</c:v>
                </c:pt>
                <c:pt idx="27">
                  <c:v>0.486472542726315</c:v>
                </c:pt>
                <c:pt idx="28">
                  <c:v>0.526100622816691</c:v>
                </c:pt>
                <c:pt idx="29">
                  <c:v>0.55523029892798</c:v>
                </c:pt>
                <c:pt idx="30">
                  <c:v>0.589927644645992</c:v>
                </c:pt>
                <c:pt idx="31">
                  <c:v>0.637009340020179</c:v>
                </c:pt>
                <c:pt idx="32">
                  <c:v>0.675698569261482</c:v>
                </c:pt>
                <c:pt idx="33">
                  <c:v>0.713703391042554</c:v>
                </c:pt>
                <c:pt idx="34">
                  <c:v>0.746577857241647</c:v>
                </c:pt>
                <c:pt idx="35">
                  <c:v>0.777472986433851</c:v>
                </c:pt>
                <c:pt idx="36">
                  <c:v>0.803801536420421</c:v>
                </c:pt>
                <c:pt idx="37">
                  <c:v>0.832299773023544</c:v>
                </c:pt>
                <c:pt idx="38">
                  <c:v>0.857666337416936</c:v>
                </c:pt>
                <c:pt idx="39">
                  <c:v>0.884206963748638</c:v>
                </c:pt>
                <c:pt idx="40">
                  <c:v>0.898072270092611</c:v>
                </c:pt>
                <c:pt idx="41">
                  <c:v>0.908326310556953</c:v>
                </c:pt>
                <c:pt idx="42">
                  <c:v>0.915938881053628</c:v>
                </c:pt>
                <c:pt idx="43">
                  <c:v>0.923648294780516</c:v>
                </c:pt>
                <c:pt idx="44">
                  <c:v>0.929808764535265</c:v>
                </c:pt>
                <c:pt idx="45">
                  <c:v>0.934100024747949</c:v>
                </c:pt>
                <c:pt idx="46">
                  <c:v>0.93766495762573</c:v>
                </c:pt>
                <c:pt idx="47">
                  <c:v>0.973233360379669</c:v>
                </c:pt>
                <c:pt idx="48">
                  <c:v>0.975524509106095</c:v>
                </c:pt>
                <c:pt idx="49">
                  <c:v>0.976364606606857</c:v>
                </c:pt>
                <c:pt idx="50">
                  <c:v>0.976458602843944</c:v>
                </c:pt>
                <c:pt idx="51">
                  <c:v>0.982378822065208</c:v>
                </c:pt>
                <c:pt idx="52">
                  <c:v>0.982378822065208</c:v>
                </c:pt>
                <c:pt idx="53">
                  <c:v>0.982378822065208</c:v>
                </c:pt>
                <c:pt idx="54">
                  <c:v>0.982383120550456</c:v>
                </c:pt>
                <c:pt idx="55">
                  <c:v>0.982383120550456</c:v>
                </c:pt>
                <c:pt idx="56">
                  <c:v>0.982383120550456</c:v>
                </c:pt>
                <c:pt idx="57">
                  <c:v>0.982383120550456</c:v>
                </c:pt>
                <c:pt idx="58">
                  <c:v>0.982383120550456</c:v>
                </c:pt>
                <c:pt idx="59">
                  <c:v>0.982383120550456</c:v>
                </c:pt>
                <c:pt idx="60">
                  <c:v>0.982383120550456</c:v>
                </c:pt>
                <c:pt idx="61">
                  <c:v>0.982383120550456</c:v>
                </c:pt>
                <c:pt idx="62">
                  <c:v>0.982383120550456</c:v>
                </c:pt>
                <c:pt idx="63">
                  <c:v>0.982383120550456</c:v>
                </c:pt>
                <c:pt idx="64">
                  <c:v>0.982383120550456</c:v>
                </c:pt>
                <c:pt idx="65">
                  <c:v>0.982383120550456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789705"/>
        <c:axId val="42467074"/>
      </c:lineChart>
      <c:catAx>
        <c:axId val="9478970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2467074"/>
        <c:crosses val="autoZero"/>
        <c:auto val="1"/>
        <c:lblAlgn val="ctr"/>
        <c:lblOffset val="100"/>
        <c:noMultiLvlLbl val="0"/>
      </c:catAx>
      <c:valAx>
        <c:axId val="424670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47897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63000782"/>
        <c:axId val="19822585"/>
      </c:barChart>
      <c:catAx>
        <c:axId val="630007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9822585"/>
        <c:crosses val="autoZero"/>
        <c:auto val="1"/>
        <c:lblAlgn val="ctr"/>
        <c:lblOffset val="100"/>
        <c:noMultiLvlLbl val="0"/>
      </c:catAx>
      <c:valAx>
        <c:axId val="1982258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3000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4055322.09028495</c:v>
                </c:pt>
                <c:pt idx="1">
                  <c:v>1700397.03355393</c:v>
                </c:pt>
                <c:pt idx="2">
                  <c:v>2697233.36357705</c:v>
                </c:pt>
                <c:pt idx="3">
                  <c:v>3965465.82295563</c:v>
                </c:pt>
                <c:pt idx="4">
                  <c:v>4273703.43601681</c:v>
                </c:pt>
                <c:pt idx="5">
                  <c:v>455229.693282812</c:v>
                </c:pt>
                <c:pt idx="6">
                  <c:v>4614483.93114256</c:v>
                </c:pt>
                <c:pt idx="7">
                  <c:v>857837.934836034</c:v>
                </c:pt>
                <c:pt idx="8">
                  <c:v>7159016.67105931</c:v>
                </c:pt>
                <c:pt idx="9">
                  <c:v>24164.1038193289</c:v>
                </c:pt>
                <c:pt idx="10">
                  <c:v>690211.380487367</c:v>
                </c:pt>
                <c:pt idx="11">
                  <c:v>989435.380612963</c:v>
                </c:pt>
                <c:pt idx="12">
                  <c:v>1638529.1339926</c:v>
                </c:pt>
                <c:pt idx="13">
                  <c:v>14175061.4556372</c:v>
                </c:pt>
                <c:pt idx="14">
                  <c:v>0</c:v>
                </c:pt>
                <c:pt idx="15">
                  <c:v>5772820.38651595</c:v>
                </c:pt>
                <c:pt idx="16">
                  <c:v>926858.727006648</c:v>
                </c:pt>
                <c:pt idx="17">
                  <c:v>374871.793358914</c:v>
                </c:pt>
                <c:pt idx="18">
                  <c:v>1146098.74978342</c:v>
                </c:pt>
                <c:pt idx="19">
                  <c:v>1292430.68818804</c:v>
                </c:pt>
                <c:pt idx="20">
                  <c:v>73870.1051243373</c:v>
                </c:pt>
              </c:numCache>
            </c:numRef>
          </c:val>
        </c:ser>
        <c:gapWidth val="40"/>
        <c:overlap val="0"/>
        <c:axId val="58715181"/>
        <c:axId val="46765105"/>
      </c:barChart>
      <c:catAx>
        <c:axId val="587151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6765105"/>
        <c:crosses val="autoZero"/>
        <c:auto val="1"/>
        <c:lblAlgn val="ctr"/>
        <c:lblOffset val="100"/>
        <c:noMultiLvlLbl val="0"/>
      </c:catAx>
      <c:valAx>
        <c:axId val="46765105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87151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45873002.26</c:v>
                </c:pt>
                <c:pt idx="22">
                  <c:v>50753137.1927502</c:v>
                </c:pt>
                <c:pt idx="23">
                  <c:v>55409731.7603967</c:v>
                </c:pt>
                <c:pt idx="24">
                  <c:v>58809297.9456848</c:v>
                </c:pt>
                <c:pt idx="25">
                  <c:v>63424225.2155385</c:v>
                </c:pt>
                <c:pt idx="26">
                  <c:v>68977467.3842822</c:v>
                </c:pt>
                <c:pt idx="27">
                  <c:v>75260056.0935868</c:v>
                </c:pt>
                <c:pt idx="28">
                  <c:v>81390744.4028769</c:v>
                </c:pt>
                <c:pt idx="29">
                  <c:v>85897270.1891781</c:v>
                </c:pt>
                <c:pt idx="30">
                  <c:v>91265145.9800741</c:v>
                </c:pt>
                <c:pt idx="31">
                  <c:v>98548950.765817</c:v>
                </c:pt>
                <c:pt idx="32">
                  <c:v>104534393.534282</c:v>
                </c:pt>
                <c:pt idx="33">
                  <c:v>110413954.594482</c:v>
                </c:pt>
                <c:pt idx="34">
                  <c:v>115499820.605182</c:v>
                </c:pt>
                <c:pt idx="35">
                  <c:v>120279471.976651</c:v>
                </c:pt>
                <c:pt idx="36">
                  <c:v>124352647.695362</c:v>
                </c:pt>
                <c:pt idx="37">
                  <c:v>128761486.215413</c:v>
                </c:pt>
                <c:pt idx="38">
                  <c:v>132685837.317429</c:v>
                </c:pt>
                <c:pt idx="39">
                  <c:v>136791822.447214</c:v>
                </c:pt>
                <c:pt idx="40">
                  <c:v>138936863.824789</c:v>
                </c:pt>
                <c:pt idx="41">
                  <c:v>140523221.928799</c:v>
                </c:pt>
                <c:pt idx="42">
                  <c:v>141700929.676466</c:v>
                </c:pt>
                <c:pt idx="43">
                  <c:v>142893619.62004</c:v>
                </c:pt>
                <c:pt idx="44">
                  <c:v>143846679.163147</c:v>
                </c:pt>
                <c:pt idx="45">
                  <c:v>144510561.409222</c:v>
                </c:pt>
                <c:pt idx="46">
                  <c:v>145062076.705128</c:v>
                </c:pt>
                <c:pt idx="47">
                  <c:v>150564709.9502</c:v>
                </c:pt>
                <c:pt idx="48">
                  <c:v>150919163.627489</c:v>
                </c:pt>
                <c:pt idx="49">
                  <c:v>151049131.466326</c:v>
                </c:pt>
                <c:pt idx="50">
                  <c:v>151063673.21628</c:v>
                </c:pt>
                <c:pt idx="51">
                  <c:v>151979564.641891</c:v>
                </c:pt>
                <c:pt idx="52">
                  <c:v>151979564.641891</c:v>
                </c:pt>
                <c:pt idx="53">
                  <c:v>151979564.641891</c:v>
                </c:pt>
                <c:pt idx="54">
                  <c:v>151980229.641891</c:v>
                </c:pt>
                <c:pt idx="55">
                  <c:v>151980229.641891</c:v>
                </c:pt>
                <c:pt idx="56">
                  <c:v>151980229.641891</c:v>
                </c:pt>
                <c:pt idx="57">
                  <c:v>151980229.641891</c:v>
                </c:pt>
                <c:pt idx="58">
                  <c:v>151980229.641891</c:v>
                </c:pt>
                <c:pt idx="59">
                  <c:v>151980229.641891</c:v>
                </c:pt>
                <c:pt idx="60">
                  <c:v>151980229.641891</c:v>
                </c:pt>
                <c:pt idx="61">
                  <c:v>151980229.641891</c:v>
                </c:pt>
                <c:pt idx="62">
                  <c:v>151980229.641891</c:v>
                </c:pt>
                <c:pt idx="63">
                  <c:v>151980229.641891</c:v>
                </c:pt>
                <c:pt idx="64">
                  <c:v>151980229.641891</c:v>
                </c:pt>
                <c:pt idx="65">
                  <c:v>151980229.641891</c:v>
                </c:pt>
                <c:pt idx="66">
                  <c:v>154705660.61511</c:v>
                </c:pt>
                <c:pt idx="67">
                  <c:v>154705660.61511</c:v>
                </c:pt>
                <c:pt idx="68">
                  <c:v>154705660.61511</c:v>
                </c:pt>
                <c:pt idx="69">
                  <c:v>154705660.61511</c:v>
                </c:pt>
                <c:pt idx="70">
                  <c:v>154705660.61511</c:v>
                </c:pt>
                <c:pt idx="71">
                  <c:v>154705660.61511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600205"/>
        <c:axId val="21762349"/>
      </c:lineChart>
      <c:catAx>
        <c:axId val="9060020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1762349"/>
        <c:crosses val="autoZero"/>
        <c:auto val="1"/>
        <c:lblAlgn val="ctr"/>
        <c:lblOffset val="100"/>
        <c:noMultiLvlLbl val="0"/>
      </c:catAx>
      <c:valAx>
        <c:axId val="21762349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06002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0.309836436580768</c:v>
                </c:pt>
                <c:pt idx="22">
                  <c:v>0.340783868776753</c:v>
                </c:pt>
                <c:pt idx="23">
                  <c:v>0.37031371715847</c:v>
                </c:pt>
                <c:pt idx="24">
                  <c:v>0.391872105495015</c:v>
                </c:pt>
                <c:pt idx="25">
                  <c:v>0.421137720225202</c:v>
                </c:pt>
                <c:pt idx="26">
                  <c:v>0.456353669753923</c:v>
                </c:pt>
                <c:pt idx="27">
                  <c:v>0.496194778816638</c:v>
                </c:pt>
                <c:pt idx="28">
                  <c:v>0.535072609733406</c:v>
                </c:pt>
                <c:pt idx="29">
                  <c:v>0.563650795200179</c:v>
                </c:pt>
                <c:pt idx="30">
                  <c:v>0.597691241696932</c:v>
                </c:pt>
                <c:pt idx="31">
                  <c:v>0.643881574104101</c:v>
                </c:pt>
                <c:pt idx="32">
                  <c:v>0.681838328741546</c:v>
                </c:pt>
                <c:pt idx="33">
                  <c:v>0.719123633299746</c:v>
                </c:pt>
                <c:pt idx="34">
                  <c:v>0.751375711509251</c:v>
                </c:pt>
                <c:pt idx="35">
                  <c:v>0.781685926037608</c:v>
                </c:pt>
                <c:pt idx="36">
                  <c:v>0.80751601703185</c:v>
                </c:pt>
                <c:pt idx="37">
                  <c:v>0.835474717568325</c:v>
                </c:pt>
                <c:pt idx="38">
                  <c:v>0.860361035532164</c:v>
                </c:pt>
                <c:pt idx="39">
                  <c:v>0.886399187786722</c:v>
                </c:pt>
                <c:pt idx="40">
                  <c:v>0.900001992525704</c:v>
                </c:pt>
                <c:pt idx="41">
                  <c:v>0.910061900814908</c:v>
                </c:pt>
                <c:pt idx="42">
                  <c:v>0.917530348136523</c:v>
                </c:pt>
                <c:pt idx="43">
                  <c:v>0.925093805226995</c:v>
                </c:pt>
                <c:pt idx="44">
                  <c:v>0.931137643357602</c:v>
                </c:pt>
                <c:pt idx="45">
                  <c:v>0.935347660309928</c:v>
                </c:pt>
                <c:pt idx="46">
                  <c:v>0.938845100946363</c:v>
                </c:pt>
                <c:pt idx="47">
                  <c:v>0.973740113399488</c:v>
                </c:pt>
                <c:pt idx="48">
                  <c:v>0.975987885499172</c:v>
                </c:pt>
                <c:pt idx="49">
                  <c:v>0.976812078054394</c:v>
                </c:pt>
                <c:pt idx="50">
                  <c:v>0.976904294730143</c:v>
                </c:pt>
                <c:pt idx="51">
                  <c:v>0.982712430813182</c:v>
                </c:pt>
                <c:pt idx="52">
                  <c:v>0.982712430813182</c:v>
                </c:pt>
                <c:pt idx="53">
                  <c:v>0.982712430813182</c:v>
                </c:pt>
                <c:pt idx="54">
                  <c:v>0.982716647918384</c:v>
                </c:pt>
                <c:pt idx="55">
                  <c:v>0.982716647918384</c:v>
                </c:pt>
                <c:pt idx="56">
                  <c:v>0.982716647918384</c:v>
                </c:pt>
                <c:pt idx="57">
                  <c:v>0.982716647918384</c:v>
                </c:pt>
                <c:pt idx="58">
                  <c:v>0.982716647918384</c:v>
                </c:pt>
                <c:pt idx="59">
                  <c:v>0.982716647918384</c:v>
                </c:pt>
                <c:pt idx="60">
                  <c:v>0.982716647918384</c:v>
                </c:pt>
                <c:pt idx="61">
                  <c:v>0.982716647918384</c:v>
                </c:pt>
                <c:pt idx="62">
                  <c:v>0.982716647918384</c:v>
                </c:pt>
                <c:pt idx="63">
                  <c:v>0.982716647918384</c:v>
                </c:pt>
                <c:pt idx="64">
                  <c:v>0.982716647918384</c:v>
                </c:pt>
                <c:pt idx="65">
                  <c:v>0.982716647918384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753975"/>
        <c:axId val="12954694"/>
      </c:lineChart>
      <c:catAx>
        <c:axId val="2075397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2954694"/>
        <c:crosses val="autoZero"/>
        <c:auto val="1"/>
        <c:lblAlgn val="ctr"/>
        <c:lblOffset val="100"/>
        <c:noMultiLvlLbl val="0"/>
      </c:catAx>
      <c:valAx>
        <c:axId val="1295469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07539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Setembro/2026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154705660.61511</v>
      </c>
      <c r="C6" s="12"/>
      <c r="D6" s="12" t="n">
        <f aca="false">SUMPRODUCT(('MODELO PARA BI'!$H$1:$CA$1&lt;='VALOR POR PL'!$P$5)*'MODELO PARA BI'!$H$65:$CA$65)</f>
        <v>45873002.26</v>
      </c>
      <c r="E6" s="12"/>
      <c r="F6" s="12" t="n">
        <f aca="false">SUMPRODUCT((YEAR('MODELO PARA BI'!$H$1:$CA$1)='RETRATO 2027'!$D$5)*'MODELO PARA BI'!$H$65:$CA$65)</f>
        <v>65543349.7496768</v>
      </c>
      <c r="G6" s="8"/>
      <c r="H6" s="12" t="n">
        <f aca="false">SUM('MODELO PARA BI'!$H$65:$CA$65)-D6</f>
        <v>108832658.35511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TEXT(IF(B6=0,0,D6/B6)*100,"0.0")&amp;"% da projeção"</f>
        <v>29.7%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Outubro/2026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0.0373529572675222</v>
      </c>
      <c r="F13" s="25" t="n">
        <f aca="false">IF($C$20=0,0,D13/$C$20)</f>
        <v>0.0373529572675222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0.119515380151475</v>
      </c>
      <c r="F14" s="28" t="n">
        <f aca="false">IF($C$20=0,0,D14/$C$20)</f>
        <v>0.156868337418998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34540878.1756848</v>
      </c>
      <c r="D15" s="24" t="n">
        <f aca="false">D14+C15</f>
        <v>58809297.9456848</v>
      </c>
      <c r="E15" s="25" t="n">
        <f aca="false">IF($C$20=0,0,C15/$C$20)</f>
        <v>0.223268353842712</v>
      </c>
      <c r="F15" s="25" t="n">
        <f aca="false">IF($C$20=0,0,D15/$C$20)</f>
        <v>0.380136691261709</v>
      </c>
      <c r="G15" s="8"/>
      <c r="H15" s="24" t="n">
        <f aca="false">SUMPRODUCT((YEAR('MODELO PARA BI'!$H$1:$CA$1)=B15)*('MODELO PARA BI'!$H$1:$CA$1&lt;='VALOR POR PL'!$P$5)*'MODELO PARA BI'!$H$65:$CA$65)</f>
        <v>21604582.49</v>
      </c>
      <c r="I15" s="24" t="n">
        <f aca="false">C15-H15</f>
        <v>12936295.6856848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65543349.7496768</v>
      </c>
      <c r="D16" s="27" t="n">
        <f aca="false">D15+C16</f>
        <v>124352647.695362</v>
      </c>
      <c r="E16" s="28" t="n">
        <f aca="false">IF($C$20=0,0,C16/$C$20)</f>
        <v>0.423664845158712</v>
      </c>
      <c r="F16" s="28" t="n">
        <f aca="false">IF($C$20=0,0,D16/$C$20)</f>
        <v>0.803801536420421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65543349.7496768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26566515.9321276</v>
      </c>
      <c r="D17" s="24" t="n">
        <f aca="false">D16+C17</f>
        <v>150919163.627489</v>
      </c>
      <c r="E17" s="25" t="n">
        <f aca="false">IF($C$20=0,0,C17/$C$20)</f>
        <v>0.171722972685674</v>
      </c>
      <c r="F17" s="25" t="n">
        <f aca="false">IF($C$20=0,0,D17/$C$20)</f>
        <v>0.975524509106095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26566515.9321276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1061066.0144022</v>
      </c>
      <c r="D18" s="27" t="n">
        <f aca="false">D17+C18</f>
        <v>151980229.641891</v>
      </c>
      <c r="E18" s="28" t="n">
        <f aca="false">IF($C$20=0,0,C18/$C$20)</f>
        <v>0.00685861144436083</v>
      </c>
      <c r="F18" s="28" t="n">
        <f aca="false">IF($C$20=0,0,D18/$C$20)</f>
        <v>0.982383120550456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1061066.0144022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2725430.97321846</v>
      </c>
      <c r="D19" s="24" t="n">
        <f aca="false">D18+C19</f>
        <v>154705660.61511</v>
      </c>
      <c r="E19" s="25" t="n">
        <f aca="false">IF($C$20=0,0,C19/$C$20)</f>
        <v>0.017616879449544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2725430.97321846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154705660.61511</v>
      </c>
      <c r="D20" s="31"/>
      <c r="E20" s="32" t="n">
        <f aca="false">SUM(E13:E19)</f>
        <v>1</v>
      </c>
      <c r="F20" s="31"/>
      <c r="G20" s="8"/>
      <c r="H20" s="30" t="n">
        <f aca="false">SUM(H13:H19)</f>
        <v>45873002.26</v>
      </c>
      <c r="I20" s="30" t="n">
        <f aca="false">SUM(I13:I19)</f>
        <v>108832658.35511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7760211.16860531</v>
      </c>
      <c r="E26" s="36" t="n">
        <f aca="false">IF($D$32=0,0,D26/$D$32)</f>
        <v>0.118398147153649</v>
      </c>
      <c r="F26" s="36" t="n">
        <f aca="false">IFERROR(SUMPRODUCT('RETRATO 2027'!J12:J22,'RETRATO 2027'!M12:M22)/SUM('RETRATO 2027'!M12:M22),0)</f>
        <v>0.847919455777175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900096.699835606</v>
      </c>
      <c r="E27" s="38" t="n">
        <f aca="false">IF($D$32=0,0,D27/$D$32)</f>
        <v>0.0137328455636347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4055322.09028495</v>
      </c>
      <c r="E28" s="36" t="n">
        <f aca="false">IF($D$32=0,0,D28/$D$32)</f>
        <v>0.0618723654767881</v>
      </c>
      <c r="F28" s="36" t="n">
        <f aca="false">IFERROR(SUMPRODUCT('RETRATO 2027'!J30:J30,'RETRATO 2027'!M30:M30)/SUM('RETRATO 2027'!M30:M30),0)</f>
        <v>0.989122619654015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18564351.2153648</v>
      </c>
      <c r="E29" s="38" t="n">
        <f aca="false">IF($D$32=0,0,D29/$D$32)</f>
        <v>0.283237754650408</v>
      </c>
      <c r="F29" s="38" t="n">
        <f aca="false">IFERROR(SUMPRODUCT('RETRATO 2027'!J31:J37,'RETRATO 2027'!M31:M37)/SUM('RETRATO 2027'!M31:M37),0)</f>
        <v>0.827367508806781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34263368.5755861</v>
      </c>
      <c r="E30" s="36" t="n">
        <f aca="false">IF($D$32=0,0,D30/$D$32)</f>
        <v>0.522758887155521</v>
      </c>
      <c r="F30" s="36" t="n">
        <f aca="false">IFERROR(SUMPRODUCT('RETRATO 2027'!J38:J50,'RETRATO 2027'!M38:M50)/SUM('RETRATO 2027'!M38:M50),0)</f>
        <v>0.688959423390541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65543349.7496768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46266</v>
      </c>
      <c r="O5" s="47" t="s">
        <v>94</v>
      </c>
      <c r="P5" s="48" t="n">
        <f aca="false">DATE(YEAR(K5),MONTH(K5),1)</f>
        <v>46266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1299.742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3000994.20285002</v>
      </c>
      <c r="L11" s="56" t="n">
        <f aca="false">PROJETO!$J$7</f>
        <v>2561816.65025222</v>
      </c>
      <c r="M11" s="45" t="n">
        <f aca="false">L11-K11</f>
        <v>-439177.552597802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134784.46065877</v>
      </c>
      <c r="L12" s="56" t="n">
        <f aca="false">SEGUROS!$J$7</f>
        <v>112540.017081642</v>
      </c>
      <c r="M12" s="45" t="n">
        <f aca="false">L12-K12</f>
        <v>-22244.4435771278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165447.374741708</v>
      </c>
      <c r="L13" s="56" t="n">
        <f aca="false">'TAX. DIVERSAS'!$J$7</f>
        <v>162114.553790429</v>
      </c>
      <c r="M13" s="45" t="n">
        <f aca="false">L13-K13</f>
        <v>-3332.82095127925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1097637.43754426</v>
      </c>
      <c r="L14" s="56" t="n">
        <f aca="false">'BARRACÃO DE OBRA'!$J$7</f>
        <v>1190115.20654797</v>
      </c>
      <c r="M14" s="45" t="n">
        <f aca="false">L14-K14</f>
        <v>92477.7690037082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55149.12534715</v>
      </c>
      <c r="L15" s="56" t="n">
        <f aca="false">'LIG. PROVISÓRIAS'!$J$7</f>
        <v>54232.0231269079</v>
      </c>
      <c r="M15" s="45" t="n">
        <f aca="false">L15-K15</f>
        <v>-917.102220242115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424648.260623958</v>
      </c>
      <c r="L16" s="56" t="n">
        <f aca="false">CONSUMOS!$J$7</f>
        <v>567252.799107441</v>
      </c>
      <c r="M16" s="45" t="n">
        <f aca="false">L16-K16</f>
        <v>142604.538483483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144490.70645992</v>
      </c>
      <c r="L17" s="56" t="n">
        <f aca="false">DIVERSOS!$J$7</f>
        <v>265134.543941992</v>
      </c>
      <c r="M17" s="45" t="n">
        <f aca="false">L17-K17</f>
        <v>120643.837482072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819207.159914222</v>
      </c>
      <c r="L18" s="56" t="n">
        <f aca="false">TRANSPORTES!$J$7</f>
        <v>798882.813282273</v>
      </c>
      <c r="M18" s="45" t="n">
        <f aca="false">L18-K18</f>
        <v>-20324.3466319486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888388.273898532</v>
      </c>
      <c r="L19" s="56" t="n">
        <f aca="false">CONSULTORIAS!$J$7</f>
        <v>901409.023979448</v>
      </c>
      <c r="M19" s="45" t="n">
        <f aca="false">L19-K19</f>
        <v>13020.7500809162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16006091.6189758</v>
      </c>
      <c r="L20" s="56" t="n">
        <f aca="false">MDO!$J$7</f>
        <v>16670129.2081007</v>
      </c>
      <c r="M20" s="45" t="n">
        <f aca="false">L20-K20</f>
        <v>664037.589124961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4817991.67235659</v>
      </c>
      <c r="L21" s="56" t="n">
        <f aca="false">'EQUIP E FER'!$J$7</f>
        <v>4731555.27964409</v>
      </c>
      <c r="M21" s="45" t="n">
        <f aca="false">L21-K21</f>
        <v>-86436.3927124944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490.435234237934</v>
      </c>
      <c r="I22" s="55" t="s">
        <v>154</v>
      </c>
      <c r="J22" s="55" t="s">
        <v>81</v>
      </c>
      <c r="K22" s="45" t="n">
        <f aca="false">IF(ISNUMBER($P$7),G22*$P$7,0)</f>
        <v>656542.25724921</v>
      </c>
      <c r="L22" s="56" t="n">
        <f aca="false">'SERV. INICIAIS'!$J$7</f>
        <v>560150.21</v>
      </c>
      <c r="M22" s="45" t="n">
        <f aca="false">L22-K22</f>
        <v>-96392.0472492098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1071.59912092387</v>
      </c>
      <c r="I23" s="55" t="s">
        <v>154</v>
      </c>
      <c r="J23" s="55" t="s">
        <v>157</v>
      </c>
      <c r="K23" s="45" t="n">
        <f aca="false">IF(ISNUMBER($P$7),G23*$P$7,0)</f>
        <v>1526696.31805606</v>
      </c>
      <c r="L23" s="56" t="n">
        <f aca="false">CONTENÇÃO!$J$7</f>
        <v>1252186.97</v>
      </c>
      <c r="M23" s="45" t="n">
        <f aca="false">L23-K23</f>
        <v>-274509.348056058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2036.80478821908</v>
      </c>
      <c r="I24" s="55" t="s">
        <v>154</v>
      </c>
      <c r="J24" s="55" t="s">
        <v>71</v>
      </c>
      <c r="K24" s="45" t="n">
        <f aca="false">IF(ISNUMBER($P$7),G24*$P$7,0)</f>
        <v>3243539.90750129</v>
      </c>
      <c r="L24" s="56" t="n">
        <f aca="false">TERRAPLENAGEM!$J$7</f>
        <v>2371480.27</v>
      </c>
      <c r="M24" s="45" t="n">
        <f aca="false">L24-K24</f>
        <v>-872059.637501288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3672.55605922266</v>
      </c>
      <c r="I25" s="55" t="s">
        <v>154</v>
      </c>
      <c r="J25" s="55" t="s">
        <v>73</v>
      </c>
      <c r="K25" s="45" t="n">
        <f aca="false">IF(ISNUMBER($P$7),G25*$P$7,0)</f>
        <v>5896433.15531575</v>
      </c>
      <c r="L25" s="56" t="n">
        <f aca="false">'FUND. PROF'!$J$7</f>
        <v>4368243.12</v>
      </c>
      <c r="M25" s="45" t="n">
        <f aca="false">L25-K25</f>
        <v>-1528190.03531575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4470159.90168768</v>
      </c>
      <c r="L26" s="56" t="n">
        <f aca="false">'FUND. SUP'!$J$7</f>
        <v>3373746.56983561</v>
      </c>
      <c r="M26" s="45" t="n">
        <f aca="false">L26-K26</f>
        <v>-1096413.33185208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0.9186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22361060.7089805</v>
      </c>
      <c r="L27" s="56" t="n">
        <f aca="false">ESTRUTURA!$J$7</f>
        <v>21256432.6160136</v>
      </c>
      <c r="M27" s="45" t="n">
        <f aca="false">L27-K27</f>
        <v>-1104628.09296697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0.6981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3319639.97706646</v>
      </c>
      <c r="L28" s="56" t="n">
        <f aca="false">ALVENARIA!$J$7</f>
        <v>3632739.89597375</v>
      </c>
      <c r="M28" s="45" t="n">
        <f aca="false">L28-K28</f>
        <v>313099.918907297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0.3577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4190948.83264547</v>
      </c>
      <c r="L29" s="56" t="n">
        <f aca="false">IMPERMEABILIZAÇÃO!$J$7</f>
        <v>3297578.18602072</v>
      </c>
      <c r="M29" s="45" t="n">
        <f aca="false">L29-K29</f>
        <v>-893370.646624746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9411316.00329012</v>
      </c>
      <c r="L30" s="56" t="n">
        <f aca="false">'INST. ELÉTRICA'!$J$7</f>
        <v>9342671.95705853</v>
      </c>
      <c r="M30" s="45" t="n">
        <f aca="false">L30-K30</f>
        <v>-68644.0462315884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0.0919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5713668.16373715</v>
      </c>
      <c r="L31" s="56" t="n">
        <f aca="false">'INST. HIDRO'!$J$7</f>
        <v>5613678.13702726</v>
      </c>
      <c r="M31" s="45" t="n">
        <f aca="false">L31-K31</f>
        <v>-99990.0267098872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714208.520142208</v>
      </c>
      <c r="L32" s="56" t="n">
        <f aca="false">'INST. INC'!$J$7</f>
        <v>778060.027585041</v>
      </c>
      <c r="M32" s="45" t="n">
        <f aca="false">L32-K32</f>
        <v>63851.5074428329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5609570.71567774</v>
      </c>
      <c r="L33" s="56" t="n">
        <f aca="false">'INST. ESP'!$J$7</f>
        <v>5565837.63157763</v>
      </c>
      <c r="M33" s="45" t="n">
        <f aca="false">L33-K33</f>
        <v>-43733.0841001077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2911857.92638409</v>
      </c>
      <c r="L34" s="56" t="n">
        <f aca="false">'ELEVADORES '!$J$7</f>
        <v>2417948.66577323</v>
      </c>
      <c r="M34" s="45" t="n">
        <f aca="false">L34-K34</f>
        <v>-493909.260610856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14294264.1238311</v>
      </c>
      <c r="L35" s="56" t="n">
        <f aca="false">ESQUADRIAS!$J$7</f>
        <v>14182785.8288323</v>
      </c>
      <c r="M35" s="45" t="n">
        <f aca="false">L35-K35</f>
        <v>-111478.29499881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491000.967049808</v>
      </c>
      <c r="L36" s="56" t="n">
        <f aca="false">SERRALHERIA!$J$7</f>
        <v>487206.649787428</v>
      </c>
      <c r="M36" s="45" t="n">
        <f aca="false">L36-K36</f>
        <v>-3794.31726237974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1906893.24631098</v>
      </c>
      <c r="L37" s="56" t="n">
        <f aca="false">MARCENARIA!$J$7</f>
        <v>1892026.81054651</v>
      </c>
      <c r="M37" s="45" t="n">
        <f aca="false">L37-K37</f>
        <v>-14866.4357644648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1238203.18441233</v>
      </c>
      <c r="L38" s="56" t="n">
        <f aca="false">'REV. PISOS'!$J$7</f>
        <v>1228549.9601744</v>
      </c>
      <c r="M38" s="45" t="n">
        <f aca="false">L38-K38</f>
        <v>-9653.22423792328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0.0053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2784195.37471973</v>
      </c>
      <c r="L39" s="56" t="n">
        <f aca="false">'REV. PAREDE'!$J$7</f>
        <v>2762031.88831744</v>
      </c>
      <c r="M39" s="45" t="n">
        <f aca="false">L39-K39</f>
        <v>-22163.4864022955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0.1534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19379328.2224618</v>
      </c>
      <c r="L40" s="56" t="n">
        <f aca="false">'REV. ACAB'!$J$7</f>
        <v>19228243.9712931</v>
      </c>
      <c r="M40" s="45" t="n">
        <f aca="false">L40-K40</f>
        <v>-151084.251168784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215286.742080778</v>
      </c>
      <c r="L41" s="56" t="n">
        <f aca="false">'EST. METÁLICA'!$J$7</f>
        <v>213608.333219518</v>
      </c>
      <c r="M41" s="45" t="n">
        <f aca="false">L41-K41</f>
        <v>-1678.40886125978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8167537.85631307</v>
      </c>
      <c r="L42" s="56" t="n">
        <f aca="false">'REV. FACHADA'!$J$7</f>
        <v>8106321.23132182</v>
      </c>
      <c r="M42" s="45" t="n">
        <f aca="false">L42-K42</f>
        <v>-61216.6249912512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2232651.62206937</v>
      </c>
      <c r="L43" s="56" t="n">
        <f aca="false">FORRO!$J$7</f>
        <v>2215245.52343845</v>
      </c>
      <c r="M43" s="45" t="n">
        <f aca="false">L43-K43</f>
        <v>-17406.0986309187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1247580.62278206</v>
      </c>
      <c r="L44" s="56" t="n">
        <f aca="false">LOUÇAS!$J$7</f>
        <v>1237854.2905789</v>
      </c>
      <c r="M44" s="45" t="n">
        <f aca="false">L44-K44</f>
        <v>-9726.33220315864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2416492.20214265</v>
      </c>
      <c r="L45" s="56" t="n">
        <f aca="false">PINTURA!$J$7</f>
        <v>2396377.38006817</v>
      </c>
      <c r="M45" s="45" t="n">
        <f aca="false">L45-K45</f>
        <v>-20114.8220744818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2660383.45040226</v>
      </c>
      <c r="L46" s="56" t="n">
        <f aca="false">PAISAGISMO!$J$7</f>
        <v>2622683.42751909</v>
      </c>
      <c r="M46" s="45" t="n">
        <f aca="false">L46-K46</f>
        <v>-37700.0228831717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0.118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804870.6274293</v>
      </c>
      <c r="L47" s="56" t="n">
        <f aca="false">LIMPEZA!$J$7</f>
        <v>798595.731073916</v>
      </c>
      <c r="M47" s="45" t="n">
        <f aca="false">L47-K47</f>
        <v>-6274.89635538356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2271949.016</v>
      </c>
      <c r="L48" s="56" t="n">
        <f aca="false">'TAX. ADM'!$J$7</f>
        <v>2075142.69</v>
      </c>
      <c r="M48" s="45" t="n">
        <f aca="false">L48-K48</f>
        <v>-196806.326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117479.867342342</v>
      </c>
      <c r="K49" s="61" t="n">
        <f aca="false">SUM(K11:K47)</f>
        <v>155419160.92311</v>
      </c>
      <c r="L49" s="61" t="n">
        <f aca="false">SUM(L11:L47)</f>
        <v>149217467.401891</v>
      </c>
      <c r="M49" s="61" t="n">
        <f aca="false">SUM(M11:M47)</f>
        <v>-6201693.52121845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119228.030613684</v>
      </c>
      <c r="K50" s="61" t="n">
        <f aca="false">SUM(K11:K48)</f>
        <v>157691109.93911</v>
      </c>
      <c r="L50" s="61" t="n">
        <f aca="false">SUM(L11:L48)</f>
        <v>151292610.091891</v>
      </c>
      <c r="M50" s="61" t="n">
        <f aca="false">SUM(M11:M48)</f>
        <v>-6398499.84721845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1299.742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ACAB'!$C$5:$C$76)+SUMPRODUCT(('EST. METÁLICA'!$B$5:$B$76&lt;=DATE(2026,8,1))*'EST. METÁLICA'!$C$5:$C$76)+SUMPRODUCT(('REV.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ACAB'!$L$5:$L$76)+SUMPRODUCT(('EST. METÁLICA'!$B$5:$B$76&lt;=DATE(2026,8,1))*'EST. METÁLICA'!$L$5:$L$76)+SUMPRODUCT(('REV.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79924.9102979194</v>
      </c>
      <c r="G65" s="71" t="n">
        <f aca="false">IF(F65&gt;0,1-G64/F65,1)</f>
        <v>0.992203844765183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set/2026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46266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1299.742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65543349.7496768</v>
      </c>
      <c r="C8" s="79"/>
      <c r="D8" s="80" t="n">
        <f aca="false">G53</f>
        <v>50427.9693582856</v>
      </c>
      <c r="E8" s="80"/>
      <c r="F8" s="79" t="n">
        <f aca="false">H53</f>
        <v>65543349.7496768</v>
      </c>
      <c r="G8" s="79"/>
      <c r="H8" s="81" t="n">
        <f aca="false">IFERROR(SUMPRODUCT(D12:D50,N12:N50)/SUMPRODUCT(ISNUMBER(D12:D50)*N12:N50),0)</f>
        <v>0.819061242059449</v>
      </c>
      <c r="I8" s="81"/>
      <c r="J8" s="81" t="n">
        <f aca="false">IFERROR(SUMPRODUCT(J12:J50,M12:M50)/SUM(M12:M50),0)</f>
        <v>0.831420986126538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"&amp;TEXT(MAX(IF(LEN(B12:B50)=2,F12:F50))/1000000,"0.0")&amp;" mi no ano"</f>
        <v>R$ 14.2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313509.030189163</v>
      </c>
      <c r="G12" s="89" t="n">
        <f aca="false">SUMPRODUCT((YEAR('MODELO PARA BI'!$H$1:$CA$1)=$D$5)*'MODELO PARA BI'!$H$34:$CA$34)</f>
        <v>241.208663095571</v>
      </c>
      <c r="H12" s="89" t="n">
        <f aca="false">IF(ISNUMBER($G$5),G12*$G$5,0)</f>
        <v>313509.030189163</v>
      </c>
      <c r="I12" s="87" t="n">
        <f aca="false">IF($F$53=0,0,F12/$F$53)</f>
        <v>0.00478323172963416</v>
      </c>
      <c r="J12" s="87" t="n">
        <f aca="false">IF('VALOR POR PL'!L11=0,0,SUMPRODUCT((PROJETO!$B$5:$B$76&lt;=DATE($D$5,12,1))*(PROJETO!$C$5:$C$76+PROJETO!$D$5:$D$76))/'VALOR POR PL'!L11)</f>
        <v>0.989801864816051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2561816.65025222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9039.98092517431</v>
      </c>
      <c r="G13" s="98" t="n">
        <f aca="false">SUMPRODUCT((YEAR('MODELO PARA BI'!$H$1:$CA$1)=$D$5)*'MODELO PARA BI'!$H$45:$CA$45)</f>
        <v>6.95521182294202</v>
      </c>
      <c r="H13" s="98" t="n">
        <f aca="false">IF(ISNUMBER($G$5),G13*$G$5,0)</f>
        <v>9039.98092517431</v>
      </c>
      <c r="I13" s="96" t="n">
        <f aca="false">IF($F$53=0,0,F13/$F$53)</f>
        <v>0.00013792369416119</v>
      </c>
      <c r="J13" s="96" t="n">
        <f aca="false">IF('VALOR POR PL'!L12=0,0,SUMPRODUCT((SEGUROS!$B$5:$B$76&lt;=DATE($D$5,12,1))*(SEGUROS!$C$5:$C$76+SEGUROS!$D$5:$D$76))/'VALOR POR PL'!L12)</f>
        <v>0.919673186839698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112540.017081642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111829.77837304</v>
      </c>
      <c r="G14" s="89" t="n">
        <f aca="false">SUMPRODUCT((YEAR('MODELO PARA BI'!$H$1:$CA$1)=$D$5)*'MODELO PARA BI'!$H$53:$CA$53)</f>
        <v>86.0399820680103</v>
      </c>
      <c r="H14" s="89" t="n">
        <f aca="false">IF(ISNUMBER($G$5),G14*$G$5,0)</f>
        <v>111829.77837304</v>
      </c>
      <c r="I14" s="87" t="n">
        <f aca="false">IF($F$53=0,0,F14/$F$53)</f>
        <v>0.00170619565219264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162114.553790429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111355.119126008</v>
      </c>
      <c r="G15" s="98" t="n">
        <f aca="false">SUMPRODUCT((YEAR('MODELO PARA BI'!$H$1:$CA$1)=$D$5)*'MODELO PARA BI'!$H$3:$CA$3)</f>
        <v>85.6747870931372</v>
      </c>
      <c r="H15" s="98" t="n">
        <f aca="false">IF(ISNUMBER($G$5),G15*$G$5,0)</f>
        <v>111355.119126008</v>
      </c>
      <c r="I15" s="96" t="n">
        <f aca="false">IF($F$53=0,0,F15/$F$53)</f>
        <v>0.00169895373903372</v>
      </c>
      <c r="J15" s="96" t="n">
        <f aca="false">IF('VALOR POR PL'!L14=0,0,SUMPRODUCT(('BARRACÃO DE OBRA'!$B$5:$B$76&lt;=DATE($D$5,12,1))*('BARRACÃO DE OBRA'!$C$5:$C$76+'BARRACÃO DE OBRA'!$D$5:$D$76))/'VALOR POR PL'!L14)</f>
        <v>0.971962957633889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1190115.20654797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11727.7658341813</v>
      </c>
      <c r="G16" s="89" t="n">
        <f aca="false">SUMPRODUCT((YEAR('MODELO PARA BI'!$H$1:$CA$1)=$D$5)*'MODELO PARA BI'!$H$25:$CA$25)</f>
        <v>9.02314908203419</v>
      </c>
      <c r="H16" s="89" t="n">
        <f aca="false">IF(ISNUMBER($G$5),G16*$G$5,0)</f>
        <v>11727.7658341813</v>
      </c>
      <c r="I16" s="87" t="n">
        <f aca="false">IF($F$53=0,0,F16/$F$53)</f>
        <v>0.00017893143818514</v>
      </c>
      <c r="J16" s="87" t="n">
        <f aca="false">IF('VALOR POR PL'!L15=0,0,SUMPRODUCT(('LIG. PROVISÓRIAS'!$B$5:$B$76&lt;=DATE($D$5,12,1))*('LIG. PROVISÓRIAS'!$C$5:$C$76+'LIG. PROVISÓRIAS'!$D$5:$D$76))/'VALOR POR PL'!L15)</f>
        <v>0.783748325104206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54232.0231269079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180377.286085988</v>
      </c>
      <c r="G17" s="98" t="n">
        <f aca="false">SUMPRODUCT((YEAR('MODELO PARA BI'!$H$1:$CA$1)=$D$5)*'MODELO PARA BI'!$H$5:$CA$5)</f>
        <v>138.779300881243</v>
      </c>
      <c r="H17" s="98" t="n">
        <f aca="false">IF(ISNUMBER($G$5),G17*$G$5,0)</f>
        <v>180377.286085988</v>
      </c>
      <c r="I17" s="96" t="n">
        <f aca="false">IF($F$53=0,0,F17/$F$53)</f>
        <v>0.00275203032458495</v>
      </c>
      <c r="J17" s="96" t="n">
        <f aca="false">IF('VALOR POR PL'!L16=0,0,SUMPRODUCT((CONSUMOS!$B$5:$B$76&lt;=DATE($D$5,12,1))*(CONSUMOS!$C$5:$C$76+CONSUMOS!$D$5:$D$76))/'VALOR POR PL'!L16)</f>
        <v>0.931391505843415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567252.799107441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24101.9538921559</v>
      </c>
      <c r="G18" s="89" t="n">
        <f aca="false">SUMPRODUCT((YEAR('MODELO PARA BI'!$H$1:$CA$1)=$D$5)*'MODELO PARA BI'!$H$9:$CA$9)</f>
        <v>18.54364473269</v>
      </c>
      <c r="H18" s="89" t="n">
        <f aca="false">IF(ISNUMBER($G$5),G18*$G$5,0)</f>
        <v>24101.9538921559</v>
      </c>
      <c r="I18" s="87" t="n">
        <f aca="false">IF($F$53=0,0,F18/$F$53)</f>
        <v>0.00036772539066444</v>
      </c>
      <c r="J18" s="87" t="n">
        <f aca="false">IF('VALOR POR PL'!L17=0,0,SUMPRODUCT((DIVERSOS!$B$5:$B$76&lt;=DATE($D$5,12,1))*(DIVERSOS!$C$5:$C$76+DIVERSOS!$D$5:$D$76))/'VALOR POR PL'!L17)</f>
        <v>0.924246153374903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265134.543941992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445250.857743299</v>
      </c>
      <c r="G19" s="98" t="n">
        <f aca="false">SUMPRODUCT((YEAR('MODELO PARA BI'!$H$1:$CA$1)=$D$5)*'MODELO PARA BI'!$H$50:$CA$50)</f>
        <v>342.568646503151</v>
      </c>
      <c r="H19" s="98" t="n">
        <f aca="false">IF(ISNUMBER($G$5),G19*$G$5,0)</f>
        <v>445250.857743299</v>
      </c>
      <c r="I19" s="96" t="n">
        <f aca="false">IF($F$53=0,0,F19/$F$53)</f>
        <v>0.00679322706947083</v>
      </c>
      <c r="J19" s="96" t="n">
        <f aca="false">IF('VALOR POR PL'!L18=0,0,SUMPRODUCT((TRANSPORTES!$B$5:$B$76&lt;=DATE($D$5,12,1))*(TRANSPORTES!$C$5:$C$76+TRANSPORTES!$D$5:$D$76))/'VALOR POR PL'!L18)</f>
        <v>0.910543322363948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798882.813282273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344733.124542491</v>
      </c>
      <c r="G20" s="89" t="n">
        <f aca="false">SUMPRODUCT((YEAR('MODELO PARA BI'!$H$1:$CA$1)=$D$5)*'MODELO PARA BI'!$H$4:$CA$4)</f>
        <v>265.231964914953</v>
      </c>
      <c r="H20" s="89" t="n">
        <f aca="false">IF(ISNUMBER($G$5),G20*$G$5,0)</f>
        <v>344733.124542491</v>
      </c>
      <c r="I20" s="87" t="n">
        <f aca="false">IF($F$53=0,0,F20/$F$53)</f>
        <v>0.00525962017289466</v>
      </c>
      <c r="J20" s="87" t="n">
        <f aca="false">IF('VALOR POR PL'!L19=0,0,SUMPRODUCT((CONSULTORIAS!$B$5:$B$76&lt;=DATE($D$5,12,1))*(CONSULTORIAS!$C$5:$C$76+CONSULTORIAS!$D$5:$D$76))/'VALOR POR PL'!L19)</f>
        <v>0.863715518093619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901409.023979448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5041973.90430173</v>
      </c>
      <c r="G21" s="98" t="n">
        <f aca="false">SUMPRODUCT((YEAR('MODELO PARA BI'!$H$1:$CA$1)=$D$5)*'MODELO PARA BI'!$H$28:$CA$28)</f>
        <v>3879.21133909786</v>
      </c>
      <c r="H21" s="98" t="n">
        <f aca="false">IF(ISNUMBER($G$5),G21*$G$5,0)</f>
        <v>5041973.90430173</v>
      </c>
      <c r="I21" s="96" t="n">
        <f aca="false">IF($F$53=0,0,F21/$F$53)</f>
        <v>0.0769257891694281</v>
      </c>
      <c r="J21" s="96" t="n">
        <f aca="false">IF('VALOR POR PL'!L20=0,0,SUMPRODUCT((MDO!$B$5:$B$76&lt;=DATE($D$5,12,1))*(MDO!$C$5:$C$76+MDO!$D$5:$D$76))/'VALOR POR PL'!L20)</f>
        <v>0.820715379789573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16670129.2081007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1166312.36759208</v>
      </c>
      <c r="G22" s="89" t="n">
        <f aca="false">SUMPRODUCT((YEAR('MODELO PARA BI'!$H$1:$CA$1)=$D$5)*'MODELO PARA BI'!$H$12:$CA$12)</f>
        <v>897.341447450401</v>
      </c>
      <c r="H22" s="89" t="n">
        <f aca="false">IF(ISNUMBER($G$5),G22*$G$5,0)</f>
        <v>1166312.36759208</v>
      </c>
      <c r="I22" s="87" t="n">
        <f aca="false">IF($F$53=0,0,F22/$F$53)</f>
        <v>0.017794518773399</v>
      </c>
      <c r="J22" s="87" t="n">
        <f aca="false">IF('VALOR POR PL'!L21=0,0,SUMPRODUCT(('EQUIP E FER'!$B$5:$B$76&lt;=DATE($D$5,12,1))*('EQUIP E FER'!$C$5:$C$76+'EQUIP E FER'!$D$5:$D$76))/'VALOR POR PL'!L21)</f>
        <v>0.801695487432271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4731555.27964409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7760211.16860531</v>
      </c>
      <c r="G23" s="104" t="n">
        <f aca="false">SUM(G12:G22)</f>
        <v>5970.57813674199</v>
      </c>
      <c r="H23" s="104" t="n">
        <f aca="false">SUM(H12:H22)</f>
        <v>7760211.16860531</v>
      </c>
      <c r="I23" s="103" t="n">
        <f aca="false">IF($F$53=0,0,F23/$F$53)</f>
        <v>0.118398147153649</v>
      </c>
      <c r="J23" s="103" t="n">
        <f aca="false">IFERROR(SUMPRODUCT(J12:J22,M12:M22)/SUM(M12:M22),0)</f>
        <v>0.847919455777175</v>
      </c>
      <c r="K23" s="105"/>
      <c r="L23" s="105"/>
      <c r="M23" s="8" t="n">
        <f aca="false">SUM(M12:M22)</f>
        <v>28015182.1188551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18.7088668366491</v>
      </c>
      <c r="H24" s="89" t="n">
        <f aca="false">IF(ISNUMBER($G$5),G24*$G$5,0)</f>
        <v>24316.7</v>
      </c>
      <c r="I24" s="87" t="n">
        <f aca="false">IF($F$53=0,0,F24/$F$53)</f>
        <v>0.000371001788783612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560150.21</v>
      </c>
      <c r="N24" s="93" t="n">
        <f aca="false">IF('VALOR POR PL'!I22="DIRETO",'VALOR POR PL'!L22,0)</f>
        <v>560150.21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0.9186</v>
      </c>
      <c r="F28" s="89" t="n">
        <f aca="false">SUMPRODUCT((YEAR('FUND. SUP'!$B$5:$B$76)=$D$5)*('FUND. SUP'!$C$5:$C$76+'FUND. SUP'!$D$5:$D$76))</f>
        <v>875779.999835606</v>
      </c>
      <c r="G28" s="89" t="n">
        <f aca="false">SUMPRODUCT((YEAR('MODELO PARA BI'!$H$1:$CA$1)=$D$5)*'MODELO PARA BI'!$H$18:$CA$18)</f>
        <v>673.810648448389</v>
      </c>
      <c r="H28" s="89" t="n">
        <f aca="false">IF(ISNUMBER($G$5),G28*$G$5,0)</f>
        <v>875779.999835606</v>
      </c>
      <c r="I28" s="87" t="n">
        <f aca="false">IF($F$53=0,0,F28/$F$53)</f>
        <v>0.0133618437748511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3373746.56983561</v>
      </c>
      <c r="N28" s="93" t="n">
        <f aca="false">IF('VALOR POR PL'!I26="DIRETO",'VALOR POR PL'!L26,0)</f>
        <v>3373746.56983561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0.950401611014752</v>
      </c>
      <c r="F29" s="104" t="n">
        <f aca="false">SUM(F24:F28)</f>
        <v>900096.699835606</v>
      </c>
      <c r="G29" s="104" t="n">
        <f aca="false">SUM(G24:G28)</f>
        <v>692.519515285038</v>
      </c>
      <c r="H29" s="104" t="n">
        <f aca="false">SUM(H24:H28)</f>
        <v>900096.699835606</v>
      </c>
      <c r="I29" s="103" t="n">
        <f aca="false">IF($F$53=0,0,F29/$F$53)</f>
        <v>0.0137328455636347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11925807.1398356</v>
      </c>
      <c r="N29" s="0" t="n">
        <f aca="false">SUM(N24:N28)</f>
        <v>11925807.1398356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0.6981</v>
      </c>
      <c r="F30" s="89" t="n">
        <f aca="false">SUMPRODUCT((YEAR(ESTRUTURA!$B$5:$B$76)=$D$5)*(ESTRUTURA!$C$5:$C$76+ESTRUTURA!$D$5:$D$76))</f>
        <v>4055322.09028495</v>
      </c>
      <c r="G30" s="89" t="n">
        <f aca="false">SUMPRODUCT((YEAR('MODELO PARA BI'!$H$1:$CA$1)=$D$5)*'MODELO PARA BI'!$H$15:$CA$15)</f>
        <v>3120.09775038811</v>
      </c>
      <c r="H30" s="89" t="n">
        <f aca="false">IF(ISNUMBER($G$5),G30*$G$5,0)</f>
        <v>4055322.09028495</v>
      </c>
      <c r="I30" s="87" t="n">
        <f aca="false">IF($F$53=0,0,F30/$F$53)</f>
        <v>0.061872365476788</v>
      </c>
      <c r="J30" s="87" t="n">
        <f aca="false">IF('VALOR POR PL'!L27=0,0,SUMPRODUCT((ESTRUTURA!$B$5:$B$76&lt;=DATE($D$5,12,1))*(ESTRUTURA!$C$5:$C$76+ESTRUTURA!$D$5:$D$76))/'VALOR POR PL'!L27)</f>
        <v>0.989122619654015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21256432.6160136</v>
      </c>
      <c r="N30" s="93" t="n">
        <f aca="false">IF('VALOR POR PL'!I27="DIRETO",'VALOR POR PL'!L27,0)</f>
        <v>21256432.6160136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0.3577</v>
      </c>
      <c r="F31" s="98" t="n">
        <f aca="false">SUMPRODUCT((YEAR(ALVENARIA!$B$5:$B$76)=$D$5)*(ALVENARIA!$C$5:$C$76+ALVENARIA!$D$5:$D$76))</f>
        <v>1700397.03355393</v>
      </c>
      <c r="G31" s="98" t="n">
        <f aca="false">SUMPRODUCT((YEAR('MODELO PARA BI'!$H$1:$CA$1)=$D$5)*'MODELO PARA BI'!$H$2:$CA$2)</f>
        <v>1308.25735688616</v>
      </c>
      <c r="H31" s="98" t="n">
        <f aca="false">IF(ISNUMBER($G$5),G31*$G$5,0)</f>
        <v>1700397.03355393</v>
      </c>
      <c r="I31" s="96" t="n">
        <f aca="false">IF($F$53=0,0,F31/$F$53)</f>
        <v>0.0259430901845586</v>
      </c>
      <c r="J31" s="96" t="n">
        <f aca="false">IF('VALOR POR PL'!L28=0,0,SUMPRODUCT((ALVENARIA!$B$5:$B$76&lt;=DATE($D$5,12,1))*(ALVENARIA!$C$5:$C$76+ALVENARIA!$D$5:$D$76))/'VALOR POR PL'!L28)</f>
        <v>0.960166469803566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3632739.89597375</v>
      </c>
      <c r="N31" s="93" t="n">
        <f aca="false">IF('VALOR POR PL'!I28="DIRETO",'VALOR POR PL'!L28,0)</f>
        <v>3632739.89597375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2697233.36357705</v>
      </c>
      <c r="G32" s="89" t="n">
        <f aca="false">SUMPRODUCT((YEAR('MODELO PARA BI'!$H$1:$CA$1)=$D$5)*'MODELO PARA BI'!$H$19:$CA$19)</f>
        <v>2075.20674378226</v>
      </c>
      <c r="H32" s="89" t="n">
        <f aca="false">IF(ISNUMBER($G$5),G32*$G$5,0)</f>
        <v>2697233.36357705</v>
      </c>
      <c r="I32" s="87" t="n">
        <f aca="false">IF($F$53=0,0,F32/$F$53)</f>
        <v>0.0411518998323754</v>
      </c>
      <c r="J32" s="87" t="n">
        <f aca="false">IF('VALOR POR PL'!L29=0,0,SUMPRODUCT((IMPERMEABILIZAÇÃO!$B$5:$B$76&lt;=DATE($D$5,12,1))*(IMPERMEABILIZAÇÃO!$C$5:$C$76+IMPERMEABILIZAÇÃO!$D$5:$D$76))/'VALOR POR PL'!L29)</f>
        <v>0.944239351921005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3297578.18602072</v>
      </c>
      <c r="N32" s="93" t="n">
        <f aca="false">IF('VALOR POR PL'!I29="DIRETO",'VALOR POR PL'!L29,0)</f>
        <v>3297578.18602072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0.0919</v>
      </c>
      <c r="F33" s="98" t="n">
        <f aca="false">SUMPRODUCT((YEAR('INST. ELÉTRICA'!$B$5:$B$76)=$D$5)*('INST. ELÉTRICA'!$C$5:$C$76+'INST. ELÉTRICA'!$D$5:$D$76))</f>
        <v>3965465.82295563</v>
      </c>
      <c r="G33" s="98" t="n">
        <f aca="false">SUMPRODUCT((YEAR('MODELO PARA BI'!$H$1:$CA$1)=$D$5)*'MODELO PARA BI'!$H$21:$CA$21)</f>
        <v>3050.96382432485</v>
      </c>
      <c r="H33" s="98" t="n">
        <f aca="false">IF(ISNUMBER($G$5),G33*$G$5,0)</f>
        <v>3965465.82295563</v>
      </c>
      <c r="I33" s="96" t="n">
        <f aca="false">IF($F$53=0,0,F33/$F$53)</f>
        <v>0.060501421396687</v>
      </c>
      <c r="J33" s="96" t="n">
        <f aca="false">IF('VALOR POR PL'!L30=0,0,SUMPRODUCT(('INST. ELÉTRICA'!$B$5:$B$76&lt;=DATE($D$5,12,1))*('INST. ELÉTRICA'!$C$5:$C$76+'INST. ELÉTRICA'!$D$5:$D$76))/'VALOR POR PL'!L30)</f>
        <v>0.5911625712175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9342671.95705853</v>
      </c>
      <c r="N33" s="93" t="n">
        <f aca="false">IF('VALOR POR PL'!I30="DIRETO",'VALOR POR PL'!L30,0)</f>
        <v>9342671.95705853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4273703.43601681</v>
      </c>
      <c r="G34" s="89" t="n">
        <f aca="false">SUMPRODUCT((YEAR('MODELO PARA BI'!$H$1:$CA$1)=$D$5)*'MODELO PARA BI'!$H$23:$CA$23)</f>
        <v>3288.1167462595</v>
      </c>
      <c r="H34" s="89" t="n">
        <f aca="false">IF(ISNUMBER($G$5),G34*$G$5,0)</f>
        <v>4273703.43601681</v>
      </c>
      <c r="I34" s="87" t="n">
        <f aca="false">IF($F$53=0,0,F34/$F$53)</f>
        <v>0.0652042267039897</v>
      </c>
      <c r="J34" s="87" t="n">
        <f aca="false">IF('VALOR POR PL'!L31=0,0,SUMPRODUCT(('INST. HIDRO'!$B$5:$B$76&lt;=DATE($D$5,12,1))*('INST. HIDRO'!$C$5:$C$76+'INST. HIDRO'!$D$5:$D$76))/'VALOR POR PL'!L31)</f>
        <v>0.999909358893122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5613678.13702726</v>
      </c>
      <c r="N34" s="93" t="n">
        <f aca="false">IF('VALOR POR PL'!I31="DIRETO",'VALOR POR PL'!L31,0)</f>
        <v>5613678.13702726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455229.693282812</v>
      </c>
      <c r="G35" s="98" t="n">
        <f aca="false">SUMPRODUCT((YEAR('MODELO PARA BI'!$H$1:$CA$1)=$D$5)*'MODELO PARA BI'!$H$20:$CA$20)</f>
        <v>350.246197539828</v>
      </c>
      <c r="H35" s="98" t="n">
        <f aca="false">IF(ISNUMBER($G$5),G35*$G$5,0)</f>
        <v>455229.693282812</v>
      </c>
      <c r="I35" s="96" t="n">
        <f aca="false">IF($F$53=0,0,F35/$F$53)</f>
        <v>0.00694547494172063</v>
      </c>
      <c r="J35" s="96" t="n">
        <f aca="false">IF('VALOR POR PL'!L32=0,0,SUMPRODUCT(('INST. INC'!$B$5:$B$76&lt;=DATE($D$5,12,1))*('INST. INC'!$C$5:$C$76+'INST. INC'!$D$5:$D$76))/'VALOR POR PL'!L32)</f>
        <v>0.772026484077176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778060.027585041</v>
      </c>
      <c r="N35" s="93" t="n">
        <f aca="false">IF('VALOR POR PL'!I32="DIRETO",'VALOR POR PL'!L32,0)</f>
        <v>778060.027585041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4614483.93114256</v>
      </c>
      <c r="G36" s="89" t="n">
        <f aca="false">SUMPRODUCT((YEAR('MODELO PARA BI'!$H$1:$CA$1)=$D$5)*'MODELO PARA BI'!$H$22:$CA$22)</f>
        <v>3550.30762346878</v>
      </c>
      <c r="H36" s="89" t="n">
        <f aca="false">IF(ISNUMBER($G$5),G36*$G$5,0)</f>
        <v>4614483.93114256</v>
      </c>
      <c r="I36" s="87" t="n">
        <f aca="false">IF($F$53=0,0,F36/$F$53)</f>
        <v>0.0704035413015385</v>
      </c>
      <c r="J36" s="87" t="n">
        <f aca="false">IF('VALOR POR PL'!L33=0,0,SUMPRODUCT(('INST. ESP'!$B$5:$B$76&lt;=DATE($D$5,12,1))*('INST. ESP'!$C$5:$C$76+'INST. ESP'!$D$5:$D$76))/'VALOR POR PL'!L33)</f>
        <v>0.85734335839599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5565837.63157763</v>
      </c>
      <c r="N36" s="93" t="n">
        <f aca="false">IF('VALOR POR PL'!I33="DIRETO",'VALOR POR PL'!L33,0)</f>
        <v>5565837.63157763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857837.934836034</v>
      </c>
      <c r="G37" s="98" t="n">
        <f aca="false">SUMPRODUCT((YEAR('MODELO PARA BI'!$H$1:$CA$1)=$D$5)*'MODELO PARA BI'!$H$10:$CA$10)</f>
        <v>660.00632035899</v>
      </c>
      <c r="H37" s="98" t="n">
        <f aca="false">IF(ISNUMBER($G$5),G37*$G$5,0)</f>
        <v>857837.934836034</v>
      </c>
      <c r="I37" s="96" t="n">
        <f aca="false">IF($F$53=0,0,F37/$F$53)</f>
        <v>0.013088100289538</v>
      </c>
      <c r="J37" s="96" t="n">
        <f aca="false">IF('VALOR POR PL'!L34=0,0,SUMPRODUCT(('ELEVADORES '!$B$5:$B$76&lt;=DATE($D$5,12,1))*('ELEVADORES '!$C$5:$C$76+'ELEVADORES '!$D$5:$D$76))/'VALOR POR PL'!L34)</f>
        <v>0.929350913933595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2417948.66577323</v>
      </c>
      <c r="N37" s="93" t="n">
        <f aca="false">IF('VALOR POR PL'!I34="DIRETO",'VALOR POR PL'!L34,0)</f>
        <v>2417948.66577323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7159016.67105931</v>
      </c>
      <c r="G38" s="89" t="n">
        <f aca="false">SUMPRODUCT((YEAR('MODELO PARA BI'!$H$1:$CA$1)=$D$5)*'MODELO PARA BI'!$H$13:$CA$13)</f>
        <v>5508.02903273058</v>
      </c>
      <c r="H38" s="89" t="n">
        <f aca="false">IF(ISNUMBER($G$5),G38*$G$5,0)</f>
        <v>7159016.67105931</v>
      </c>
      <c r="I38" s="87" t="n">
        <f aca="false">IF($F$53=0,0,F38/$F$53)</f>
        <v>0.109225675806943</v>
      </c>
      <c r="J38" s="87" t="n">
        <f aca="false">IF('VALOR POR PL'!L35=0,0,SUMPRODUCT((ESQUADRIAS!$B$5:$B$76&lt;=DATE($D$5,12,1))*(ESQUADRIAS!$C$5:$C$76+ESQUADRIAS!$D$5:$D$76))/'VALOR POR PL'!L35)</f>
        <v>0.624631680563789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14182785.8288323</v>
      </c>
      <c r="N38" s="93" t="n">
        <f aca="false">IF('VALOR POR PL'!I35="DIRETO",'VALOR POR PL'!L35,0)</f>
        <v>14182785.8288323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24164.1038193289</v>
      </c>
      <c r="G39" s="98" t="n">
        <f aca="false">SUMPRODUCT((YEAR('MODELO PARA BI'!$H$1:$CA$1)=$D$5)*'MODELO PARA BI'!$H$46:$CA$46)</f>
        <v>18.5914618588373</v>
      </c>
      <c r="H39" s="98" t="n">
        <f aca="false">IF(ISNUMBER($G$5),G39*$G$5,0)</f>
        <v>24164.1038193289</v>
      </c>
      <c r="I39" s="96" t="n">
        <f aca="false">IF($F$53=0,0,F39/$F$53)</f>
        <v>0.000368673616951475</v>
      </c>
      <c r="J39" s="96" t="n">
        <f aca="false">IF('VALOR POR PL'!L36=0,0,SUMPRODUCT((SERRALHERIA!$B$5:$B$76&lt;=DATE($D$5,12,1))*(SERRALHERIA!$C$5:$C$76+SERRALHERIA!$D$5:$D$76))/'VALOR POR PL'!L36)</f>
        <v>0.0616044625672172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487206.649787428</v>
      </c>
      <c r="N39" s="93" t="n">
        <f aca="false">IF('VALOR POR PL'!I36="DIRETO",'VALOR POR PL'!L36,0)</f>
        <v>487206.649787428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690211.380487367</v>
      </c>
      <c r="G40" s="89" t="n">
        <f aca="false">SUMPRODUCT((YEAR('MODELO PARA BI'!$H$1:$CA$1)=$D$5)*'MODELO PARA BI'!$H$29:$CA$29)</f>
        <v>531.037221608109</v>
      </c>
      <c r="H40" s="89" t="n">
        <f aca="false">IF(ISNUMBER($G$5),G40*$G$5,0)</f>
        <v>690211.380487367</v>
      </c>
      <c r="I40" s="87" t="n">
        <f aca="false">IF($F$53=0,0,F40/$F$53)</f>
        <v>0.0105306088737213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1892026.81054651</v>
      </c>
      <c r="N40" s="93" t="n">
        <f aca="false">IF('VALOR POR PL'!I37="DIRETO",'VALOR POR PL'!L37,0)</f>
        <v>1892026.81054651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0.0053</v>
      </c>
      <c r="F41" s="98" t="n">
        <f aca="false">SUMPRODUCT((YEAR('REV. PISOS'!$B$5:$B$76)=$D$5)*('REV. PISOS'!$C$5:$C$76+'REV. PISOS'!$D$5:$D$76))</f>
        <v>989435.380612963</v>
      </c>
      <c r="G41" s="98" t="n">
        <f aca="false">SUMPRODUCT((YEAR('MODELO PARA BI'!$H$1:$CA$1)=$D$5)*'MODELO PARA BI'!$H$37:$CA$37)</f>
        <v>761.255218814936</v>
      </c>
      <c r="H41" s="98" t="n">
        <f aca="false">IF(ISNUMBER($G$5),G41*$G$5,0)</f>
        <v>989435.380612963</v>
      </c>
      <c r="I41" s="96" t="n">
        <f aca="false">IF($F$53=0,0,F41/$F$53)</f>
        <v>0.0150958927853369</v>
      </c>
      <c r="J41" s="96" t="n">
        <f aca="false">IF('VALOR POR PL'!L38=0,0,SUMPRODUCT(('REV. PISOS'!$B$5:$B$76&lt;=DATE($D$5,12,1))*('REV. PISOS'!$C$5:$C$76+'REV. PISOS'!$D$5:$D$76))/'VALOR POR PL'!L38)</f>
        <v>0.884487785261888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1228549.9601744</v>
      </c>
      <c r="N41" s="93" t="n">
        <f aca="false">IF('VALOR POR PL'!I38="DIRETO",'VALOR POR PL'!L38,0)</f>
        <v>1228549.9601744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0.1534</v>
      </c>
      <c r="F42" s="89" t="n">
        <f aca="false">SUMPRODUCT((YEAR('REV. PAREDE'!$B$5:$B$76)=$D$5)*('REV. PAREDE'!$C$5:$C$76+'REV. PAREDE'!$D$5:$D$76))</f>
        <v>1638529.1339926</v>
      </c>
      <c r="G42" s="89" t="n">
        <f aca="false">SUMPRODUCT((YEAR('MODELO PARA BI'!$H$1:$CA$1)=$D$5)*'MODELO PARA BI'!$H$38:$CA$38)</f>
        <v>1260.65721811913</v>
      </c>
      <c r="H42" s="89" t="n">
        <f aca="false">IF(ISNUMBER($G$5),G42*$G$5,0)</f>
        <v>1638529.1339926</v>
      </c>
      <c r="I42" s="87" t="n">
        <f aca="false">IF($F$53=0,0,F42/$F$53)</f>
        <v>0.0249991668147946</v>
      </c>
      <c r="J42" s="87" t="n">
        <f aca="false">IF('VALOR POR PL'!L39=0,0,SUMPRODUCT(('REV. PAREDE'!$B$5:$B$76&lt;=DATE($D$5,12,1))*('REV. PAREDE'!$C$5:$C$76+'REV. PAREDE'!$D$5:$D$76))/'VALOR POR PL'!L39)</f>
        <v>0.889178176443406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2762031.88831744</v>
      </c>
      <c r="N42" s="93" t="n">
        <f aca="false">IF('VALOR POR PL'!I39="DIRETO",'VALOR POR PL'!L39,0)</f>
        <v>2762031.88831744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14175061.4556372</v>
      </c>
      <c r="G43" s="98" t="n">
        <f aca="false">SUMPRODUCT((YEAR('MODELO PARA BI'!$H$1:$CA$1)=$D$5)*'MODELO PARA BI'!$H$36:$CA$36)</f>
        <v>10906.0578604348</v>
      </c>
      <c r="H43" s="98" t="n">
        <f aca="false">IF(ISNUMBER($G$5),G43*$G$5,0)</f>
        <v>14175061.4556372</v>
      </c>
      <c r="I43" s="96" t="n">
        <f aca="false">IF($F$53=0,0,F43/$F$53)</f>
        <v>0.216270018388969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19228243.9712931</v>
      </c>
      <c r="N43" s="93" t="n">
        <f aca="false">IF('VALOR POR PL'!I40="DIRETO",'VALOR POR PL'!L40,0)</f>
        <v>19228243.9712931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213608.333219518</v>
      </c>
      <c r="N44" s="93" t="n">
        <f aca="false">IF('VALOR POR PL'!I41="DIRETO",'VALOR POR PL'!L41,0)</f>
        <v>213608.333219518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5772820.38651595</v>
      </c>
      <c r="G45" s="98" t="n">
        <f aca="false">SUMPRODUCT((YEAR('MODELO PARA BI'!$H$1:$CA$1)=$D$5)*'MODELO PARA BI'!$H$39:$CA$39)</f>
        <v>4441.51253596172</v>
      </c>
      <c r="H45" s="98" t="n">
        <f aca="false">IF(ISNUMBER($G$5),G45*$G$5,0)</f>
        <v>5772820.38651595</v>
      </c>
      <c r="I45" s="96" t="n">
        <f aca="false">IF($F$53=0,0,F45/$F$53)</f>
        <v>0.0880763709600366</v>
      </c>
      <c r="J45" s="96" t="n">
        <f aca="false">IF('VALOR POR PL'!L42=0,0,SUMPRODUCT(('REV. FACHADA'!$B$5:$B$76&lt;=DATE($D$5,12,1))*('REV. FACHADA'!$C$5:$C$76+'REV. FACHADA'!$D$5:$D$76))/'VALOR POR PL'!L42)</f>
        <v>0.973249318007934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8106321.23132182</v>
      </c>
      <c r="N45" s="93" t="n">
        <f aca="false">IF('VALOR POR PL'!I42="DIRETO",'VALOR POR PL'!L42,0)</f>
        <v>8106321.23132182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926858.727006648</v>
      </c>
      <c r="G46" s="89" t="n">
        <f aca="false">SUMPRODUCT((YEAR('MODELO PARA BI'!$H$1:$CA$1)=$D$5)*'MODELO PARA BI'!$H$16:$CA$16)</f>
        <v>713.109776406893</v>
      </c>
      <c r="H46" s="89" t="n">
        <f aca="false">IF(ISNUMBER($G$5),G46*$G$5,0)</f>
        <v>926858.727006648</v>
      </c>
      <c r="I46" s="87" t="n">
        <f aca="false">IF($F$53=0,0,F46/$F$53)</f>
        <v>0.0141411558998206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2215245.52343845</v>
      </c>
      <c r="N46" s="93" t="n">
        <f aca="false">IF('VALOR POR PL'!I43="DIRETO",'VALOR POR PL'!L43,0)</f>
        <v>2215245.52343845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374871.793358914</v>
      </c>
      <c r="G47" s="98" t="n">
        <f aca="false">SUMPRODUCT((YEAR('MODELO PARA BI'!$H$1:$CA$1)=$D$5)*'MODELO PARA BI'!$H$27:$CA$27)</f>
        <v>288.42015827673</v>
      </c>
      <c r="H47" s="98" t="n">
        <f aca="false">IF(ISNUMBER($G$5),G47*$G$5,0)</f>
        <v>374871.793358914</v>
      </c>
      <c r="I47" s="96" t="n">
        <f aca="false">IF($F$53=0,0,F47/$F$53)</f>
        <v>0.00571944819406735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1237854.2905789</v>
      </c>
      <c r="N47" s="93" t="n">
        <f aca="false">IF('VALOR POR PL'!I44="DIRETO",'VALOR POR PL'!L44,0)</f>
        <v>1237854.2905789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1146098.74978342</v>
      </c>
      <c r="G48" s="89" t="n">
        <f aca="false">SUMPRODUCT((YEAR('MODELO PARA BI'!$H$1:$CA$1)=$D$5)*'MODELO PARA BI'!$H$33:$CA$33)</f>
        <v>881.789424196049</v>
      </c>
      <c r="H48" s="89" t="n">
        <f aca="false">IF(ISNUMBER($G$5),G48*$G$5,0)</f>
        <v>1146098.74978342</v>
      </c>
      <c r="I48" s="87" t="n">
        <f aca="false">IF($F$53=0,0,F48/$F$53)</f>
        <v>0.0174861180296796</v>
      </c>
      <c r="J48" s="87" t="n">
        <f aca="false">IF('VALOR POR PL'!L45=0,0,SUMPRODUCT((PINTURA!$B$5:$B$76&lt;=DATE($D$5,12,1))*(PINTURA!$C$5:$C$76+PINTURA!$D$5:$D$76))/'VALOR POR PL'!L45)</f>
        <v>0.531394658610571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2396377.38006817</v>
      </c>
      <c r="N48" s="93" t="n">
        <f aca="false">IF('VALOR POR PL'!I45="DIRETO",'VALOR POR PL'!L45,0)</f>
        <v>2396377.38006817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0.118</v>
      </c>
      <c r="F49" s="98" t="n">
        <f aca="false">SUMPRODUCT((YEAR(PAISAGISMO!$B$5:$B$76)=$D$5)*(PAISAGISMO!$C$5:$C$76+PAISAGISMO!$D$5:$D$76))</f>
        <v>1292430.68818804</v>
      </c>
      <c r="G49" s="98" t="n">
        <f aca="false">SUMPRODUCT((YEAR('MODELO PARA BI'!$H$1:$CA$1)=$D$5)*'MODELO PARA BI'!$H$31:$CA$31)</f>
        <v>994.374797604478</v>
      </c>
      <c r="H49" s="98" t="n">
        <f aca="false">IF(ISNUMBER($G$5),G49*$G$5,0)</f>
        <v>1292430.68818804</v>
      </c>
      <c r="I49" s="96" t="n">
        <f aca="false">IF($F$53=0,0,F49/$F$53)</f>
        <v>0.0197187158288994</v>
      </c>
      <c r="J49" s="96" t="n">
        <f aca="false">IF('VALOR POR PL'!L46=0,0,SUMPRODUCT((PAISAGISMO!$B$5:$B$76&lt;=DATE($D$5,12,1))*(PAISAGISMO!$C$5:$C$76+PAISAGISMO!$D$5:$D$76))/'VALOR POR PL'!L46)</f>
        <v>0.643400836996993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2622683.42751909</v>
      </c>
      <c r="N49" s="93" t="n">
        <f aca="false">IF('VALOR POR PL'!I46="DIRETO",'VALOR POR PL'!L46,0)</f>
        <v>2622683.42751909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73870.1051243373</v>
      </c>
      <c r="G50" s="89" t="n">
        <f aca="false">SUMPRODUCT((YEAR('MODELO PARA BI'!$H$1:$CA$1)=$D$5)*'MODELO PARA BI'!$H$26:$CA$26)</f>
        <v>56.8344372378036</v>
      </c>
      <c r="H50" s="89" t="n">
        <f aca="false">IF(ISNUMBER($G$5),G50*$G$5,0)</f>
        <v>73870.1051243373</v>
      </c>
      <c r="I50" s="87" t="n">
        <f aca="false">IF($F$53=0,0,F50/$F$53)</f>
        <v>0.0011270419563001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798595.731073916</v>
      </c>
      <c r="N50" s="93" t="n">
        <f aca="false">IF('VALOR POR PL'!I47="DIRETO",'VALOR POR PL'!L47,0)</f>
        <v>798595.731073916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65543349.7496768</v>
      </c>
      <c r="G51" s="106" t="n">
        <f aca="false">G23+G29+SUM(G30:G50)</f>
        <v>50427.9693582856</v>
      </c>
      <c r="H51" s="106" t="n">
        <f aca="false">H23+H29+SUM(H30:H50)</f>
        <v>65543349.7496768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65543349.7496768</v>
      </c>
      <c r="G53" s="106" t="n">
        <f aca="false">G51+G52</f>
        <v>50427.9693582856</v>
      </c>
      <c r="H53" s="106" t="n">
        <f aca="false">H51+H52</f>
        <v>65543349.7496768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{9FC8712E-968B-4E9A-964E-9458DC857A6E}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{F85CDD82-2EF2-4131-BE6F-3C3C411186DA}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C8712E-968B-4E9A-964E-9458DC857A6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F85CDD82-2EF2-4131-BE6F-3C3C411186DA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2806.3135434362</v>
      </c>
      <c r="F2" s="45" t="n">
        <f aca="false">IF(D2="","",D2-E2)</f>
        <v>-252.237444436204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189.731592885357</v>
      </c>
      <c r="AD2" s="93" t="n">
        <f aca="false">ALVENARIA!E27</f>
        <v>193.988832247254</v>
      </c>
      <c r="AE2" s="93" t="n">
        <f aca="false">ALVENARIA!E28</f>
        <v>176.280034445126</v>
      </c>
      <c r="AF2" s="93" t="n">
        <f aca="false">ALVENARIA!E29</f>
        <v>80.9153360784509</v>
      </c>
      <c r="AG2" s="93" t="n">
        <f aca="false">ALVENARIA!E30</f>
        <v>176.16947087569</v>
      </c>
      <c r="AH2" s="93" t="n">
        <f aca="false">ALVENARIA!E31</f>
        <v>164.764411435981</v>
      </c>
      <c r="AI2" s="93" t="n">
        <f aca="false">ALVENARIA!E32</f>
        <v>221.146494100129</v>
      </c>
      <c r="AJ2" s="93" t="n">
        <f aca="false">ALVENARIA!E33</f>
        <v>203.671570212928</v>
      </c>
      <c r="AK2" s="93" t="n">
        <f aca="false">ALVENARIA!E34</f>
        <v>178.592608209098</v>
      </c>
      <c r="AL2" s="93" t="n">
        <f aca="false">ALVENARIA!E35</f>
        <v>186.952262210374</v>
      </c>
      <c r="AM2" s="93" t="n">
        <f aca="false">ALVENARIA!E36</f>
        <v>109.688793410694</v>
      </c>
      <c r="AN2" s="93" t="n">
        <f aca="false">ALVENARIA!E37</f>
        <v>36.9851358844374</v>
      </c>
      <c r="AO2" s="93" t="n">
        <f aca="false">ALVENARIA!E38</f>
        <v>13.1727881232241</v>
      </c>
      <c r="AP2" s="93" t="n">
        <f aca="false">ALVENARIA!E39</f>
        <v>5.06645697047093</v>
      </c>
      <c r="AQ2" s="93" t="n">
        <f aca="false">ALVENARIA!E40</f>
        <v>7.09303975865922</v>
      </c>
      <c r="AR2" s="93" t="n">
        <f aca="false">ALVENARIA!E41</f>
        <v>4.95432569447245</v>
      </c>
      <c r="AS2" s="93" t="n">
        <f aca="false">ALVENARIA!E42</f>
        <v>4.55981127342394</v>
      </c>
      <c r="AT2" s="93" t="n">
        <f aca="false">ALVENARIA!E43</f>
        <v>62.570743585315</v>
      </c>
      <c r="AU2" s="93" t="n">
        <f aca="false">ALVENARIA!E44</f>
        <v>41.544947157861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2.65801982239552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969.300023879653</v>
      </c>
      <c r="F3" s="45" t="n">
        <f aca="false">IF(D3="","",D3-E3)</f>
        <v>-124.795931879653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25.863425202848</v>
      </c>
      <c r="AD3" s="93" t="n">
        <f aca="false">'BARRACÃO DE OBRA'!E27</f>
        <v>62.7938225260959</v>
      </c>
      <c r="AE3" s="93" t="n">
        <f aca="false">'BARRACÃO DE OBRA'!E28</f>
        <v>52.6065601661264</v>
      </c>
      <c r="AF3" s="93" t="n">
        <f aca="false">'BARRACÃO DE OBRA'!E29</f>
        <v>11.7625980804432</v>
      </c>
      <c r="AG3" s="93" t="n">
        <f aca="false">'BARRACÃO DE OBRA'!E30</f>
        <v>5.67754427745766</v>
      </c>
      <c r="AH3" s="93" t="n">
        <f aca="false">'BARRACÃO DE OBRA'!E31</f>
        <v>5.67754427745766</v>
      </c>
      <c r="AI3" s="93" t="n">
        <f aca="false">'BARRACÃO DE OBRA'!E32</f>
        <v>6.18918427985814</v>
      </c>
      <c r="AJ3" s="93" t="n">
        <f aca="false">'BARRACÃO DE OBRA'!E33</f>
        <v>5.67754427745766</v>
      </c>
      <c r="AK3" s="93" t="n">
        <f aca="false">'BARRACÃO DE OBRA'!E34</f>
        <v>5.67754427745766</v>
      </c>
      <c r="AL3" s="93" t="n">
        <f aca="false">'BARRACÃO DE OBRA'!E35</f>
        <v>5.67754427745766</v>
      </c>
      <c r="AM3" s="93" t="n">
        <f aca="false">'BARRACÃO DE OBRA'!E36</f>
        <v>8.51631357099845</v>
      </c>
      <c r="AN3" s="93" t="n">
        <f aca="false">'BARRACÃO DE OBRA'!E37</f>
        <v>8.51631357099845</v>
      </c>
      <c r="AO3" s="93" t="n">
        <f aca="false">'BARRACÃO DE OBRA'!E38</f>
        <v>8.51631357099845</v>
      </c>
      <c r="AP3" s="93" t="n">
        <f aca="false">'BARRACÃO DE OBRA'!E39</f>
        <v>8.51631357099845</v>
      </c>
      <c r="AQ3" s="93" t="n">
        <f aca="false">'BARRACÃO DE OBRA'!E40</f>
        <v>8.51631357099845</v>
      </c>
      <c r="AR3" s="93" t="n">
        <f aca="false">'BARRACÃO DE OBRA'!E41</f>
        <v>8.51631357099845</v>
      </c>
      <c r="AS3" s="93" t="n">
        <f aca="false">'BARRACÃO DE OBRA'!E42</f>
        <v>11.3550885549153</v>
      </c>
      <c r="AT3" s="93" t="n">
        <f aca="false">'BARRACÃO DE OBRA'!E43</f>
        <v>5.67754427745766</v>
      </c>
      <c r="AU3" s="93" t="n">
        <f aca="false">'BARRACÃO DE OBRA'!E44</f>
        <v>4.26383293563455</v>
      </c>
      <c r="AV3" s="93" t="n">
        <f aca="false">'BARRACÃO DE OBRA'!E45</f>
        <v>2.83876929354079</v>
      </c>
      <c r="AW3" s="93" t="n">
        <f aca="false">'BARRACÃO DE OBRA'!E46</f>
        <v>1.53702179137937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715.471932568632</v>
      </c>
      <c r="F4" s="45" t="n">
        <f aca="false">IF(D4="","",D4-E4)</f>
        <v>-31.9606865686318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12.8688924417307</v>
      </c>
      <c r="AD4" s="93" t="n">
        <f aca="false">CONSULTORIAS!E27</f>
        <v>4.80840751938503</v>
      </c>
      <c r="AE4" s="93" t="n">
        <f aca="false">CONSULTORIAS!E28</f>
        <v>3.50140966904243</v>
      </c>
      <c r="AF4" s="93" t="n">
        <f aca="false">CONSULTORIAS!E29</f>
        <v>3.50140966904243</v>
      </c>
      <c r="AG4" s="93" t="n">
        <f aca="false">CONSULTORIAS!E30</f>
        <v>3.50140966904243</v>
      </c>
      <c r="AH4" s="93" t="n">
        <f aca="false">CONSULTORIAS!E31</f>
        <v>3.50140966904243</v>
      </c>
      <c r="AI4" s="93" t="n">
        <f aca="false">CONSULTORIAS!E32</f>
        <v>3.50140966904243</v>
      </c>
      <c r="AJ4" s="93" t="n">
        <f aca="false">CONSULTORIAS!E33</f>
        <v>3.50140966904243</v>
      </c>
      <c r="AK4" s="93" t="n">
        <f aca="false">CONSULTORIAS!E34</f>
        <v>3.50140966904243</v>
      </c>
      <c r="AL4" s="93" t="n">
        <f aca="false">CONSULTORIAS!E35</f>
        <v>3.50140966904243</v>
      </c>
      <c r="AM4" s="93" t="n">
        <f aca="false">CONSULTORIAS!E36</f>
        <v>3.50140966904243</v>
      </c>
      <c r="AN4" s="93" t="n">
        <f aca="false">CONSULTORIAS!E37</f>
        <v>3.50140966904243</v>
      </c>
      <c r="AO4" s="93" t="n">
        <f aca="false">CONSULTORIAS!E38</f>
        <v>3.50140966904243</v>
      </c>
      <c r="AP4" s="93" t="n">
        <f aca="false">CONSULTORIAS!E39</f>
        <v>77.9064259645237</v>
      </c>
      <c r="AQ4" s="93" t="n">
        <f aca="false">CONSULTORIAS!E40</f>
        <v>77.9064259645237</v>
      </c>
      <c r="AR4" s="93" t="n">
        <f aca="false">CONSULTORIAS!E41</f>
        <v>77.9064259645237</v>
      </c>
      <c r="AS4" s="93" t="n">
        <f aca="false">CONSULTORIAS!E42</f>
        <v>77.9064259645237</v>
      </c>
      <c r="AT4" s="93" t="n">
        <f aca="false">CONSULTORIAS!E43</f>
        <v>16.610841169089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447.852237311281</v>
      </c>
      <c r="F5" s="45" t="n">
        <f aca="false">IF(D5="","",D5-E5)</f>
        <v>-121.134888311281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19.1962712599885</v>
      </c>
      <c r="AD5" s="93" t="n">
        <f aca="false">CONSUMOS!E27</f>
        <v>25.1174430147307</v>
      </c>
      <c r="AE5" s="93" t="n">
        <f aca="false">CONSUMOS!E28</f>
        <v>7.99278512571386</v>
      </c>
      <c r="AF5" s="93" t="n">
        <f aca="false">CONSUMOS!E29</f>
        <v>7.99278512571386</v>
      </c>
      <c r="AG5" s="93" t="n">
        <f aca="false">CONSUMOS!E30</f>
        <v>8.45026667974891</v>
      </c>
      <c r="AH5" s="93" t="n">
        <f aca="false">CONSUMOS!E31</f>
        <v>8.73619012305149</v>
      </c>
      <c r="AI5" s="93" t="n">
        <f aca="false">CONSUMOS!E32</f>
        <v>9.25085771399736</v>
      </c>
      <c r="AJ5" s="93" t="n">
        <f aca="false">CONSUMOS!E33</f>
        <v>12.868341380277</v>
      </c>
      <c r="AK5" s="93" t="n">
        <f aca="false">CONSUMOS!E34</f>
        <v>13.919133965857</v>
      </c>
      <c r="AL5" s="93" t="n">
        <f aca="false">CONSUMOS!E35</f>
        <v>14.3535874045923</v>
      </c>
      <c r="AM5" s="93" t="n">
        <f aca="false">CONSUMOS!E36</f>
        <v>12.8612698073995</v>
      </c>
      <c r="AN5" s="93" t="n">
        <f aca="false">CONSUMOS!E37</f>
        <v>12.4432380574435</v>
      </c>
      <c r="AO5" s="93" t="n">
        <f aca="false">CONSUMOS!E38</f>
        <v>12.3041255904281</v>
      </c>
      <c r="AP5" s="93" t="n">
        <f aca="false">CONSUMOS!E39</f>
        <v>12.0675683322367</v>
      </c>
      <c r="AQ5" s="93" t="n">
        <f aca="false">CONSUMOS!E40</f>
        <v>10.0160976251101</v>
      </c>
      <c r="AR5" s="93" t="n">
        <f aca="false">CONSUMOS!E41</f>
        <v>11.508624201101</v>
      </c>
      <c r="AS5" s="93" t="n">
        <f aca="false">CONSUMOS!E42</f>
        <v>11.4061774012738</v>
      </c>
      <c r="AT5" s="93" t="n">
        <f aca="false">CONSUMOS!E43</f>
        <v>7.39968307296704</v>
      </c>
      <c r="AU5" s="93" t="n">
        <f aca="false">CONSUMOS!E44</f>
        <v>4.86239059028318</v>
      </c>
      <c r="AV5" s="93" t="n">
        <f aca="false">CONSUMOS!E45</f>
        <v>3.5766788706388</v>
      </c>
      <c r="AW5" s="93" t="n">
        <f aca="false">CONSUMOS!E46</f>
        <v>1.84926686684127</v>
      </c>
      <c r="AX5" s="93" t="n">
        <f aca="false">CONSUMOS!E47</f>
        <v>0.848946031626896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1071.59912092387</v>
      </c>
      <c r="F6" s="45" t="n">
        <f aca="false">IF(D6="","",D6-E6)</f>
        <v>103.015778076128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2.579142629845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212.352761818336</v>
      </c>
      <c r="F9" s="45" t="n">
        <f aca="false">IF(D9="","",D9-E9)</f>
        <v>-101.184001818336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26.8888056245009</v>
      </c>
      <c r="AD9" s="93" t="n">
        <f aca="false">DIVERSOS!E27</f>
        <v>1.54530372772417</v>
      </c>
      <c r="AE9" s="93" t="n">
        <f aca="false">DIVERSOS!E28</f>
        <v>1.54530372772417</v>
      </c>
      <c r="AF9" s="93" t="n">
        <f aca="false">DIVERSOS!E29</f>
        <v>1.54530372772417</v>
      </c>
      <c r="AG9" s="93" t="n">
        <f aca="false">DIVERSOS!E30</f>
        <v>1.54530372772417</v>
      </c>
      <c r="AH9" s="93" t="n">
        <f aca="false">DIVERSOS!E31</f>
        <v>1.54530372772417</v>
      </c>
      <c r="AI9" s="93" t="n">
        <f aca="false">DIVERSOS!E32</f>
        <v>1.54530372772417</v>
      </c>
      <c r="AJ9" s="93" t="n">
        <f aca="false">DIVERSOS!E33</f>
        <v>1.54530372772417</v>
      </c>
      <c r="AK9" s="93" t="n">
        <f aca="false">DIVERSOS!E34</f>
        <v>1.54530372772417</v>
      </c>
      <c r="AL9" s="93" t="n">
        <f aca="false">DIVERSOS!E35</f>
        <v>1.54530372772417</v>
      </c>
      <c r="AM9" s="93" t="n">
        <f aca="false">DIVERSOS!E36</f>
        <v>1.54530372772417</v>
      </c>
      <c r="AN9" s="93" t="n">
        <f aca="false">DIVERSOS!E37</f>
        <v>1.54530372772417</v>
      </c>
      <c r="AO9" s="93" t="n">
        <f aca="false">DIVERSOS!E38</f>
        <v>1.54530372772417</v>
      </c>
      <c r="AP9" s="93" t="n">
        <f aca="false">DIVERSOS!E39</f>
        <v>1.54530372772417</v>
      </c>
      <c r="AQ9" s="93" t="n">
        <f aca="false">DIVERSOS!E40</f>
        <v>1.54530372772417</v>
      </c>
      <c r="AR9" s="93" t="n">
        <f aca="false">DIVERSOS!E41</f>
        <v>1.54530372772417</v>
      </c>
      <c r="AS9" s="93" t="n">
        <f aca="false">DIVERSOS!E42</f>
        <v>1.54530372772417</v>
      </c>
      <c r="AT9" s="93" t="n">
        <f aca="false">DIVERSOS!E43</f>
        <v>1.54530372772417</v>
      </c>
      <c r="AU9" s="93" t="n">
        <f aca="false">DIVERSOS!E44</f>
        <v>1.54530372772417</v>
      </c>
      <c r="AV9" s="93" t="n">
        <f aca="false">DIVERSOS!E45</f>
        <v>1.54530372772417</v>
      </c>
      <c r="AW9" s="93" t="n">
        <f aca="false">DIVERSOS!E46</f>
        <v>1.54530372772417</v>
      </c>
      <c r="AX9" s="93" t="n">
        <f aca="false">DIVERSOS!E47</f>
        <v>1.54530372772417</v>
      </c>
      <c r="AY9" s="93" t="n">
        <f aca="false">DIVERSOS!E48</f>
        <v>1.54530372772417</v>
      </c>
      <c r="AZ9" s="93" t="n">
        <f aca="false">DIVERSOS!E49</f>
        <v>1.54530372772417</v>
      </c>
      <c r="BA9" s="93" t="n">
        <f aca="false">DIVERSOS!E50</f>
        <v>1.54530372772417</v>
      </c>
      <c r="BB9" s="93" t="n">
        <f aca="false">DIVERSOS!E51</f>
        <v>1.54530372772417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1864.12531506439</v>
      </c>
      <c r="F10" s="45" t="n">
        <f aca="false">IF(D10="","",D10-E10)</f>
        <v>376.210017935613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135.56536604957</v>
      </c>
      <c r="AD10" s="93" t="n">
        <f aca="false">'ELEVADORES '!E27</f>
        <v>259.355284239701</v>
      </c>
      <c r="AE10" s="93" t="n">
        <f aca="false">'ELEVADORES '!E28</f>
        <v>123.789918190131</v>
      </c>
      <c r="AF10" s="93" t="n">
        <f aca="false">'ELEVADORES '!E29</f>
        <v>123.789918190131</v>
      </c>
      <c r="AG10" s="93" t="n">
        <f aca="false">'ELEVADORES '!E30</f>
        <v>123.789918190131</v>
      </c>
      <c r="AH10" s="93" t="n">
        <f aca="false">'ELEVADORES '!E31</f>
        <v>123.789918190131</v>
      </c>
      <c r="AI10" s="93" t="n">
        <f aca="false">'ELEVADORES '!E32</f>
        <v>123.789918190131</v>
      </c>
      <c r="AJ10" s="93" t="n">
        <f aca="false">'ELEVADORES '!E33</f>
        <v>123.789918190131</v>
      </c>
      <c r="AK10" s="93" t="n">
        <f aca="false">'ELEVADORES '!E34</f>
        <v>129.174500035925</v>
      </c>
      <c r="AL10" s="93" t="n">
        <f aca="false">'ELEVADORES '!E35</f>
        <v>5.38458886480977</v>
      </c>
      <c r="AM10" s="93" t="n">
        <f aca="false">'ELEVADORES '!E36</f>
        <v>5.38458886480977</v>
      </c>
      <c r="AN10" s="93" t="n">
        <f aca="false">'ELEVADORES '!E37</f>
        <v>4.37460161924529</v>
      </c>
      <c r="AO10" s="93" t="n">
        <f aca="false">'ELEVADORES '!E38</f>
        <v>4.37460161924529</v>
      </c>
      <c r="AP10" s="93" t="n">
        <f aca="false">'ELEVADORES '!E39</f>
        <v>5.38458886480977</v>
      </c>
      <c r="AQ10" s="93" t="n">
        <f aca="false">'ELEVADORES '!E40</f>
        <v>5.38458886480977</v>
      </c>
      <c r="AR10" s="93" t="n">
        <f aca="false">'ELEVADORES '!E41</f>
        <v>5.38458886480977</v>
      </c>
      <c r="AS10" s="93" t="n">
        <f aca="false">'ELEVADORES '!E42</f>
        <v>7.23234478340796</v>
      </c>
      <c r="AT10" s="93" t="n">
        <f aca="false">'ELEVADORES '!E43</f>
        <v>4.37460161924529</v>
      </c>
      <c r="AU10" s="93" t="n">
        <f aca="false">'ELEVADORES '!E44</f>
        <v>2.5268457006471</v>
      </c>
      <c r="AV10" s="93" t="n">
        <f aca="false">'ELEVADORES '!E45</f>
        <v>2.5268457006471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114.769956415801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3691.51831135224</v>
      </c>
      <c r="F12" s="45" t="n">
        <f aca="false">IF(D12="","",D12-E12)</f>
        <v>15.3648026477626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120.641558093837</v>
      </c>
      <c r="AD12" s="93" t="n">
        <f aca="false">'EQUIP E FER'!E27</f>
        <v>231.18986732475</v>
      </c>
      <c r="AE12" s="93" t="n">
        <f aca="false">'EQUIP E FER'!E28</f>
        <v>120.84788050605</v>
      </c>
      <c r="AF12" s="93" t="n">
        <f aca="false">'EQUIP E FER'!E29</f>
        <v>123.653649873458</v>
      </c>
      <c r="AG12" s="93" t="n">
        <f aca="false">'EQUIP E FER'!E30</f>
        <v>109.836948610988</v>
      </c>
      <c r="AH12" s="93" t="n">
        <f aca="false">'EQUIP E FER'!E31</f>
        <v>93.7254185113599</v>
      </c>
      <c r="AI12" s="93" t="n">
        <f aca="false">'EQUIP E FER'!E32</f>
        <v>111.131176052678</v>
      </c>
      <c r="AJ12" s="93" t="n">
        <f aca="false">'EQUIP E FER'!E33</f>
        <v>92.8146157419122</v>
      </c>
      <c r="AK12" s="93" t="n">
        <f aca="false">'EQUIP E FER'!E34</f>
        <v>87.2805587959876</v>
      </c>
      <c r="AL12" s="93" t="n">
        <f aca="false">'EQUIP E FER'!E35</f>
        <v>72.3828550476224</v>
      </c>
      <c r="AM12" s="93" t="n">
        <f aca="false">'EQUIP E FER'!E36</f>
        <v>59.6956872114131</v>
      </c>
      <c r="AN12" s="93" t="n">
        <f aca="false">'EQUIP E FER'!E37</f>
        <v>68.2867312786824</v>
      </c>
      <c r="AO12" s="93" t="n">
        <f aca="false">'EQUIP E FER'!E38</f>
        <v>82.820007577466</v>
      </c>
      <c r="AP12" s="93" t="n">
        <f aca="false">'EQUIP E FER'!E39</f>
        <v>39.3270144729946</v>
      </c>
      <c r="AQ12" s="93" t="n">
        <f aca="false">'EQUIP E FER'!E40</f>
        <v>43.1339410283164</v>
      </c>
      <c r="AR12" s="93" t="n">
        <f aca="false">'EQUIP E FER'!E41</f>
        <v>36.9064931209802</v>
      </c>
      <c r="AS12" s="93" t="n">
        <f aca="false">'EQUIP E FER'!E42</f>
        <v>36.1675633894324</v>
      </c>
      <c r="AT12" s="93" t="n">
        <f aca="false">'EQUIP E FER'!E43</f>
        <v>36.2089406894245</v>
      </c>
      <c r="AU12" s="93" t="n">
        <f aca="false">'EQUIP E FER'!E44</f>
        <v>27.7321771356972</v>
      </c>
      <c r="AV12" s="93" t="n">
        <f aca="false">'EQUIP E FER'!E45</f>
        <v>27.7321771356972</v>
      </c>
      <c r="AW12" s="93" t="n">
        <f aca="false">'EQUIP E FER'!E46</f>
        <v>17.638798559013</v>
      </c>
      <c r="AX12" s="93" t="n">
        <f aca="false">'EQUIP E FER'!E47</f>
        <v>11.4855128518437</v>
      </c>
      <c r="AY12" s="93" t="n">
        <f aca="false">'EQUIP E FER'!E48</f>
        <v>4.80006957781714</v>
      </c>
      <c r="AZ12" s="93" t="n">
        <f aca="false">'EQUIP E FER'!E49</f>
        <v>4.80006957781714</v>
      </c>
      <c r="BA12" s="93" t="n">
        <f aca="false">'EQUIP E FER'!E50</f>
        <v>3.32310009746681</v>
      </c>
      <c r="BB12" s="93" t="n">
        <f aca="false">'EQUIP E FER'!E51</f>
        <v>0</v>
      </c>
      <c r="BC12" s="93" t="n">
        <f aca="false">'EQUIP E FER'!E52</f>
        <v>551.503808377463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0.511640002400477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10912.2815365386</v>
      </c>
      <c r="F13" s="45" t="n">
        <f aca="false">IF(D13="","",D13-E13)</f>
        <v>85.4888854613982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425.327094731237</v>
      </c>
      <c r="AE13" s="93" t="n">
        <f aca="false">ESQUADRIAS!E28</f>
        <v>425.327094731237</v>
      </c>
      <c r="AF13" s="93" t="n">
        <f aca="false">ESQUADRIAS!E29</f>
        <v>425.327094731237</v>
      </c>
      <c r="AG13" s="93" t="n">
        <f aca="false">ESQUADRIAS!E30</f>
        <v>827.808060405938</v>
      </c>
      <c r="AH13" s="93" t="n">
        <f aca="false">ESQUADRIAS!E31</f>
        <v>1077.121209715</v>
      </c>
      <c r="AI13" s="93" t="n">
        <f aca="false">ESQUADRIAS!E32</f>
        <v>1077.121209715</v>
      </c>
      <c r="AJ13" s="93" t="n">
        <f aca="false">ESQUADRIAS!E33</f>
        <v>255.882557900946</v>
      </c>
      <c r="AK13" s="93" t="n">
        <f aca="false">ESQUADRIAS!E34</f>
        <v>6.56940859188842</v>
      </c>
      <c r="AL13" s="93" t="n">
        <f aca="false">ESQUADRIAS!E35</f>
        <v>6.56940859188842</v>
      </c>
      <c r="AM13" s="93" t="n">
        <f aca="false">ESQUADRIAS!E36</f>
        <v>380.539132555475</v>
      </c>
      <c r="AN13" s="93" t="n">
        <f aca="false">ESQUADRIAS!E37</f>
        <v>530.127025509836</v>
      </c>
      <c r="AO13" s="93" t="n">
        <f aca="false">ESQUADRIAS!E38</f>
        <v>523.557616917948</v>
      </c>
      <c r="AP13" s="93" t="n">
        <f aca="false">ESQUADRIAS!E39</f>
        <v>523.557616917948</v>
      </c>
      <c r="AQ13" s="93" t="n">
        <f aca="false">ESQUADRIAS!E40</f>
        <v>149.587892954362</v>
      </c>
      <c r="AR13" s="93" t="n">
        <f aca="false">ESQUADRIAS!E41</f>
        <v>149.587892954362</v>
      </c>
      <c r="AS13" s="93" t="n">
        <f aca="false">ESQUADRIAS!E42</f>
        <v>149.587892954362</v>
      </c>
      <c r="AT13" s="93" t="n">
        <f aca="false">ESQUADRIAS!E43</f>
        <v>149.587892954362</v>
      </c>
      <c r="AU13" s="93" t="n">
        <f aca="false">ESQUADRIAS!E44</f>
        <v>149.587892954362</v>
      </c>
      <c r="AV13" s="93" t="n">
        <f aca="false">ESQUADRIAS!E45</f>
        <v>149.587892954362</v>
      </c>
      <c r="AW13" s="93" t="n">
        <f aca="false">ESQUADRIAS!E46</f>
        <v>149.587892954362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3348.07996177015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16738.9460039423</v>
      </c>
      <c r="F15" s="45" t="n">
        <f aca="false">IF(D15="","",D15-E15)</f>
        <v>465.284304057714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985.83280374105</v>
      </c>
      <c r="AD15" s="93" t="n">
        <f aca="false">ESTRUTURA!E27</f>
        <v>664.828166039789</v>
      </c>
      <c r="AE15" s="93" t="n">
        <f aca="false">ESTRUTURA!E28</f>
        <v>961.281535990052</v>
      </c>
      <c r="AF15" s="93" t="n">
        <f aca="false">ESTRUTURA!E29</f>
        <v>628.709626241031</v>
      </c>
      <c r="AG15" s="93" t="n">
        <f aca="false">ESTRUTURA!E30</f>
        <v>675.719325313831</v>
      </c>
      <c r="AH15" s="93" t="n">
        <f aca="false">ESTRUTURA!E31</f>
        <v>778.481930434335</v>
      </c>
      <c r="AI15" s="93" t="n">
        <f aca="false">ESTRUTURA!E32</f>
        <v>632.186485150295</v>
      </c>
      <c r="AJ15" s="93" t="n">
        <f aca="false">ESTRUTURA!E33</f>
        <v>457.467583938596</v>
      </c>
      <c r="AK15" s="93" t="n">
        <f aca="false">ESTRUTURA!E34</f>
        <v>284.015803991676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273.636662936824</v>
      </c>
      <c r="AO15" s="93" t="n">
        <f aca="false">ESTRUTURA!E38</f>
        <v>5.36402609133197</v>
      </c>
      <c r="AP15" s="93" t="n">
        <f aca="false">ESTRUTURA!E39</f>
        <v>4.00117869546418</v>
      </c>
      <c r="AQ15" s="93" t="n">
        <f aca="false">ESTRUTURA!E40</f>
        <v>0</v>
      </c>
      <c r="AR15" s="93" t="n">
        <f aca="false">ESTRUTURA!E41</f>
        <v>9.22475383576125</v>
      </c>
      <c r="AS15" s="93" t="n">
        <f aca="false">ESTRUTURA!E42</f>
        <v>12.1895807014007</v>
      </c>
      <c r="AT15" s="93" t="n">
        <f aca="false">ESTRUTURA!E43</f>
        <v>0</v>
      </c>
      <c r="AU15" s="93" t="n">
        <f aca="false">ESTRUTURA!E44</f>
        <v>165.702879773965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1704.37327057097</v>
      </c>
      <c r="F16" s="45" t="n">
        <f aca="false">IF(D16="","",D16-E16)</f>
        <v>13.391964429032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0.51131198117129</v>
      </c>
      <c r="AJ16" s="93" t="n">
        <f aca="false">FORRO!E33</f>
        <v>30.3378442161632</v>
      </c>
      <c r="AK16" s="93" t="n">
        <f aca="false">FORRO!E34</f>
        <v>27.2699723291355</v>
      </c>
      <c r="AL16" s="93" t="n">
        <f aca="false">FORRO!E35</f>
        <v>40.9049584937032</v>
      </c>
      <c r="AM16" s="93" t="n">
        <f aca="false">FORRO!E36</f>
        <v>55.5625686206136</v>
      </c>
      <c r="AN16" s="93" t="n">
        <f aca="false">FORRO!E37</f>
        <v>99.3649616742874</v>
      </c>
      <c r="AO16" s="93" t="n">
        <f aca="false">FORRO!E38</f>
        <v>72.0949893451519</v>
      </c>
      <c r="AP16" s="93" t="n">
        <f aca="false">FORRO!E39</f>
        <v>152.200533061987</v>
      </c>
      <c r="AQ16" s="93" t="n">
        <f aca="false">FORRO!E40</f>
        <v>178.788756082895</v>
      </c>
      <c r="AR16" s="93" t="n">
        <f aca="false">FORRO!E41</f>
        <v>56.073880601785</v>
      </c>
      <c r="AS16" s="93" t="n">
        <f aca="false">FORRO!E42</f>
        <v>127.487120638708</v>
      </c>
      <c r="AT16" s="93" t="n">
        <f aca="false">FORRO!E43</f>
        <v>127.146245984594</v>
      </c>
      <c r="AU16" s="93" t="n">
        <f aca="false">FORRO!E44</f>
        <v>183.390563913436</v>
      </c>
      <c r="AV16" s="93" t="n">
        <f aca="false">FORRO!E45</f>
        <v>121.52181419171</v>
      </c>
      <c r="AW16" s="93" t="n">
        <f aca="false">FORRO!E46</f>
        <v>80.7872930250638</v>
      </c>
      <c r="AX16" s="93" t="n">
        <f aca="false">FORRO!E47</f>
        <v>65.7888082440394</v>
      </c>
      <c r="AY16" s="93" t="n">
        <f aca="false">FORRO!E48</f>
        <v>65.7888082440394</v>
      </c>
      <c r="AZ16" s="93" t="n">
        <f aca="false">FORRO!E49</f>
        <v>72.094989345152</v>
      </c>
      <c r="BA16" s="93" t="n">
        <f aca="false">FORRO!E50</f>
        <v>62.7209363570117</v>
      </c>
      <c r="BB16" s="93" t="n">
        <f aca="false">FORRO!E51</f>
        <v>65.7888082440394</v>
      </c>
      <c r="BC16" s="93" t="n">
        <f aca="false">FORRO!E52</f>
        <v>18.7481059762806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3672.55605922266</v>
      </c>
      <c r="F17" s="45" t="n">
        <f aca="false">IF(D17="","",D17-E17)</f>
        <v>864.062096777343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3.80418575378806</v>
      </c>
      <c r="AD17" s="93" t="n">
        <f aca="false">'FUND. PROF'!E27</f>
        <v>3.27735042800802</v>
      </c>
      <c r="AE17" s="93" t="n">
        <f aca="false">'FUND. PROF'!E28</f>
        <v>2.96151851675179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2723.26909026282</v>
      </c>
      <c r="F18" s="45" t="n">
        <f aca="false">IF(D18="","",D18-E18)</f>
        <v>715.998011737181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21.1683857257825</v>
      </c>
      <c r="AD18" s="93" t="n">
        <f aca="false">'FUND. SUP'!E27</f>
        <v>46.1348790760012</v>
      </c>
      <c r="AE18" s="93" t="n">
        <f aca="false">'FUND. SUP'!E28</f>
        <v>1.79831074167027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3.93043388610971</v>
      </c>
      <c r="AJ18" s="93" t="n">
        <f aca="false">'FUND. SUP'!E33</f>
        <v>60.6805427423708</v>
      </c>
      <c r="AK18" s="93" t="n">
        <f aca="false">'FUND. SUP'!E34</f>
        <v>202.541811586023</v>
      </c>
      <c r="AL18" s="93" t="n">
        <f aca="false">'FUND. SUP'!E35</f>
        <v>222.221987610576</v>
      </c>
      <c r="AM18" s="93" t="n">
        <f aca="false">'FUND. SUP'!E36</f>
        <v>182.041628227114</v>
      </c>
      <c r="AN18" s="93" t="n">
        <f aca="false">'FUND. SUP'!E37</f>
        <v>0</v>
      </c>
      <c r="AO18" s="93" t="n">
        <f aca="false">'FUND. SUP'!E38</f>
        <v>2.39424439619555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2537.10596391285</v>
      </c>
      <c r="F19" s="45" t="n">
        <f aca="false">IF(D19="","",D19-E19)</f>
        <v>687.340759087149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79.7093730909673</v>
      </c>
      <c r="AD19" s="93" t="n">
        <f aca="false">IMPERMEABILIZAÇÃO!E27</f>
        <v>72.3738865097843</v>
      </c>
      <c r="AE19" s="93" t="n">
        <f aca="false">IMPERMEABILIZAÇÃO!E28</f>
        <v>98.4366917251485</v>
      </c>
      <c r="AF19" s="93" t="n">
        <f aca="false">IMPERMEABILIZAÇÃO!E29</f>
        <v>68.1584676988002</v>
      </c>
      <c r="AG19" s="93" t="n">
        <f aca="false">IMPERMEABILIZAÇÃO!E30</f>
        <v>122.807417605882</v>
      </c>
      <c r="AH19" s="93" t="n">
        <f aca="false">IMPERMEABILIZAÇÃO!E31</f>
        <v>151.147590899547</v>
      </c>
      <c r="AI19" s="93" t="n">
        <f aca="false">IMPERMEABILIZAÇÃO!E32</f>
        <v>108.444798784497</v>
      </c>
      <c r="AJ19" s="93" t="n">
        <f aca="false">IMPERMEABILIZAÇÃO!E33</f>
        <v>168.658592284251</v>
      </c>
      <c r="AK19" s="93" t="n">
        <f aca="false">IMPERMEABILIZAÇÃO!E34</f>
        <v>215.661806527403</v>
      </c>
      <c r="AL19" s="93" t="n">
        <f aca="false">IMPERMEABILIZAÇÃO!E35</f>
        <v>290.774786151263</v>
      </c>
      <c r="AM19" s="93" t="n">
        <f aca="false">IMPERMEABILIZAÇÃO!E36</f>
        <v>251.144625122723</v>
      </c>
      <c r="AN19" s="93" t="n">
        <f aca="false">IMPERMEABILIZAÇÃO!E37</f>
        <v>123.268233431795</v>
      </c>
      <c r="AO19" s="93" t="n">
        <f aca="false">IMPERMEABILIZAÇÃO!E38</f>
        <v>235.476887041673</v>
      </c>
      <c r="AP19" s="93" t="n">
        <f aca="false">IMPERMEABILIZAÇÃO!E39</f>
        <v>191.238567754</v>
      </c>
      <c r="AQ19" s="93" t="n">
        <f aca="false">IMPERMEABILIZAÇÃO!E40</f>
        <v>129.258839168668</v>
      </c>
      <c r="AR19" s="93" t="n">
        <f aca="false">IMPERMEABILIZAÇÃO!E41</f>
        <v>87.3245990105617</v>
      </c>
      <c r="AS19" s="93" t="n">
        <f aca="false">IMPERMEABILIZAÇÃO!E42</f>
        <v>128.567615429798</v>
      </c>
      <c r="AT19" s="93" t="n">
        <f aca="false">IMPERMEABILIZAÇÃO!E43</f>
        <v>12.9028431255712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598.626517866654</v>
      </c>
      <c r="F20" s="45" t="n">
        <f aca="false">IF(D20="","",D20-E20)</f>
        <v>-49.1262938666541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0</v>
      </c>
      <c r="AD20" s="93" t="n">
        <f aca="false">'INST. INC'!E27</f>
        <v>64.1073258734301</v>
      </c>
      <c r="AE20" s="93" t="n">
        <f aca="false">'INST. INC'!E28</f>
        <v>23.8997355895532</v>
      </c>
      <c r="AF20" s="93" t="n">
        <f aca="false">'INST. INC'!E29</f>
        <v>23.902266861144</v>
      </c>
      <c r="AG20" s="93" t="n">
        <f aca="false">'INST. INC'!E30</f>
        <v>22.5397251307683</v>
      </c>
      <c r="AH20" s="93" t="n">
        <f aca="false">'INST. INC'!E31</f>
        <v>41.1467378038243</v>
      </c>
      <c r="AI20" s="93" t="n">
        <f aca="false">'INST. INC'!E32</f>
        <v>25.7093739772825</v>
      </c>
      <c r="AJ20" s="93" t="n">
        <f aca="false">'INST. INC'!E33</f>
        <v>46.3120914796254</v>
      </c>
      <c r="AK20" s="93" t="n">
        <f aca="false">'INST. INC'!E34</f>
        <v>36.8031449400825</v>
      </c>
      <c r="AL20" s="93" t="n">
        <f aca="false">'INST. INC'!E35</f>
        <v>58.5211092587915</v>
      </c>
      <c r="AM20" s="93" t="n">
        <f aca="false">'INST. INC'!E36</f>
        <v>48.6599795140804</v>
      </c>
      <c r="AN20" s="93" t="n">
        <f aca="false">'INST. INC'!E37</f>
        <v>40.5597657952105</v>
      </c>
      <c r="AO20" s="93" t="n">
        <f aca="false">'INST. INC'!E38</f>
        <v>11.8568345739979</v>
      </c>
      <c r="AP20" s="93" t="n">
        <f aca="false">'INST. INC'!E39</f>
        <v>4.75447326977144</v>
      </c>
      <c r="AQ20" s="93" t="n">
        <f aca="false">'INST. INC'!E40</f>
        <v>12.1503205783048</v>
      </c>
      <c r="AR20" s="93" t="n">
        <f aca="false">'INST. INC'!E41</f>
        <v>1.23264121808885</v>
      </c>
      <c r="AS20" s="93" t="n">
        <f aca="false">'INST. INC'!E42</f>
        <v>22.5984223316296</v>
      </c>
      <c r="AT20" s="93" t="n">
        <f aca="false">'INST. INC'!E43</f>
        <v>17.9026462627196</v>
      </c>
      <c r="AU20" s="93" t="n">
        <f aca="false">'INST. INC'!E44</f>
        <v>9.86112974471106</v>
      </c>
      <c r="AV20" s="93" t="n">
        <f aca="false">'INST. INC'!E45</f>
        <v>6.22190329130583</v>
      </c>
      <c r="AW20" s="93" t="n">
        <f aca="false">'INST. INC'!E46</f>
        <v>6.16320609044443</v>
      </c>
      <c r="AX20" s="93" t="n">
        <f aca="false">'INST. INC'!E47</f>
        <v>14.6743002153439</v>
      </c>
      <c r="AY20" s="93" t="n">
        <f aca="false">'INST. INC'!E48</f>
        <v>13.9699338050074</v>
      </c>
      <c r="AZ20" s="93" t="n">
        <f aca="false">'INST. INC'!E49</f>
        <v>7.1610585050879</v>
      </c>
      <c r="BA20" s="93" t="n">
        <f aca="false">'INST. INC'!E50</f>
        <v>6.16320609044443</v>
      </c>
      <c r="BB20" s="93" t="n">
        <f aca="false">'INST. INC'!E51</f>
        <v>7.63063611197882</v>
      </c>
      <c r="BC20" s="93" t="n">
        <f aca="false">'INST. INC'!E52</f>
        <v>5.28274807752384</v>
      </c>
      <c r="BD20" s="93" t="n">
        <f aca="false">'INST. INC'!E53</f>
        <v>6.63278369733542</v>
      </c>
      <c r="BE20" s="93" t="n">
        <f aca="false">'INST. INC'!E54</f>
        <v>10.7415877576317</v>
      </c>
      <c r="BF20" s="93" t="n">
        <f aca="false">'INST. INC'!E55</f>
        <v>1.46743002153439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7202.70254833534</v>
      </c>
      <c r="F21" s="45" t="n">
        <f aca="false">IF(D21="","",D21-E21)</f>
        <v>38.2083426646568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144.037585920898</v>
      </c>
      <c r="AD21" s="93" t="n">
        <f aca="false">'INST. ELÉTRICA'!E27</f>
        <v>215.274149771898</v>
      </c>
      <c r="AE21" s="93" t="n">
        <f aca="false">'INST. ELÉTRICA'!E28</f>
        <v>174.438199965078</v>
      </c>
      <c r="AF21" s="93" t="n">
        <f aca="false">'INST. ELÉTRICA'!E29</f>
        <v>91.494099866651</v>
      </c>
      <c r="AG21" s="93" t="n">
        <f aca="false">'INST. ELÉTRICA'!E30</f>
        <v>65.1209153030073</v>
      </c>
      <c r="AH21" s="93" t="n">
        <f aca="false">'INST. ELÉTRICA'!E31</f>
        <v>110.350179460715</v>
      </c>
      <c r="AI21" s="93" t="n">
        <f aca="false">'INST. ELÉTRICA'!E32</f>
        <v>150.352119515224</v>
      </c>
      <c r="AJ21" s="93" t="n">
        <f aca="false">'INST. ELÉTRICA'!E33</f>
        <v>173.111844028996</v>
      </c>
      <c r="AK21" s="93" t="n">
        <f aca="false">'INST. ELÉTRICA'!E34</f>
        <v>142.07585605567</v>
      </c>
      <c r="AL21" s="93" t="n">
        <f aca="false">'INST. ELÉTRICA'!E35</f>
        <v>129.66146086634</v>
      </c>
      <c r="AM21" s="93" t="n">
        <f aca="false">'INST. ELÉTRICA'!E36</f>
        <v>284.151712111341</v>
      </c>
      <c r="AN21" s="93" t="n">
        <f aca="false">'INST. ELÉTRICA'!E37</f>
        <v>267.599185192233</v>
      </c>
      <c r="AO21" s="93" t="n">
        <f aca="false">'INST. ELÉTRICA'!E38</f>
        <v>493.817053086699</v>
      </c>
      <c r="AP21" s="93" t="n">
        <f aca="false">'INST. ELÉTRICA'!E39</f>
        <v>545.543699708908</v>
      </c>
      <c r="AQ21" s="93" t="n">
        <f aca="false">'INST. ELÉTRICA'!E40</f>
        <v>427.098122776523</v>
      </c>
      <c r="AR21" s="93" t="n">
        <f aca="false">'INST. ELÉTRICA'!E41</f>
        <v>262.081676219197</v>
      </c>
      <c r="AS21" s="93" t="n">
        <f aca="false">'INST. ELÉTRICA'!E42</f>
        <v>399.329711923461</v>
      </c>
      <c r="AT21" s="93" t="n">
        <f aca="false">'INST. ELÉTRICA'!E43</f>
        <v>555.199340411721</v>
      </c>
      <c r="AU21" s="93" t="n">
        <f aca="false">'INST. ELÉTRICA'!E44</f>
        <v>604.856921169043</v>
      </c>
      <c r="AV21" s="93" t="n">
        <f aca="false">'INST. ELÉTRICA'!E45</f>
        <v>224.838490651207</v>
      </c>
      <c r="AW21" s="93" t="n">
        <f aca="false">'INST. ELÉTRICA'!E46</f>
        <v>143.455233298929</v>
      </c>
      <c r="AX21" s="93" t="n">
        <f aca="false">'INST. ELÉTRICA'!E47</f>
        <v>232.42506548913</v>
      </c>
      <c r="AY21" s="93" t="n">
        <f aca="false">'INST. ELÉTRICA'!E48</f>
        <v>208.2859637321</v>
      </c>
      <c r="AZ21" s="93" t="n">
        <f aca="false">'INST. ELÉTRICA'!E49</f>
        <v>145.524299163818</v>
      </c>
      <c r="BA21" s="93" t="n">
        <f aca="false">'INST. ELÉTRICA'!E50</f>
        <v>115.177999812121</v>
      </c>
      <c r="BB21" s="93" t="n">
        <f aca="false">'INST. ELÉTRICA'!E51</f>
        <v>126.213017758192</v>
      </c>
      <c r="BC21" s="93" t="n">
        <f aca="false">'INST. ELÉTRICA'!E52</f>
        <v>64.8307304331698</v>
      </c>
      <c r="BD21" s="93" t="n">
        <f aca="false">'INST. ELÉTRICA'!E53</f>
        <v>83.4523232171651</v>
      </c>
      <c r="BE21" s="93" t="n">
        <f aca="false">'INST. ELÉTRICA'!E54</f>
        <v>35.1741197031032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4282.26342733991</v>
      </c>
      <c r="F22" s="45" t="n">
        <f aca="false">IF(D22="","",D22-E22)</f>
        <v>33.6475116600896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0</v>
      </c>
      <c r="AD22" s="93" t="n">
        <f aca="false">'INST. ESP'!E27</f>
        <v>27.4751738696496</v>
      </c>
      <c r="AE22" s="93" t="n">
        <f aca="false">'INST. ESP'!E28</f>
        <v>9.01529142597877</v>
      </c>
      <c r="AF22" s="93" t="n">
        <f aca="false">'INST. ESP'!E29</f>
        <v>84.572019567515</v>
      </c>
      <c r="AG22" s="93" t="n">
        <f aca="false">'INST. ESP'!E30</f>
        <v>127.501978738842</v>
      </c>
      <c r="AH22" s="93" t="n">
        <f aca="false">'INST. ESP'!E31</f>
        <v>185.886723211848</v>
      </c>
      <c r="AI22" s="93" t="n">
        <f aca="false">'INST. ESP'!E32</f>
        <v>322.403993376669</v>
      </c>
      <c r="AJ22" s="93" t="n">
        <f aca="false">'INST. ESP'!E33</f>
        <v>350.737766429745</v>
      </c>
      <c r="AK22" s="93" t="n">
        <f aca="false">'INST. ESP'!E34</f>
        <v>332.277883986074</v>
      </c>
      <c r="AL22" s="93" t="n">
        <f aca="false">'INST. ESP'!E35</f>
        <v>449.047372932085</v>
      </c>
      <c r="AM22" s="93" t="n">
        <f aca="false">'INST. ESP'!E36</f>
        <v>546.069080659285</v>
      </c>
      <c r="AN22" s="93" t="n">
        <f aca="false">'INST. ESP'!E37</f>
        <v>167.426840768177</v>
      </c>
      <c r="AO22" s="93" t="n">
        <f aca="false">'INST. ESP'!E38</f>
        <v>173.437035052163</v>
      </c>
      <c r="AP22" s="93" t="n">
        <f aca="false">'INST. ESP'!E39</f>
        <v>233.538977892021</v>
      </c>
      <c r="AQ22" s="93" t="n">
        <f aca="false">'INST. ESP'!E40</f>
        <v>166.568241584751</v>
      </c>
      <c r="AR22" s="93" t="n">
        <f aca="false">'INST. ESP'!E41</f>
        <v>495.411728837118</v>
      </c>
      <c r="AS22" s="93" t="n">
        <f aca="false">'INST. ESP'!E42</f>
        <v>375.637142749115</v>
      </c>
      <c r="AT22" s="93" t="n">
        <f aca="false">'INST. ESP'!E43</f>
        <v>15.4547853016779</v>
      </c>
      <c r="AU22" s="93" t="n">
        <f aca="false">'INST. ESP'!E44</f>
        <v>191.896917495834</v>
      </c>
      <c r="AV22" s="93" t="n">
        <f aca="false">'INST. ESP'!E45</f>
        <v>1.71719836685337</v>
      </c>
      <c r="AW22" s="93" t="n">
        <f aca="false">'INST. ESP'!E46</f>
        <v>3.00509714199263</v>
      </c>
      <c r="AX22" s="93" t="n">
        <f aca="false">'INST. ESP'!E47</f>
        <v>2.14649795856686</v>
      </c>
      <c r="AY22" s="93" t="n">
        <f aca="false">'INST. ESP'!E48</f>
        <v>4.2929959171325</v>
      </c>
      <c r="AZ22" s="93" t="n">
        <f aca="false">'INST. ESP'!E49</f>
        <v>4.72229550884599</v>
      </c>
      <c r="BA22" s="93" t="n">
        <f aca="false">'INST. ESP'!E50</f>
        <v>1.28789877513987</v>
      </c>
      <c r="BB22" s="93" t="n">
        <f aca="false">'INST. ESP'!E51</f>
        <v>2.57579755027974</v>
      </c>
      <c r="BC22" s="93" t="n">
        <f aca="false">'INST. ESP'!E52</f>
        <v>1.71719836685276</v>
      </c>
      <c r="BD22" s="93" t="n">
        <f aca="false">'INST. ESP'!E53</f>
        <v>1.71719836685337</v>
      </c>
      <c r="BE22" s="93" t="n">
        <f aca="false">'INST. ESP'!E54</f>
        <v>3.00509714199263</v>
      </c>
      <c r="BF22" s="93" t="n">
        <f aca="false">'INST. ESP'!E55</f>
        <v>1.71719836685337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4330.26355621337</v>
      </c>
      <c r="F23" s="45" t="n">
        <f aca="false">IF(D23="","",D23-E23)</f>
        <v>65.7382377866343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53.9348424533484</v>
      </c>
      <c r="AD23" s="93" t="n">
        <f aca="false">'INST. HIDRO'!E27</f>
        <v>195.629354903368</v>
      </c>
      <c r="AE23" s="93" t="n">
        <f aca="false">'INST. HIDRO'!E28</f>
        <v>277.364092337544</v>
      </c>
      <c r="AF23" s="93" t="n">
        <f aca="false">'INST. HIDRO'!E29</f>
        <v>78.6011007620345</v>
      </c>
      <c r="AG23" s="93" t="n">
        <f aca="false">'INST. HIDRO'!E30</f>
        <v>138.219946445921</v>
      </c>
      <c r="AH23" s="93" t="n">
        <f aca="false">'INST. HIDRO'!E31</f>
        <v>237.303440107945</v>
      </c>
      <c r="AI23" s="93" t="n">
        <f aca="false">'INST. HIDRO'!E32</f>
        <v>313.513563360107</v>
      </c>
      <c r="AJ23" s="93" t="n">
        <f aca="false">'INST. HIDRO'!E33</f>
        <v>369.780664933424</v>
      </c>
      <c r="AK23" s="93" t="n">
        <f aca="false">'INST. HIDRO'!E34</f>
        <v>408.128906089319</v>
      </c>
      <c r="AL23" s="93" t="n">
        <f aca="false">'INST. HIDRO'!E35</f>
        <v>558.79801374984</v>
      </c>
      <c r="AM23" s="93" t="n">
        <f aca="false">'INST. HIDRO'!E36</f>
        <v>728.005684087679</v>
      </c>
      <c r="AN23" s="93" t="n">
        <f aca="false">'INST. HIDRO'!E37</f>
        <v>356.161510979403</v>
      </c>
      <c r="AO23" s="93" t="n">
        <f aca="false">'INST. HIDRO'!E38</f>
        <v>147.334483684411</v>
      </c>
      <c r="AP23" s="93" t="n">
        <f aca="false">'INST. HIDRO'!E39</f>
        <v>17.3334686687543</v>
      </c>
      <c r="AQ23" s="93" t="n">
        <f aca="false">'INST. HIDRO'!E40</f>
        <v>3.71431471473319</v>
      </c>
      <c r="AR23" s="93" t="n">
        <f aca="false">'INST. HIDRO'!E41</f>
        <v>9.82274943796538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0.391485387099901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42.271303133124</v>
      </c>
      <c r="F25" s="45" t="n">
        <f aca="false">IF(D25="","",D25-E25)</f>
        <v>0.159521866875991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</v>
      </c>
      <c r="AD25" s="93" t="n">
        <f aca="false">'LIG. PROVISÓRIAS'!E27</f>
        <v>5.69137091785532</v>
      </c>
      <c r="AE25" s="93" t="n">
        <f aca="false">'LIG. PROVISÓRIAS'!E28</f>
        <v>0.751929090169516</v>
      </c>
      <c r="AF25" s="93" t="n">
        <f aca="false">'LIG. PROVISÓRIAS'!E29</f>
        <v>0.751929090169516</v>
      </c>
      <c r="AG25" s="93" t="n">
        <f aca="false">'LIG. PROVISÓRIAS'!E30</f>
        <v>0.751929090169516</v>
      </c>
      <c r="AH25" s="93" t="n">
        <f aca="false">'LIG. PROVISÓRIAS'!E31</f>
        <v>0.751929090169516</v>
      </c>
      <c r="AI25" s="93" t="n">
        <f aca="false">'LIG. PROVISÓRIAS'!E32</f>
        <v>0.751929090169516</v>
      </c>
      <c r="AJ25" s="93" t="n">
        <f aca="false">'LIG. PROVISÓRIAS'!E33</f>
        <v>0.751929090169516</v>
      </c>
      <c r="AK25" s="93" t="n">
        <f aca="false">'LIG. PROVISÓRIAS'!E34</f>
        <v>0.751929090169516</v>
      </c>
      <c r="AL25" s="93" t="n">
        <f aca="false">'LIG. PROVISÓRIAS'!E35</f>
        <v>0.751929090169516</v>
      </c>
      <c r="AM25" s="93" t="n">
        <f aca="false">'LIG. PROVISÓRIAS'!E36</f>
        <v>0.751929090169516</v>
      </c>
      <c r="AN25" s="93" t="n">
        <f aca="false">'LIG. PROVISÓRIAS'!E37</f>
        <v>0.751929090169516</v>
      </c>
      <c r="AO25" s="93" t="n">
        <f aca="false">'LIG. PROVISÓRIAS'!E38</f>
        <v>0.751929090169516</v>
      </c>
      <c r="AP25" s="93" t="n">
        <f aca="false">'LIG. PROVISÓRIAS'!E39</f>
        <v>0.751929090169516</v>
      </c>
      <c r="AQ25" s="93" t="n">
        <f aca="false">'LIG. PROVISÓRIAS'!E40</f>
        <v>0.751929090169516</v>
      </c>
      <c r="AR25" s="93" t="n">
        <f aca="false">'LIG. PROVISÓRIAS'!E41</f>
        <v>0.751929090169516</v>
      </c>
      <c r="AS25" s="93" t="n">
        <f aca="false">'LIG. PROVISÓRIAS'!E42</f>
        <v>0.751929090169516</v>
      </c>
      <c r="AT25" s="93" t="n">
        <f aca="false">'LIG. PROVISÓRIAS'!E43</f>
        <v>0.751929090169516</v>
      </c>
      <c r="AU25" s="93" t="n">
        <f aca="false">'LIG. PROVISÓRIAS'!E44</f>
        <v>0.751929090169516</v>
      </c>
      <c r="AV25" s="93" t="n">
        <f aca="false">'LIG. PROVISÓRIAS'!E45</f>
        <v>0.751929090169516</v>
      </c>
      <c r="AW25" s="93" t="n">
        <f aca="false">'LIG. PROVISÓRIAS'!E46</f>
        <v>0.751929090169516</v>
      </c>
      <c r="AX25" s="93" t="n">
        <f aca="false">'LIG. PROVISÓRIAS'!E47</f>
        <v>0.751929090169516</v>
      </c>
      <c r="AY25" s="93" t="n">
        <f aca="false">'LIG. PROVISÓRIAS'!E48</f>
        <v>0.751929090169516</v>
      </c>
      <c r="AZ25" s="93" t="n">
        <f aca="false">'LIG. PROVISÓRIAS'!E49</f>
        <v>0.751929090169516</v>
      </c>
      <c r="BA25" s="93" t="n">
        <f aca="false">'LIG. PROVISÓRIAS'!E50</f>
        <v>0.751929090169516</v>
      </c>
      <c r="BB25" s="93" t="n">
        <f aca="false">'LIG. PROVISÓRIAS'!E51</f>
        <v>0.751929090169516</v>
      </c>
      <c r="BC25" s="93" t="n">
        <f aca="false">'LIG. PROVISÓRIAS'!E52</f>
        <v>0.751929090169516</v>
      </c>
      <c r="BD25" s="93" t="n">
        <f aca="false">'LIG. PROVISÓRIAS'!E53</f>
        <v>0.751929090169516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614.426348516795</v>
      </c>
      <c r="F26" s="45" t="n">
        <f aca="false">IF(D26="","",D26-E26)</f>
        <v>4.82780148320478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2.76491856832558</v>
      </c>
      <c r="AJ26" s="93" t="n">
        <f aca="false">LIMPEZA!E33</f>
        <v>8.60196887923513</v>
      </c>
      <c r="AK26" s="93" t="n">
        <f aca="false">LIMPEZA!E34</f>
        <v>0</v>
      </c>
      <c r="AL26" s="93" t="n">
        <f aca="false">LIMPEZA!E35</f>
        <v>5.28406659724444</v>
      </c>
      <c r="AM26" s="93" t="n">
        <f aca="false">LIMPEZA!E36</f>
        <v>6.08282085031627</v>
      </c>
      <c r="AN26" s="93" t="n">
        <f aca="false">LIMPEZA!E37</f>
        <v>0</v>
      </c>
      <c r="AO26" s="93" t="n">
        <f aca="false">LIMPEZA!E38</f>
        <v>4.30098443961757</v>
      </c>
      <c r="AP26" s="93" t="n">
        <f aca="false">LIMPEZA!E39</f>
        <v>7.12734564279482</v>
      </c>
      <c r="AQ26" s="93" t="n">
        <f aca="false">LIMPEZA!E40</f>
        <v>9.15495259290025</v>
      </c>
      <c r="AR26" s="93" t="n">
        <f aca="false">LIMPEZA!E41</f>
        <v>13.5173796673695</v>
      </c>
      <c r="AS26" s="93" t="n">
        <f aca="false">LIMPEZA!E42</f>
        <v>34.1621049775338</v>
      </c>
      <c r="AT26" s="93" t="n">
        <f aca="false">LIMPEZA!E43</f>
        <v>27.4034151438491</v>
      </c>
      <c r="AU26" s="93" t="n">
        <f aca="false">LIMPEZA!E44</f>
        <v>94.7445429412898</v>
      </c>
      <c r="AV26" s="93" t="n">
        <f aca="false">LIMPEZA!E45</f>
        <v>96.8950351610986</v>
      </c>
      <c r="AW26" s="93" t="n">
        <f aca="false">LIMPEZA!E46</f>
        <v>114.344743458976</v>
      </c>
      <c r="AX26" s="93" t="n">
        <f aca="false">LIMPEZA!E47</f>
        <v>30.7827600606915</v>
      </c>
      <c r="AY26" s="93" t="n">
        <f aca="false">LIMPEZA!E48</f>
        <v>27.4648577787007</v>
      </c>
      <c r="AZ26" s="93" t="n">
        <f aca="false">LIMPEZA!E49</f>
        <v>34.3464328820889</v>
      </c>
      <c r="BA26" s="93" t="n">
        <f aca="false">LIMPEZA!E50</f>
        <v>21.8121353723462</v>
      </c>
      <c r="BB26" s="93" t="n">
        <f aca="false">LIMPEZA!E51</f>
        <v>19.8459710570925</v>
      </c>
      <c r="BC26" s="93" t="n">
        <f aca="false">LIMPEZA!E52</f>
        <v>17.9412493766904</v>
      </c>
      <c r="BD26" s="93" t="n">
        <f aca="false">LIMPEZA!E53</f>
        <v>17.2039377584703</v>
      </c>
      <c r="BE26" s="93" t="n">
        <f aca="false">LIMPEZA!E54</f>
        <v>13.4559370325178</v>
      </c>
      <c r="BF26" s="93" t="n">
        <f aca="false">LIMPEZA!E55</f>
        <v>7.18878827764651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952.384619854478</v>
      </c>
      <c r="F27" s="45" t="n">
        <f aca="false">IF(D27="","",D27-E27)</f>
        <v>7.48327914552181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2.53334308881291</v>
      </c>
      <c r="AK27" s="93" t="n">
        <f aca="false">LOUÇAS!E34</f>
        <v>9.44765542895642</v>
      </c>
      <c r="AL27" s="93" t="n">
        <f aca="false">LOUÇAS!E35</f>
        <v>20.4953170192684</v>
      </c>
      <c r="AM27" s="93" t="n">
        <f aca="false">LOUÇAS!E36</f>
        <v>19.561980091811</v>
      </c>
      <c r="AN27" s="93" t="n">
        <f aca="false">LOUÇAS!E37</f>
        <v>18.8191200883245</v>
      </c>
      <c r="AO27" s="93" t="n">
        <f aca="false">LOUÇAS!E38</f>
        <v>41.4477786560669</v>
      </c>
      <c r="AP27" s="93" t="n">
        <f aca="false">LOUÇAS!E39</f>
        <v>63.1811956811461</v>
      </c>
      <c r="AQ27" s="93" t="n">
        <f aca="false">LOUÇAS!E40</f>
        <v>75.2383849685038</v>
      </c>
      <c r="AR27" s="93" t="n">
        <f aca="false">LOUÇAS!E41</f>
        <v>37.6953832538403</v>
      </c>
      <c r="AS27" s="93" t="n">
        <f aca="false">LOUÇAS!E42</f>
        <v>51.4097217797447</v>
      </c>
      <c r="AT27" s="93" t="n">
        <f aca="false">LOUÇAS!E43</f>
        <v>108.819466664573</v>
      </c>
      <c r="AU27" s="93" t="n">
        <f aca="false">LOUÇAS!E44</f>
        <v>82.2669834630298</v>
      </c>
      <c r="AV27" s="93" t="n">
        <f aca="false">LOUÇAS!E45</f>
        <v>63.8669126074413</v>
      </c>
      <c r="AW27" s="93" t="n">
        <f aca="false">LOUÇAS!E46</f>
        <v>53.6383017902042</v>
      </c>
      <c r="AX27" s="93" t="n">
        <f aca="false">LOUÇAS!E47</f>
        <v>68.9335987850672</v>
      </c>
      <c r="AY27" s="93" t="n">
        <f aca="false">LOUÇAS!E48</f>
        <v>76.4193418971233</v>
      </c>
      <c r="AZ27" s="93" t="n">
        <f aca="false">LOUÇAS!E49</f>
        <v>46.7239894500607</v>
      </c>
      <c r="BA27" s="93" t="n">
        <f aca="false">LOUÇAS!E50</f>
        <v>35.2572786270128</v>
      </c>
      <c r="BB27" s="93" t="n">
        <f aca="false">LOUÇAS!E51</f>
        <v>29.1239216751499</v>
      </c>
      <c r="BC27" s="93" t="n">
        <f aca="false">LOUÇAS!E52</f>
        <v>16.8381600790272</v>
      </c>
      <c r="BD27" s="93" t="n">
        <f aca="false">LOUÇAS!E53</f>
        <v>21.485797023917</v>
      </c>
      <c r="BE27" s="93" t="n">
        <f aca="false">LOUÇAS!E54</f>
        <v>9.18098773539716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13143.1183452298</v>
      </c>
      <c r="F28" s="45" t="n">
        <f aca="false">IF(D28="","",D28-E28)</f>
        <v>-828.296158229827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345.426992433883</v>
      </c>
      <c r="AD28" s="93" t="n">
        <f aca="false">MDO!E27</f>
        <v>465.234488730528</v>
      </c>
      <c r="AE28" s="93" t="n">
        <f aca="false">MDO!E28</f>
        <v>377.132767563912</v>
      </c>
      <c r="AF28" s="93" t="n">
        <f aca="false">MDO!E29</f>
        <v>399.569458735077</v>
      </c>
      <c r="AG28" s="93" t="n">
        <f aca="false">MDO!E30</f>
        <v>390.020609995875</v>
      </c>
      <c r="AH28" s="93" t="n">
        <f aca="false">MDO!E31</f>
        <v>341.012554441825</v>
      </c>
      <c r="AI28" s="93" t="n">
        <f aca="false">MDO!E32</f>
        <v>324.728781331741</v>
      </c>
      <c r="AJ28" s="93" t="n">
        <f aca="false">MDO!E33</f>
        <v>311.700820597558</v>
      </c>
      <c r="AK28" s="93" t="n">
        <f aca="false">MDO!E34</f>
        <v>301.626154679341</v>
      </c>
      <c r="AL28" s="93" t="n">
        <f aca="false">MDO!E35</f>
        <v>301.626154679341</v>
      </c>
      <c r="AM28" s="93" t="n">
        <f aca="false">MDO!E36</f>
        <v>302.729454460669</v>
      </c>
      <c r="AN28" s="93" t="n">
        <f aca="false">MDO!E37</f>
        <v>297.234600151541</v>
      </c>
      <c r="AO28" s="93" t="n">
        <f aca="false">MDO!E38</f>
        <v>297.234600151541</v>
      </c>
      <c r="AP28" s="93" t="n">
        <f aca="false">MDO!E39</f>
        <v>283.799995621898</v>
      </c>
      <c r="AQ28" s="93" t="n">
        <f aca="false">MDO!E40</f>
        <v>363.723098852398</v>
      </c>
      <c r="AR28" s="93" t="n">
        <f aca="false">MDO!E41</f>
        <v>363.774514134131</v>
      </c>
      <c r="AS28" s="93" t="n">
        <f aca="false">MDO!E42</f>
        <v>262.568255848519</v>
      </c>
      <c r="AT28" s="93" t="n">
        <f aca="false">MDO!E43</f>
        <v>250.346567811934</v>
      </c>
      <c r="AU28" s="93" t="n">
        <f aca="false">MDO!E44</f>
        <v>250.346567811934</v>
      </c>
      <c r="AV28" s="93" t="n">
        <f aca="false">MDO!E45</f>
        <v>107.861853262166</v>
      </c>
      <c r="AW28" s="93" t="n">
        <f aca="false">MDO!E46</f>
        <v>107.861853262166</v>
      </c>
      <c r="AX28" s="93" t="n">
        <f aca="false">MDO!E47</f>
        <v>79.5453426052753</v>
      </c>
      <c r="AY28" s="93" t="n">
        <f aca="false">MDO!E48</f>
        <v>79.5453426052753</v>
      </c>
      <c r="AZ28" s="93" t="n">
        <f aca="false">MDO!E49</f>
        <v>79.5453426052753</v>
      </c>
      <c r="BA28" s="93" t="n">
        <f aca="false">MDO!E50</f>
        <v>79.5453426052753</v>
      </c>
      <c r="BB28" s="93" t="n">
        <f aca="false">MDO!E51</f>
        <v>79.5453426052753</v>
      </c>
      <c r="BC28" s="93" t="n">
        <f aca="false">MDO!E52</f>
        <v>109.035560764561</v>
      </c>
      <c r="BD28" s="93" t="n">
        <f aca="false">MDO!E53</f>
        <v>109.035560764561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704.67171608812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1455.69413818012</v>
      </c>
      <c r="F29" s="45" t="n">
        <f aca="false">IF(D29="","",D29-E29)</f>
        <v>11.4379898198756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71.6201515984621</v>
      </c>
      <c r="AN29" s="93" t="n">
        <f aca="false">MARCENARIA!E37</f>
        <v>86.0315235664454</v>
      </c>
      <c r="AO29" s="93" t="n">
        <f aca="false">MARCENARIA!E38</f>
        <v>0</v>
      </c>
      <c r="AP29" s="93" t="n">
        <f aca="false">MARCENARIA!E39</f>
        <v>161.290910510358</v>
      </c>
      <c r="AQ29" s="93" t="n">
        <f aca="false">MARCENARIA!E40</f>
        <v>95.3479660507982</v>
      </c>
      <c r="AR29" s="93" t="n">
        <f aca="false">MARCENARIA!E41</f>
        <v>116.746669882046</v>
      </c>
      <c r="AS29" s="93" t="n">
        <f aca="false">MARCENARIA!E42</f>
        <v>119.36691933077</v>
      </c>
      <c r="AT29" s="93" t="n">
        <f aca="false">MARCENARIA!E43</f>
        <v>89.3796200842596</v>
      </c>
      <c r="AU29" s="93" t="n">
        <f aca="false">MARCENARIA!E44</f>
        <v>168.860520028894</v>
      </c>
      <c r="AV29" s="93" t="n">
        <f aca="false">MARCENARIA!E45</f>
        <v>101.461881431155</v>
      </c>
      <c r="AW29" s="93" t="n">
        <f aca="false">MARCENARIA!E46</f>
        <v>135.379554850752</v>
      </c>
      <c r="AX29" s="93" t="n">
        <f aca="false">MARCENARIA!E47</f>
        <v>71.6201515984621</v>
      </c>
      <c r="AY29" s="93" t="n">
        <f aca="false">MARCENARIA!E48</f>
        <v>89.3796200842596</v>
      </c>
      <c r="AZ29" s="93" t="n">
        <f aca="false">MARCENARIA!E49</f>
        <v>89.5251894980777</v>
      </c>
      <c r="BA29" s="93" t="n">
        <f aca="false">MARCENARIA!E50</f>
        <v>59.683459665385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2032.97582278988</v>
      </c>
      <c r="F31" s="45" t="n">
        <f aca="false">IF(D31="","",D31-E31)</f>
        <v>13.8792072101173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41.5605943333369</v>
      </c>
      <c r="AD31" s="93" t="n">
        <f aca="false">PAISAGISMO!E27</f>
        <v>58.5665110890352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159.828455834581</v>
      </c>
      <c r="AH31" s="93" t="n">
        <f aca="false">PAISAGISMO!E31</f>
        <v>170.111125720442</v>
      </c>
      <c r="AI31" s="93" t="n">
        <f aca="false">PAISAGISMO!E32</f>
        <v>189.819866627485</v>
      </c>
      <c r="AJ31" s="93" t="n">
        <f aca="false">PAISAGISMO!E33</f>
        <v>146.948891487427</v>
      </c>
      <c r="AK31" s="93" t="n">
        <f aca="false">PAISAGISMO!E34</f>
        <v>19.224121960523</v>
      </c>
      <c r="AL31" s="93" t="n">
        <f aca="false">PAISAGISMO!E35</f>
        <v>20.5653397717223</v>
      </c>
      <c r="AM31" s="93" t="n">
        <f aca="false">PAISAGISMO!E36</f>
        <v>27.7185014314516</v>
      </c>
      <c r="AN31" s="93" t="n">
        <f aca="false">PAISAGISMO!E37</f>
        <v>56.3311480703698</v>
      </c>
      <c r="AO31" s="93" t="n">
        <f aca="false">PAISAGISMO!E38</f>
        <v>50.7427405237059</v>
      </c>
      <c r="AP31" s="93" t="n">
        <f aca="false">PAISAGISMO!E39</f>
        <v>24.5889932053201</v>
      </c>
      <c r="AQ31" s="93" t="n">
        <f aca="false">PAISAGISMO!E40</f>
        <v>54.9899302591706</v>
      </c>
      <c r="AR31" s="93" t="n">
        <f aca="false">PAISAGISMO!E41</f>
        <v>73.505682712281</v>
      </c>
      <c r="AS31" s="93" t="n">
        <f aca="false">PAISAGISMO!E42</f>
        <v>76.0023426346256</v>
      </c>
      <c r="AT31" s="93" t="n">
        <f aca="false">PAISAGISMO!E43</f>
        <v>74.6611248234266</v>
      </c>
      <c r="AU31" s="93" t="n">
        <f aca="false">PAISAGISMO!E44</f>
        <v>48.5073775050406</v>
      </c>
      <c r="AV31" s="93" t="n">
        <f aca="false">PAISAGISMO!E45</f>
        <v>85.8379399167539</v>
      </c>
      <c r="AW31" s="93" t="n">
        <f aca="false">PAISAGISMO!E46</f>
        <v>105.50913448101</v>
      </c>
      <c r="AX31" s="93" t="n">
        <f aca="false">PAISAGISMO!E47</f>
        <v>43.1425062602433</v>
      </c>
      <c r="AY31" s="93" t="n">
        <f aca="false">PAISAGISMO!E48</f>
        <v>54.0957850517043</v>
      </c>
      <c r="AZ31" s="93" t="n">
        <f aca="false">PAISAGISMO!E49</f>
        <v>53.8722487498379</v>
      </c>
      <c r="BA31" s="93" t="n">
        <f aca="false">PAISAGISMO!E50</f>
        <v>46.719087090108</v>
      </c>
      <c r="BB31" s="93" t="n">
        <f aca="false">PAISAGISMO!E51</f>
        <v>57.4488295797026</v>
      </c>
      <c r="BC31" s="93" t="n">
        <f aca="false">PAISAGISMO!E52</f>
        <v>71.0845439935616</v>
      </c>
      <c r="BD31" s="93" t="n">
        <f aca="false">PAISAGISMO!E53</f>
        <v>2.68243562239866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164.346718979242</v>
      </c>
      <c r="F32" s="45" t="n">
        <f aca="false">IF(D32="","",D32-E32)</f>
        <v>1.29134002075779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16.4346718979242</v>
      </c>
      <c r="AW32" s="93" t="n">
        <f aca="false">'EST. METÁLICA'!E46</f>
        <v>90.3906954385832</v>
      </c>
      <c r="AX32" s="93" t="n">
        <f aca="false">'EST. METÁLICA'!E47</f>
        <v>57.5213516427348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1845.53584906186</v>
      </c>
      <c r="F33" s="45" t="n">
        <f aca="false">IF(D33="","",D33-E33)</f>
        <v>13.6732879381425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4.54158594551842</v>
      </c>
      <c r="AD33" s="93" t="n">
        <f aca="false">PINTURA!E27</f>
        <v>12.8567669583656</v>
      </c>
      <c r="AE33" s="93" t="n">
        <f aca="false">PINTURA!E28</f>
        <v>0.62398537555915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3.88514925167306</v>
      </c>
      <c r="AK33" s="93" t="n">
        <f aca="false">PINTURA!E34</f>
        <v>33.3012793000548</v>
      </c>
      <c r="AL33" s="93" t="n">
        <f aca="false">PINTURA!E35</f>
        <v>60.8673382762112</v>
      </c>
      <c r="AM33" s="93" t="n">
        <f aca="false">PINTURA!E36</f>
        <v>68.6376367795573</v>
      </c>
      <c r="AN33" s="93" t="n">
        <f aca="false">PINTURA!E37</f>
        <v>16.2806254355824</v>
      </c>
      <c r="AO33" s="93" t="n">
        <f aca="false">PINTURA!E38</f>
        <v>80.8481058562441</v>
      </c>
      <c r="AP33" s="93" t="n">
        <f aca="false">PINTURA!E39</f>
        <v>190.187306224757</v>
      </c>
      <c r="AQ33" s="93" t="n">
        <f aca="false">PINTURA!E40</f>
        <v>295.610087161651</v>
      </c>
      <c r="AR33" s="93" t="n">
        <f aca="false">PINTURA!E41</f>
        <v>132.171895910318</v>
      </c>
      <c r="AS33" s="93" t="n">
        <f aca="false">PINTURA!E42</f>
        <v>159.476126425818</v>
      </c>
      <c r="AT33" s="93" t="n">
        <f aca="false">PINTURA!E43</f>
        <v>316.177146243298</v>
      </c>
      <c r="AU33" s="93" t="n">
        <f aca="false">PINTURA!E44</f>
        <v>113.594363834631</v>
      </c>
      <c r="AV33" s="93" t="n">
        <f aca="false">PINTURA!E45</f>
        <v>53.2820468800876</v>
      </c>
      <c r="AW33" s="93" t="n">
        <f aca="false">PINTURA!E46</f>
        <v>63.4574377773265</v>
      </c>
      <c r="AX33" s="93" t="n">
        <f aca="false">PINTURA!E47</f>
        <v>32.1912366567198</v>
      </c>
      <c r="AY33" s="93" t="n">
        <f aca="false">PINTURA!E48</f>
        <v>29.0461158339365</v>
      </c>
      <c r="AZ33" s="93" t="n">
        <f aca="false">PINTURA!E49</f>
        <v>24.4209381533736</v>
      </c>
      <c r="BA33" s="93" t="n">
        <f aca="false">PINTURA!E50</f>
        <v>16.4656325428049</v>
      </c>
      <c r="BB33" s="93" t="n">
        <f aca="false">PINTURA!E51</f>
        <v>16.2806254355823</v>
      </c>
      <c r="BC33" s="93" t="n">
        <f aca="false">PINTURA!E52</f>
        <v>17.9456894005851</v>
      </c>
      <c r="BD33" s="93" t="n">
        <f aca="false">PINTURA!E53</f>
        <v>15.7256041139149</v>
      </c>
      <c r="BE33" s="93" t="n">
        <f aca="false">PINTURA!E54</f>
        <v>5.92022743112073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2272.38037711443</v>
      </c>
      <c r="F34" s="45" t="n">
        <f aca="false">IF(D34="","",D34-E34)</f>
        <v>36.5349328855668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4.45519957037628</v>
      </c>
      <c r="AD34" s="93" t="n">
        <f aca="false">PROJETO!E27</f>
        <v>20.1007219246309</v>
      </c>
      <c r="AE34" s="93" t="n">
        <f aca="false">PROJETO!E28</f>
        <v>20.1007219246309</v>
      </c>
      <c r="AF34" s="93" t="n">
        <f aca="false">PROJETO!E29</f>
        <v>20.1007219246309</v>
      </c>
      <c r="AG34" s="93" t="n">
        <f aca="false">PROJETO!E30</f>
        <v>20.1007219246309</v>
      </c>
      <c r="AH34" s="93" t="n">
        <f aca="false">PROJETO!E31</f>
        <v>20.1007219246309</v>
      </c>
      <c r="AI34" s="93" t="n">
        <f aca="false">PROJETO!E32</f>
        <v>20.1007219246309</v>
      </c>
      <c r="AJ34" s="93" t="n">
        <f aca="false">PROJETO!E33</f>
        <v>20.1007219246309</v>
      </c>
      <c r="AK34" s="93" t="n">
        <f aca="false">PROJETO!E34</f>
        <v>20.1007219246309</v>
      </c>
      <c r="AL34" s="93" t="n">
        <f aca="false">PROJETO!E35</f>
        <v>20.1007219246309</v>
      </c>
      <c r="AM34" s="93" t="n">
        <f aca="false">PROJETO!E36</f>
        <v>20.1007219246309</v>
      </c>
      <c r="AN34" s="93" t="n">
        <f aca="false">PROJETO!E37</f>
        <v>20.1007219246309</v>
      </c>
      <c r="AO34" s="93" t="n">
        <f aca="false">PROJETO!E38</f>
        <v>20.1007219246309</v>
      </c>
      <c r="AP34" s="93" t="n">
        <f aca="false">PROJETO!E39</f>
        <v>20.1007219246309</v>
      </c>
      <c r="AQ34" s="93" t="n">
        <f aca="false">PROJETO!E40</f>
        <v>20.1007219246309</v>
      </c>
      <c r="AR34" s="93" t="n">
        <f aca="false">PROJETO!E41</f>
        <v>20.1007219246309</v>
      </c>
      <c r="AS34" s="93" t="n">
        <f aca="false">PROJETO!E42</f>
        <v>20.1007219246309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14793.8929197434</v>
      </c>
      <c r="F36" s="45" t="n">
        <f aca="false">IF(D36="","",D36-E36)</f>
        <v>116.241724256648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1.47938929197434</v>
      </c>
      <c r="AE36" s="93" t="n">
        <f aca="false">'REV. ACAB'!E28</f>
        <v>1.47938929197434</v>
      </c>
      <c r="AF36" s="93" t="n">
        <f aca="false">'REV. ACAB'!E29</f>
        <v>0</v>
      </c>
      <c r="AG36" s="93" t="n">
        <f aca="false">'REV. ACAB'!E30</f>
        <v>22.190839379615</v>
      </c>
      <c r="AH36" s="93" t="n">
        <f aca="false">'REV. ACAB'!E31</f>
        <v>426.064116088608</v>
      </c>
      <c r="AI36" s="93" t="n">
        <f aca="false">'REV. ACAB'!E32</f>
        <v>753.009149614937</v>
      </c>
      <c r="AJ36" s="93" t="n">
        <f aca="false">'REV. ACAB'!E33</f>
        <v>1119.89769402457</v>
      </c>
      <c r="AK36" s="93" t="n">
        <f aca="false">'REV. ACAB'!E34</f>
        <v>323.986254942379</v>
      </c>
      <c r="AL36" s="93" t="n">
        <f aca="false">'REV. ACAB'!E35</f>
        <v>863.963346513012</v>
      </c>
      <c r="AM36" s="93" t="n">
        <f aca="false">'REV. ACAB'!E36</f>
        <v>1594.78165674833</v>
      </c>
      <c r="AN36" s="93" t="n">
        <f aca="false">'REV. ACAB'!E37</f>
        <v>1239.72822667449</v>
      </c>
      <c r="AO36" s="93" t="n">
        <f aca="false">'REV. ACAB'!E38</f>
        <v>1683.54501426679</v>
      </c>
      <c r="AP36" s="93" t="n">
        <f aca="false">'REV. ACAB'!E39</f>
        <v>872.839682264858</v>
      </c>
      <c r="AQ36" s="93" t="n">
        <f aca="false">'REV. ACAB'!E40</f>
        <v>1167.23815136775</v>
      </c>
      <c r="AR36" s="93" t="n">
        <f aca="false">'REV. ACAB'!E41</f>
        <v>838.813728549448</v>
      </c>
      <c r="AS36" s="93" t="n">
        <f aca="false">'REV. ACAB'!E42</f>
        <v>1028.17555792216</v>
      </c>
      <c r="AT36" s="93" t="n">
        <f aca="false">'REV. ACAB'!E43</f>
        <v>945.3297575716</v>
      </c>
      <c r="AU36" s="93" t="n">
        <f aca="false">'REV. ACAB'!E44</f>
        <v>729.338920943348</v>
      </c>
      <c r="AV36" s="93" t="n">
        <f aca="false">'REV. ACAB'!E45</f>
        <v>563.64732024222</v>
      </c>
      <c r="AW36" s="93" t="n">
        <f aca="false">'REV. ACAB'!E46</f>
        <v>131.665646985716</v>
      </c>
      <c r="AX36" s="93" t="n">
        <f aca="false">'REV. ACAB'!E47</f>
        <v>165.691600701126</v>
      </c>
      <c r="AY36" s="93" t="n">
        <f aca="false">'REV. ACAB'!E48</f>
        <v>118.351143357946</v>
      </c>
      <c r="AZ36" s="93" t="n">
        <f aca="false">'REV. ACAB'!E49</f>
        <v>153.856486365332</v>
      </c>
      <c r="BA36" s="93" t="n">
        <f aca="false">'REV. ACAB'!E50</f>
        <v>47.3404573431777</v>
      </c>
      <c r="BB36" s="93" t="n">
        <f aca="false">'REV. ACAB'!E51</f>
        <v>1.47938929197509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945.22602191389</v>
      </c>
      <c r="F37" s="45" t="n">
        <f aca="false">IF(D37="","",D37-E37)</f>
        <v>7.42703108611033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</v>
      </c>
      <c r="AD37" s="93" t="n">
        <f aca="false">'REV. PISOS'!E27</f>
        <v>2.47068227302314</v>
      </c>
      <c r="AE37" s="93" t="n">
        <f aca="false">'REV. PISOS'!E28</f>
        <v>34.5895518223239</v>
      </c>
      <c r="AF37" s="93" t="n">
        <f aca="false">'REV. PISOS'!E29</f>
        <v>37.7254177842379</v>
      </c>
      <c r="AG37" s="93" t="n">
        <f aca="false">'REV. PISOS'!E30</f>
        <v>54.9251674541297</v>
      </c>
      <c r="AH37" s="93" t="n">
        <f aca="false">'REV. PISOS'!E31</f>
        <v>45.8026482921982</v>
      </c>
      <c r="AI37" s="93" t="n">
        <f aca="false">'REV. PISOS'!E32</f>
        <v>45.8026482921981</v>
      </c>
      <c r="AJ37" s="93" t="n">
        <f aca="false">'REV. PISOS'!E33</f>
        <v>16.3445134984608</v>
      </c>
      <c r="AK37" s="93" t="n">
        <f aca="false">'REV. PISOS'!E34</f>
        <v>100.062632057437</v>
      </c>
      <c r="AL37" s="93" t="n">
        <f aca="false">'REV. PISOS'!E35</f>
        <v>91.5102703431262</v>
      </c>
      <c r="AM37" s="93" t="n">
        <f aca="false">'REV. PISOS'!E36</f>
        <v>85.5236171431085</v>
      </c>
      <c r="AN37" s="93" t="n">
        <f aca="false">'REV. PISOS'!E37</f>
        <v>91.9854015494767</v>
      </c>
      <c r="AO37" s="93" t="n">
        <f aca="false">'REV. PISOS'!E38</f>
        <v>64.7128703049522</v>
      </c>
      <c r="AP37" s="93" t="n">
        <f aca="false">'REV. PISOS'!E39</f>
        <v>84.5733547304073</v>
      </c>
      <c r="AQ37" s="93" t="n">
        <f aca="false">'REV. PISOS'!E40</f>
        <v>55.4953249017505</v>
      </c>
      <c r="AR37" s="93" t="n">
        <f aca="false">'REV. PISOS'!E41</f>
        <v>24.5167702476911</v>
      </c>
      <c r="AS37" s="93" t="n">
        <f aca="false">'REV. PISOS'!E42</f>
        <v>48.843488012842</v>
      </c>
      <c r="AT37" s="93" t="n">
        <f aca="false">'REV. PISOS'!E43</f>
        <v>54.5450624890493</v>
      </c>
      <c r="AU37" s="93" t="n">
        <f aca="false">'REV. PISOS'!E44</f>
        <v>0.57015744762061</v>
      </c>
      <c r="AV37" s="93" t="n">
        <f aca="false">'REV. PISOS'!E45</f>
        <v>5.22644326985674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2128.7401995847</v>
      </c>
      <c r="F38" s="45" t="n">
        <f aca="false">IF(D38="","",D38-E38)</f>
        <v>13.3736774153035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101.133309533738</v>
      </c>
      <c r="AD38" s="93" t="n">
        <f aca="false">'REV. PAREDE'!E27</f>
        <v>151.811083145268</v>
      </c>
      <c r="AE38" s="93" t="n">
        <f aca="false">'REV. PAREDE'!E28</f>
        <v>84.7774157236817</v>
      </c>
      <c r="AF38" s="93" t="n">
        <f aca="false">'REV. PAREDE'!E29</f>
        <v>77.2684079171967</v>
      </c>
      <c r="AG38" s="93" t="n">
        <f aca="false">'REV. PAREDE'!E30</f>
        <v>81.5502844264619</v>
      </c>
      <c r="AH38" s="93" t="n">
        <f aca="false">'REV. PAREDE'!E31</f>
        <v>69.2885471499295</v>
      </c>
      <c r="AI38" s="93" t="n">
        <f aca="false">'REV. PAREDE'!E32</f>
        <v>111.084234337017</v>
      </c>
      <c r="AJ38" s="93" t="n">
        <f aca="false">'REV. PAREDE'!E33</f>
        <v>146.751585817547</v>
      </c>
      <c r="AK38" s="93" t="n">
        <f aca="false">'REV. PAREDE'!E34</f>
        <v>142.664340058703</v>
      </c>
      <c r="AL38" s="93" t="n">
        <f aca="false">'REV. PAREDE'!E35</f>
        <v>158.818692343659</v>
      </c>
      <c r="AM38" s="93" t="n">
        <f aca="false">'REV. PAREDE'!E36</f>
        <v>81.5502844264619</v>
      </c>
      <c r="AN38" s="93" t="n">
        <f aca="false">'REV. PAREDE'!E37</f>
        <v>162.905938102503</v>
      </c>
      <c r="AO38" s="93" t="n">
        <f aca="false">'REV. PAREDE'!E38</f>
        <v>97.7046367114173</v>
      </c>
      <c r="AP38" s="93" t="n">
        <f aca="false">'REV. PAREDE'!E39</f>
        <v>81.5502844264619</v>
      </c>
      <c r="AQ38" s="93" t="n">
        <f aca="false">'REV. PAREDE'!E40</f>
        <v>76.1006234146699</v>
      </c>
      <c r="AR38" s="93" t="n">
        <f aca="false">'REV. PAREDE'!E41</f>
        <v>50.6877669043011</v>
      </c>
      <c r="AS38" s="93" t="n">
        <f aca="false">'REV. PAREDE'!E42</f>
        <v>73.5704236591948</v>
      </c>
      <c r="AT38" s="93" t="n">
        <f aca="false">'REV. PAREDE'!E43</f>
        <v>0</v>
      </c>
      <c r="AU38" s="93" t="n">
        <f aca="false">'REV. PAREDE'!E44</f>
        <v>161.932784350397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0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6237.43037628067</v>
      </c>
      <c r="F39" s="45" t="n">
        <f aca="false">IF(D39="","",D39-E39)</f>
        <v>46.5381777193288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209.896371741469</v>
      </c>
      <c r="AD39" s="93" t="n">
        <f aca="false">'REV. FACHADA'!E27</f>
        <v>492.165460106121</v>
      </c>
      <c r="AE39" s="93" t="n">
        <f aca="false">'REV. FACHADA'!E28</f>
        <v>595.136165937504</v>
      </c>
      <c r="AF39" s="93" t="n">
        <f aca="false">'REV. FACHADA'!E29</f>
        <v>315.712336282162</v>
      </c>
      <c r="AG39" s="93" t="n">
        <f aca="false">'REV. FACHADA'!E30</f>
        <v>387.101480548693</v>
      </c>
      <c r="AH39" s="93" t="n">
        <f aca="false">'REV. FACHADA'!E31</f>
        <v>184.62709724103</v>
      </c>
      <c r="AI39" s="93" t="n">
        <f aca="false">'REV. FACHADA'!E32</f>
        <v>220.321669374296</v>
      </c>
      <c r="AJ39" s="93" t="n">
        <f aca="false">'REV. FACHADA'!E33</f>
        <v>550.80417343574</v>
      </c>
      <c r="AK39" s="93" t="n">
        <f aca="false">'REV. FACHADA'!E34</f>
        <v>413.564697819908</v>
      </c>
      <c r="AL39" s="93" t="n">
        <f aca="false">'REV. FACHADA'!E35</f>
        <v>505.878246440423</v>
      </c>
      <c r="AM39" s="93" t="n">
        <f aca="false">'REV. FACHADA'!E36</f>
        <v>618.500775757452</v>
      </c>
      <c r="AN39" s="93" t="n">
        <f aca="false">'REV. FACHADA'!E37</f>
        <v>596.960947745998</v>
      </c>
      <c r="AO39" s="93" t="n">
        <f aca="false">'REV. FACHADA'!E38</f>
        <v>362.484534249889</v>
      </c>
      <c r="AP39" s="93" t="n">
        <f aca="false">'REV. FACHADA'!E39</f>
        <v>264.016749054673</v>
      </c>
      <c r="AQ39" s="93" t="n">
        <f aca="false">'REV. FACHADA'!E40</f>
        <v>204.320654280074</v>
      </c>
      <c r="AR39" s="93" t="n">
        <f aca="false">'REV. FACHADA'!E41</f>
        <v>132.931510013542</v>
      </c>
      <c r="AS39" s="93" t="n">
        <f aca="false">'REV. FACHADA'!E42</f>
        <v>82.4667701009937</v>
      </c>
      <c r="AT39" s="93" t="n">
        <f aca="false">'REV. FACHADA'!E43</f>
        <v>51.0801635700183</v>
      </c>
      <c r="AU39" s="93" t="n">
        <f aca="false">'REV. FACHADA'!E44</f>
        <v>32.002030188445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1.2915486304205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95.7680871555198</v>
      </c>
      <c r="F45" s="45" t="n">
        <f aca="false">IF(D45="","",D45-E45)</f>
        <v>7.93284784448018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</v>
      </c>
      <c r="AD45" s="93" t="n">
        <f aca="false">SEGUROS!E27</f>
        <v>0.579600985245169</v>
      </c>
      <c r="AE45" s="93" t="n">
        <f aca="false">SEGUROS!E28</f>
        <v>0.579600985245169</v>
      </c>
      <c r="AF45" s="93" t="n">
        <f aca="false">SEGUROS!E29</f>
        <v>0.579600985245169</v>
      </c>
      <c r="AG45" s="93" t="n">
        <f aca="false">SEGUROS!E30</f>
        <v>0.579600985245169</v>
      </c>
      <c r="AH45" s="93" t="n">
        <f aca="false">SEGUROS!E31</f>
        <v>0.579600985245169</v>
      </c>
      <c r="AI45" s="93" t="n">
        <f aca="false">SEGUROS!E32</f>
        <v>0.579600985245169</v>
      </c>
      <c r="AJ45" s="93" t="n">
        <f aca="false">SEGUROS!E33</f>
        <v>0.579600985245169</v>
      </c>
      <c r="AK45" s="93" t="n">
        <f aca="false">SEGUROS!E34</f>
        <v>0.579600985245169</v>
      </c>
      <c r="AL45" s="93" t="n">
        <f aca="false">SEGUROS!E35</f>
        <v>0.579600985245169</v>
      </c>
      <c r="AM45" s="93" t="n">
        <f aca="false">SEGUROS!E36</f>
        <v>0.579600985245169</v>
      </c>
      <c r="AN45" s="93" t="n">
        <f aca="false">SEGUROS!E37</f>
        <v>0.579600985245169</v>
      </c>
      <c r="AO45" s="93" t="n">
        <f aca="false">SEGUROS!E38</f>
        <v>0.579600985245169</v>
      </c>
      <c r="AP45" s="93" t="n">
        <f aca="false">SEGUROS!E39</f>
        <v>0.579600985245169</v>
      </c>
      <c r="AQ45" s="93" t="n">
        <f aca="false">SEGUROS!E40</f>
        <v>0.579600985245169</v>
      </c>
      <c r="AR45" s="93" t="n">
        <f aca="false">SEGUROS!E41</f>
        <v>0.579600985245169</v>
      </c>
      <c r="AS45" s="93" t="n">
        <f aca="false">SEGUROS!E42</f>
        <v>0.579600985245169</v>
      </c>
      <c r="AT45" s="93" t="n">
        <f aca="false">SEGUROS!E43</f>
        <v>0.579600985245169</v>
      </c>
      <c r="AU45" s="93" t="n">
        <f aca="false">SEGUROS!E44</f>
        <v>0.579600985245169</v>
      </c>
      <c r="AV45" s="93" t="n">
        <f aca="false">SEGUROS!E45</f>
        <v>0.579600985245169</v>
      </c>
      <c r="AW45" s="93" t="n">
        <f aca="false">SEGUROS!E46</f>
        <v>0.579600985245169</v>
      </c>
      <c r="AX45" s="93" t="n">
        <f aca="false">SEGUROS!E47</f>
        <v>0.579600985245169</v>
      </c>
      <c r="AY45" s="93" t="n">
        <f aca="false">SEGUROS!E48</f>
        <v>0.579600985245169</v>
      </c>
      <c r="AZ45" s="93" t="n">
        <f aca="false">SEGUROS!E49</f>
        <v>0.579600985245169</v>
      </c>
      <c r="BA45" s="93" t="n">
        <f aca="false">SEGUROS!E50</f>
        <v>0.579600985245169</v>
      </c>
      <c r="BB45" s="93" t="n">
        <f aca="false">SEGUROS!E51</f>
        <v>0.579600985245169</v>
      </c>
      <c r="BC45" s="93" t="n">
        <f aca="false">SEGUROS!E52</f>
        <v>0.579600985245169</v>
      </c>
      <c r="BD45" s="93" t="n">
        <f aca="false">SEGUROS!E53</f>
        <v>0.579600985245169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374.858048079306</v>
      </c>
      <c r="F46" s="45" t="n">
        <f aca="false">IF(D46="","",D46-E46)</f>
        <v>2.90997592069408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0.269284211789724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8.25875696119665</v>
      </c>
      <c r="AQ46" s="93" t="n">
        <f aca="false">SERRALHERIA!E40</f>
        <v>10.3327048976406</v>
      </c>
      <c r="AR46" s="93" t="n">
        <f aca="false">SERRALHERIA!E41</f>
        <v>0</v>
      </c>
      <c r="AS46" s="93" t="n">
        <f aca="false">SERRALHERIA!E42</f>
        <v>41.4048891597213</v>
      </c>
      <c r="AT46" s="93" t="n">
        <f aca="false">SERRALHERIA!E43</f>
        <v>60.3296640797728</v>
      </c>
      <c r="AU46" s="93" t="n">
        <f aca="false">SERRALHERIA!E44</f>
        <v>87.8094742376558</v>
      </c>
      <c r="AV46" s="93" t="n">
        <f aca="false">SERRALHERIA!E45</f>
        <v>12.4066528340846</v>
      </c>
      <c r="AW46" s="93" t="n">
        <f aca="false">SERRALHERIA!E46</f>
        <v>11.3696788658626</v>
      </c>
      <c r="AX46" s="93" t="n">
        <f aca="false">SERRALHERIA!E47</f>
        <v>23.7763316999473</v>
      </c>
      <c r="AY46" s="93" t="n">
        <f aca="false">SERRALHERIA!E48</f>
        <v>27.2576014504069</v>
      </c>
      <c r="AZ46" s="93" t="n">
        <f aca="false">SERRALHERIA!E49</f>
        <v>13.4065920177273</v>
      </c>
      <c r="BA46" s="93" t="n">
        <f aca="false">SERRALHERIA!E50</f>
        <v>12.4066528340847</v>
      </c>
      <c r="BB46" s="93" t="n">
        <f aca="false">SERRALHERIA!E51</f>
        <v>15.5175747387506</v>
      </c>
      <c r="BC46" s="93" t="n">
        <f aca="false">SERRALHERIA!E52</f>
        <v>9.29573092941861</v>
      </c>
      <c r="BD46" s="93" t="n">
        <f aca="false">SERRALHERIA!E53</f>
        <v>13.4436268023067</v>
      </c>
      <c r="BE46" s="93" t="n">
        <f aca="false">SERRALHERIA!E54</f>
        <v>22.5171490242491</v>
      </c>
      <c r="BF46" s="93" t="n">
        <f aca="false">SERRALHERIA!E55</f>
        <v>0.814765260745853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2036.80478821908</v>
      </c>
      <c r="F48" s="45" t="n">
        <f aca="false">IF(D48="","",D48-E48)</f>
        <v>458.721175780921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2.79601644018582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622.939179616477</v>
      </c>
      <c r="F50" s="45" t="n">
        <f aca="false">IF(D50="","",D50-E50)</f>
        <v>7.3452613835226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0.618715098842693</v>
      </c>
      <c r="AD50" s="93" t="n">
        <f aca="false">TRANSPORTES!E27</f>
        <v>44.7054795655956</v>
      </c>
      <c r="AE50" s="93" t="n">
        <f aca="false">TRANSPORTES!E28</f>
        <v>6.44896021209249</v>
      </c>
      <c r="AF50" s="93" t="n">
        <f aca="false">TRANSPORTES!E29</f>
        <v>9.21279713717642</v>
      </c>
      <c r="AG50" s="93" t="n">
        <f aca="false">TRANSPORTES!E30</f>
        <v>24.9114003268809</v>
      </c>
      <c r="AH50" s="93" t="n">
        <f aca="false">TRANSPORTES!E31</f>
        <v>31.0563380340003</v>
      </c>
      <c r="AI50" s="93" t="n">
        <f aca="false">TRANSPORTES!E32</f>
        <v>35.1099714336407</v>
      </c>
      <c r="AJ50" s="93" t="n">
        <f aca="false">TRANSPORTES!E33</f>
        <v>31.1116141815503</v>
      </c>
      <c r="AK50" s="93" t="n">
        <f aca="false">TRANSPORTES!E34</f>
        <v>26.9013711862655</v>
      </c>
      <c r="AL50" s="93" t="n">
        <f aca="false">TRANSPORTES!E35</f>
        <v>32.4935326440922</v>
      </c>
      <c r="AM50" s="93" t="n">
        <f aca="false">TRANSPORTES!E36</f>
        <v>28.5320360062306</v>
      </c>
      <c r="AN50" s="93" t="n">
        <f aca="false">TRANSPORTES!E37</f>
        <v>23.5939768588944</v>
      </c>
      <c r="AO50" s="93" t="n">
        <f aca="false">TRANSPORTES!E38</f>
        <v>26.89215233926</v>
      </c>
      <c r="AP50" s="93" t="n">
        <f aca="false">TRANSPORTES!E39</f>
        <v>27.6383914115293</v>
      </c>
      <c r="AQ50" s="93" t="n">
        <f aca="false">TRANSPORTES!E40</f>
        <v>27.6383914115293</v>
      </c>
      <c r="AR50" s="93" t="n">
        <f aca="false">TRANSPORTES!E41</f>
        <v>26.689470669278</v>
      </c>
      <c r="AS50" s="93" t="n">
        <f aca="false">TRANSPORTES!E42</f>
        <v>27.6383914115293</v>
      </c>
      <c r="AT50" s="93" t="n">
        <f aca="false">TRANSPORTES!E43</f>
        <v>27.3459072391064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126.610736279864</v>
      </c>
      <c r="F53" s="45" t="n">
        <f aca="false">IF(D53="","",D53-E53)</f>
        <v>0.681737720136312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0.723655477309247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0.723655477309247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0.723655477309247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0.723655477309247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83.8690156360826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490.435234237934</v>
      </c>
      <c r="F55" s="45" t="n">
        <f aca="false">IF(D55="","",D55-E55)</f>
        <v>14.6975207620658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2.00878328160512</v>
      </c>
      <c r="AD55" s="93" t="n">
        <f aca="false">'SERV. INICIAIS'!E27</f>
        <v>0.162770765274955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18.1950725605543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0.513794276094794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623.107007811414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2096.90151831553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2096.90151831553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2528.88464018244</v>
      </c>
      <c r="AD61" s="61" t="n">
        <f aca="false">SUM(AD2:AD59)-AD47</f>
        <v>3754.69511083754</v>
      </c>
      <c r="AE61" s="61" t="n">
        <f aca="false">SUM(AE2:AE59)-AE47</f>
        <v>3582.70685078002</v>
      </c>
      <c r="AF61" s="61" t="n">
        <f aca="false">SUM(AF2:AF59)-AF47</f>
        <v>2615.57000180658</v>
      </c>
      <c r="AG61" s="61" t="n">
        <f aca="false">SUM(AG2:AG59)-AG47</f>
        <v>3550.64872094125</v>
      </c>
      <c r="AH61" s="61" t="n">
        <f aca="false">SUM(AH2:AH59)-AH47</f>
        <v>4272.57268653604</v>
      </c>
      <c r="AI61" s="61" t="n">
        <f aca="false">SUM(AI2:AI59)-AI47</f>
        <v>4833.71985309746</v>
      </c>
      <c r="AJ61" s="61" t="n">
        <f aca="false">SUM(AJ2:AJ59)-AJ47</f>
        <v>4716.85019741621</v>
      </c>
      <c r="AK61" s="61" t="n">
        <f aca="false">SUM(AK2:AK59)-AK47</f>
        <v>3467.24641221198</v>
      </c>
      <c r="AL61" s="61" t="n">
        <f aca="false">SUM(AL2:AL59)-AL47</f>
        <v>4129.95486096156</v>
      </c>
      <c r="AM61" s="61" t="n">
        <f aca="false">SUM(AM2:AM59)-AM47</f>
        <v>5604.03894445429</v>
      </c>
      <c r="AN61" s="61" t="n">
        <f aca="false">SUM(AN2:AN59)-AN47</f>
        <v>4605.10068033901</v>
      </c>
      <c r="AO61" s="61" t="n">
        <f aca="false">SUM(AO2:AO59)-AO47</f>
        <v>4523.63704504454</v>
      </c>
      <c r="AP61" s="61" t="n">
        <f aca="false">SUM(AP2:AP59)-AP47</f>
        <v>3912.98119988415</v>
      </c>
      <c r="AQ61" s="61" t="n">
        <f aca="false">SUM(AQ2:AQ59)-AQ47</f>
        <v>3677.38472055926</v>
      </c>
      <c r="AR61" s="61" t="n">
        <f aca="false">SUM(AR2:AR59)-AR47</f>
        <v>3133.83403683982</v>
      </c>
      <c r="AS61" s="61" t="n">
        <f aca="false">SUM(AS2:AS59)-AS47</f>
        <v>3392.08744508668</v>
      </c>
      <c r="AT61" s="61" t="n">
        <f aca="false">SUM(AT2:AT59)-AT47</f>
        <v>3019.33083797817</v>
      </c>
      <c r="AU61" s="61" t="n">
        <f aca="false">SUM(AU2:AU59)-AU47</f>
        <v>3159.0770551269</v>
      </c>
      <c r="AV61" s="61" t="n">
        <f aca="false">SUM(AV2:AV59)-AV47</f>
        <v>1650.35936176189</v>
      </c>
      <c r="AW61" s="61" t="n">
        <f aca="false">SUM(AW2:AW59)-AW47</f>
        <v>1220.51769044176</v>
      </c>
      <c r="AX61" s="61" t="n">
        <f aca="false">SUM(AX2:AX59)-AX47</f>
        <v>906.108864426352</v>
      </c>
      <c r="AY61" s="61" t="n">
        <f aca="false">SUM(AY2:AY59)-AY47</f>
        <v>917.635918184809</v>
      </c>
      <c r="AZ61" s="61" t="n">
        <f aca="false">SUM(AZ2:AZ59)-AZ47</f>
        <v>733.268251012732</v>
      </c>
      <c r="BA61" s="61" t="n">
        <f aca="false">SUM(BA2:BA59)-BA47</f>
        <v>510.780021015517</v>
      </c>
      <c r="BB61" s="61" t="n">
        <f aca="false">SUM(BB2:BB59)-BB47</f>
        <v>424.326747851157</v>
      </c>
      <c r="BC61" s="61" t="n">
        <f aca="false">SUM(BC2:BC59)-BC47</f>
        <v>4233.6350176207</v>
      </c>
      <c r="BD61" s="61" t="n">
        <f aca="false">SUM(BD2:BD59)-BD47</f>
        <v>272.710797442337</v>
      </c>
      <c r="BE61" s="61" t="n">
        <f aca="false">SUM(BE2:BE59)-BE47</f>
        <v>99.9951058260124</v>
      </c>
      <c r="BF61" s="61" t="n">
        <f aca="false">SUM(BF2:BF59)-BF47</f>
        <v>11.1881819267801</v>
      </c>
      <c r="BG61" s="61" t="n">
        <f aca="false">SUM(BG2:BG59)-BG47</f>
        <v>704.67171608812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0.511640002400477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2096.90151831553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2528.88464018244</v>
      </c>
      <c r="AD63" s="61" t="n">
        <f aca="false">AD61+AD62</f>
        <v>3754.69511083754</v>
      </c>
      <c r="AE63" s="61" t="n">
        <f aca="false">AE61+AE62</f>
        <v>3582.70685078002</v>
      </c>
      <c r="AF63" s="61" t="n">
        <f aca="false">AF61+AF62</f>
        <v>2615.57000180658</v>
      </c>
      <c r="AG63" s="61" t="n">
        <f aca="false">AG61+AG62</f>
        <v>3550.64872094125</v>
      </c>
      <c r="AH63" s="61" t="n">
        <f aca="false">AH61+AH62</f>
        <v>4272.57268653604</v>
      </c>
      <c r="AI63" s="61" t="n">
        <f aca="false">AI61+AI62</f>
        <v>4833.71985309746</v>
      </c>
      <c r="AJ63" s="61" t="n">
        <f aca="false">AJ61+AJ62</f>
        <v>4716.85019741621</v>
      </c>
      <c r="AK63" s="61" t="n">
        <f aca="false">AK61+AK62</f>
        <v>3467.24641221198</v>
      </c>
      <c r="AL63" s="61" t="n">
        <f aca="false">AL61+AL62</f>
        <v>4129.95486096156</v>
      </c>
      <c r="AM63" s="61" t="n">
        <f aca="false">AM61+AM62</f>
        <v>5604.03894445429</v>
      </c>
      <c r="AN63" s="61" t="n">
        <f aca="false">AN61+AN62</f>
        <v>4605.10068033901</v>
      </c>
      <c r="AO63" s="61" t="n">
        <f aca="false">AO61+AO62</f>
        <v>4523.63704504454</v>
      </c>
      <c r="AP63" s="61" t="n">
        <f aca="false">AP61+AP62</f>
        <v>3912.98119988415</v>
      </c>
      <c r="AQ63" s="61" t="n">
        <f aca="false">AQ61+AQ62</f>
        <v>3677.38472055926</v>
      </c>
      <c r="AR63" s="61" t="n">
        <f aca="false">AR61+AR62</f>
        <v>3133.83403683982</v>
      </c>
      <c r="AS63" s="61" t="n">
        <f aca="false">AS61+AS62</f>
        <v>3392.08744508668</v>
      </c>
      <c r="AT63" s="61" t="n">
        <f aca="false">AT61+AT62</f>
        <v>3019.33083797817</v>
      </c>
      <c r="AU63" s="61" t="n">
        <f aca="false">AU61+AU62</f>
        <v>3159.0770551269</v>
      </c>
      <c r="AV63" s="61" t="n">
        <f aca="false">AV61+AV62</f>
        <v>1650.35936176189</v>
      </c>
      <c r="AW63" s="61" t="n">
        <f aca="false">AW61+AW62</f>
        <v>1220.51769044176</v>
      </c>
      <c r="AX63" s="61" t="n">
        <f aca="false">AX61+AX62</f>
        <v>906.108864426352</v>
      </c>
      <c r="AY63" s="61" t="n">
        <f aca="false">AY61+AY62</f>
        <v>917.635918184809</v>
      </c>
      <c r="AZ63" s="61" t="n">
        <f aca="false">AZ61+AZ62</f>
        <v>733.268251012732</v>
      </c>
      <c r="BA63" s="61" t="n">
        <f aca="false">BA61+BA62</f>
        <v>510.780021015517</v>
      </c>
      <c r="BB63" s="61" t="n">
        <f aca="false">BB61+BB62</f>
        <v>424.326747851157</v>
      </c>
      <c r="BC63" s="61" t="n">
        <f aca="false">BC61+BC62</f>
        <v>4233.6350176207</v>
      </c>
      <c r="BD63" s="61" t="n">
        <f aca="false">BD61+BD62</f>
        <v>272.710797442337</v>
      </c>
      <c r="BE63" s="61" t="n">
        <f aca="false">BE61+BE62</f>
        <v>99.9951058260124</v>
      </c>
      <c r="BF63" s="61" t="n">
        <f aca="false">BF61+BF62</f>
        <v>11.1881819267801</v>
      </c>
      <c r="BG63" s="61" t="n">
        <f aca="false">BG61+BG62</f>
        <v>704.67171608812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0.511640002400477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2096.90151831553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"&amp;TEXT('VALOR POR PL'!$P$5,"mm/aaaa")</f>
        <v>INCORRIDO ATÉ -&gt; 06/Tuesday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154705660.61511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PL'!$P$7+IF(H$1=DATE(2026,8,1),'VALOR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PL'!$P$7+IF(I$1=DATE(2026,8,1),'VALOR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PL'!$P$7+IF(J$1=DATE(2026,8,1),'VALOR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PL'!$P$7+IF(K$1=DATE(2026,8,1),'VALOR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PL'!$P$7+IF(L$1=DATE(2026,8,1),'VALOR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3286897.58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4880134.93275021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4656594.56764652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3399566.18528809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4614927.26985363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5553242.16874372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6282588.7093046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6130688.30929014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4506525.78630122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5367875.7908959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7283804.78574291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5985442.76846519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5879561.06020028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5085866.01069983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4779651.37146913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4073175.71871027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4408838.52005185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3924351.10201542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4105985.12978475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2145041.37757512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1586358.10401015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1177707.74766724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1192689.94357336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953059.543107791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663882.246074751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551515.295905559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5502633.24507236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354453.677289298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129967.838836513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14541.7499538771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915891.425611806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665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2725430.97321846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154705660.61511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45873002.26</v>
      </c>
      <c r="AD66" s="50" t="n">
        <f aca="false">AC66+AD65</f>
        <v>50753137.1927502</v>
      </c>
      <c r="AE66" s="50" t="n">
        <f aca="false">AD66+AE65</f>
        <v>55409731.7603967</v>
      </c>
      <c r="AF66" s="50" t="n">
        <f aca="false">AE66+AF65</f>
        <v>58809297.9456848</v>
      </c>
      <c r="AG66" s="50" t="n">
        <f aca="false">AF66+AG65</f>
        <v>63424225.2155385</v>
      </c>
      <c r="AH66" s="50" t="n">
        <f aca="false">AG66+AH65</f>
        <v>68977467.3842822</v>
      </c>
      <c r="AI66" s="50" t="n">
        <f aca="false">AH66+AI65</f>
        <v>75260056.0935868</v>
      </c>
      <c r="AJ66" s="50" t="n">
        <f aca="false">AI66+AJ65</f>
        <v>81390744.4028769</v>
      </c>
      <c r="AK66" s="50" t="n">
        <f aca="false">AJ66+AK65</f>
        <v>85897270.1891781</v>
      </c>
      <c r="AL66" s="50" t="n">
        <f aca="false">AK66+AL65</f>
        <v>91265145.9800741</v>
      </c>
      <c r="AM66" s="50" t="n">
        <f aca="false">AL66+AM65</f>
        <v>98548950.765817</v>
      </c>
      <c r="AN66" s="50" t="n">
        <f aca="false">AM66+AN65</f>
        <v>104534393.534282</v>
      </c>
      <c r="AO66" s="50" t="n">
        <f aca="false">AN66+AO65</f>
        <v>110413954.594482</v>
      </c>
      <c r="AP66" s="50" t="n">
        <f aca="false">AO66+AP65</f>
        <v>115499820.605182</v>
      </c>
      <c r="AQ66" s="50" t="n">
        <f aca="false">AP66+AQ65</f>
        <v>120279471.976651</v>
      </c>
      <c r="AR66" s="50" t="n">
        <f aca="false">AQ66+AR65</f>
        <v>124352647.695362</v>
      </c>
      <c r="AS66" s="50" t="n">
        <f aca="false">AR66+AS65</f>
        <v>128761486.215413</v>
      </c>
      <c r="AT66" s="50" t="n">
        <f aca="false">AS66+AT65</f>
        <v>132685837.317429</v>
      </c>
      <c r="AU66" s="50" t="n">
        <f aca="false">AT66+AU65</f>
        <v>136791822.447214</v>
      </c>
      <c r="AV66" s="50" t="n">
        <f aca="false">AU66+AV65</f>
        <v>138936863.824789</v>
      </c>
      <c r="AW66" s="50" t="n">
        <f aca="false">AV66+AW65</f>
        <v>140523221.928799</v>
      </c>
      <c r="AX66" s="50" t="n">
        <f aca="false">AW66+AX65</f>
        <v>141700929.676466</v>
      </c>
      <c r="AY66" s="50" t="n">
        <f aca="false">AX66+AY65</f>
        <v>142893619.62004</v>
      </c>
      <c r="AZ66" s="50" t="n">
        <f aca="false">AY66+AZ65</f>
        <v>143846679.163147</v>
      </c>
      <c r="BA66" s="50" t="n">
        <f aca="false">AZ66+BA65</f>
        <v>144510561.409222</v>
      </c>
      <c r="BB66" s="50" t="n">
        <f aca="false">BA66+BB65</f>
        <v>145062076.705128</v>
      </c>
      <c r="BC66" s="50" t="n">
        <f aca="false">BB66+BC65</f>
        <v>150564709.9502</v>
      </c>
      <c r="BD66" s="50" t="n">
        <f aca="false">BC66+BD65</f>
        <v>150919163.627489</v>
      </c>
      <c r="BE66" s="50" t="n">
        <f aca="false">BD66+BE65</f>
        <v>151049131.466326</v>
      </c>
      <c r="BF66" s="50" t="n">
        <f aca="false">BE66+BF65</f>
        <v>151063673.21628</v>
      </c>
      <c r="BG66" s="50" t="n">
        <f aca="false">BF66+BG65</f>
        <v>151979564.641891</v>
      </c>
      <c r="BH66" s="50" t="n">
        <f aca="false">BG66+BH65</f>
        <v>151979564.641891</v>
      </c>
      <c r="BI66" s="50" t="n">
        <f aca="false">BH66+BI65</f>
        <v>151979564.641891</v>
      </c>
      <c r="BJ66" s="50" t="n">
        <f aca="false">BI66+BJ65</f>
        <v>151980229.641891</v>
      </c>
      <c r="BK66" s="50" t="n">
        <f aca="false">BJ66+BK65</f>
        <v>151980229.641891</v>
      </c>
      <c r="BL66" s="50" t="n">
        <f aca="false">BK66+BL65</f>
        <v>151980229.641891</v>
      </c>
      <c r="BM66" s="50" t="n">
        <f aca="false">BL66+BM65</f>
        <v>151980229.641891</v>
      </c>
      <c r="BN66" s="50" t="n">
        <f aca="false">BM66+BN65</f>
        <v>151980229.641891</v>
      </c>
      <c r="BO66" s="50" t="n">
        <f aca="false">BN66+BO65</f>
        <v>151980229.641891</v>
      </c>
      <c r="BP66" s="50" t="n">
        <f aca="false">BO66+BP65</f>
        <v>151980229.641891</v>
      </c>
      <c r="BQ66" s="50" t="n">
        <f aca="false">BP66+BQ65</f>
        <v>151980229.641891</v>
      </c>
      <c r="BR66" s="50" t="n">
        <f aca="false">BQ66+BR65</f>
        <v>151980229.641891</v>
      </c>
      <c r="BS66" s="50" t="n">
        <f aca="false">BR66+BS65</f>
        <v>151980229.641891</v>
      </c>
      <c r="BT66" s="50" t="n">
        <f aca="false">BS66+BT65</f>
        <v>151980229.641891</v>
      </c>
      <c r="BU66" s="50" t="n">
        <f aca="false">BT66+BU65</f>
        <v>151980229.641891</v>
      </c>
      <c r="BV66" s="50" t="n">
        <f aca="false">BU66+BV65</f>
        <v>154705660.61511</v>
      </c>
      <c r="BW66" s="50" t="n">
        <f aca="false">BV66+BW65</f>
        <v>154705660.61511</v>
      </c>
      <c r="BX66" s="50" t="n">
        <f aca="false">BW66+BX65</f>
        <v>154705660.61511</v>
      </c>
      <c r="BY66" s="50" t="n">
        <f aca="false">BX66+BY65</f>
        <v>154705660.61511</v>
      </c>
      <c r="BZ66" s="50" t="n">
        <f aca="false">BY66+BZ65</f>
        <v>154705660.61511</v>
      </c>
      <c r="CA66" s="50" t="n">
        <f aca="false">BZ66+CA65</f>
        <v>154705660.61511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0.0373529572675223</v>
      </c>
      <c r="I67" s="117" t="n">
        <f aca="false">IF($E$66=0,0,I66/$E$66)</f>
        <v>0.0458304086728906</v>
      </c>
      <c r="J67" s="117" t="n">
        <f aca="false">IF($E$66=0,0,J66/$E$66)</f>
        <v>0.0500942151643744</v>
      </c>
      <c r="K67" s="117" t="n">
        <f aca="false">IF($E$66=0,0,K66/$E$66)</f>
        <v>0.0585673112022835</v>
      </c>
      <c r="L67" s="117" t="n">
        <f aca="false">IF($E$66=0,0,L66/$E$66)</f>
        <v>0.0683835182108827</v>
      </c>
      <c r="M67" s="117" t="n">
        <f aca="false">IF($E$66=0,0,M66/$E$66)</f>
        <v>0.0824920609191565</v>
      </c>
      <c r="N67" s="117" t="n">
        <f aca="false">IF($E$66=0,0,N66/$E$66)</f>
        <v>0.0990861827489124</v>
      </c>
      <c r="O67" s="117" t="n">
        <f aca="false">IF($E$66=0,0,O66/$E$66)</f>
        <v>0.109789190534254</v>
      </c>
      <c r="P67" s="117" t="n">
        <f aca="false">IF($E$66=0,0,P66/$E$66)</f>
        <v>0.120582896099782</v>
      </c>
      <c r="Q67" s="117" t="n">
        <f aca="false">IF($E$66=0,0,Q66/$E$66)</f>
        <v>0.130710676840127</v>
      </c>
      <c r="R67" s="117" t="n">
        <f aca="false">IF($E$66=0,0,R66/$E$66)</f>
        <v>0.138261428670121</v>
      </c>
      <c r="S67" s="117" t="n">
        <f aca="false">IF($E$66=0,0,S66/$E$66)</f>
        <v>0.148089290003409</v>
      </c>
      <c r="T67" s="117" t="n">
        <f aca="false">IF($E$66=0,0,T66/$E$66)</f>
        <v>0.156868337418998</v>
      </c>
      <c r="U67" s="117" t="n">
        <f aca="false">IF($E$66=0,0,U66/$E$66)</f>
        <v>0.17121304750379</v>
      </c>
      <c r="V67" s="117" t="n">
        <f aca="false">IF($E$66=0,0,V66/$E$66)</f>
        <v>0.182250087862953</v>
      </c>
      <c r="W67" s="117" t="n">
        <f aca="false">IF($E$66=0,0,W66/$E$66)</f>
        <v>0.193790253121946</v>
      </c>
      <c r="X67" s="117" t="n">
        <f aca="false">IF($E$66=0,0,X66/$E$66)</f>
        <v>0.204994525112435</v>
      </c>
      <c r="Y67" s="117" t="n">
        <f aca="false">IF($E$66=0,0,Y66/$E$66)</f>
        <v>0.216747370501354</v>
      </c>
      <c r="Z67" s="117" t="n">
        <f aca="false">IF($E$66=0,0,Z66/$E$66)</f>
        <v>0.23051550562667</v>
      </c>
      <c r="AA67" s="117" t="n">
        <f aca="false">IF($E$66=0,0,AA66/$E$66)</f>
        <v>0.251667059144424</v>
      </c>
      <c r="AB67" s="117" t="n">
        <f aca="false">IF($E$66=0,0,AB66/$E$66)</f>
        <v>0.275271793615551</v>
      </c>
      <c r="AC67" s="117" t="n">
        <f aca="false">IF($E$66=0,0,AC66/$E$66)</f>
        <v>0.296517930097767</v>
      </c>
      <c r="AD67" s="117" t="n">
        <f aca="false">IF($E$66=0,0,AD66/$E$66)</f>
        <v>0.328062573734896</v>
      </c>
      <c r="AE67" s="117" t="n">
        <f aca="false">IF($E$66=0,0,AE66/$E$66)</f>
        <v>0.358162277579809</v>
      </c>
      <c r="AF67" s="117" t="n">
        <f aca="false">IF($E$66=0,0,AF66/$E$66)</f>
        <v>0.380136691261709</v>
      </c>
      <c r="AG67" s="117" t="n">
        <f aca="false">IF($E$66=0,0,AG66/$E$66)</f>
        <v>0.409967062377444</v>
      </c>
      <c r="AH67" s="117" t="n">
        <f aca="false">IF($E$66=0,0,AH66/$E$66)</f>
        <v>0.445862595525126</v>
      </c>
      <c r="AI67" s="117" t="n">
        <f aca="false">IF($E$66=0,0,AI66/$E$66)</f>
        <v>0.486472542726315</v>
      </c>
      <c r="AJ67" s="117" t="n">
        <f aca="false">IF($E$66=0,0,AJ66/$E$66)</f>
        <v>0.526100622816691</v>
      </c>
      <c r="AK67" s="117" t="n">
        <f aca="false">IF($E$66=0,0,AK66/$E$66)</f>
        <v>0.55523029892798</v>
      </c>
      <c r="AL67" s="117" t="n">
        <f aca="false">IF($E$66=0,0,AL66/$E$66)</f>
        <v>0.589927644645992</v>
      </c>
      <c r="AM67" s="117" t="n">
        <f aca="false">IF($E$66=0,0,AM66/$E$66)</f>
        <v>0.637009340020179</v>
      </c>
      <c r="AN67" s="117" t="n">
        <f aca="false">IF($E$66=0,0,AN66/$E$66)</f>
        <v>0.675698569261482</v>
      </c>
      <c r="AO67" s="117" t="n">
        <f aca="false">IF($E$66=0,0,AO66/$E$66)</f>
        <v>0.713703391042554</v>
      </c>
      <c r="AP67" s="117" t="n">
        <f aca="false">IF($E$66=0,0,AP66/$E$66)</f>
        <v>0.746577857241647</v>
      </c>
      <c r="AQ67" s="117" t="n">
        <f aca="false">IF($E$66=0,0,AQ66/$E$66)</f>
        <v>0.777472986433851</v>
      </c>
      <c r="AR67" s="117" t="n">
        <f aca="false">IF($E$66=0,0,AR66/$E$66)</f>
        <v>0.803801536420421</v>
      </c>
      <c r="AS67" s="117" t="n">
        <f aca="false">IF($E$66=0,0,AS66/$E$66)</f>
        <v>0.832299773023544</v>
      </c>
      <c r="AT67" s="117" t="n">
        <f aca="false">IF($E$66=0,0,AT66/$E$66)</f>
        <v>0.857666337416936</v>
      </c>
      <c r="AU67" s="117" t="n">
        <f aca="false">IF($E$66=0,0,AU66/$E$66)</f>
        <v>0.884206963748638</v>
      </c>
      <c r="AV67" s="117" t="n">
        <f aca="false">IF($E$66=0,0,AV66/$E$66)</f>
        <v>0.898072270092611</v>
      </c>
      <c r="AW67" s="117" t="n">
        <f aca="false">IF($E$66=0,0,AW66/$E$66)</f>
        <v>0.908326310556953</v>
      </c>
      <c r="AX67" s="117" t="n">
        <f aca="false">IF($E$66=0,0,AX66/$E$66)</f>
        <v>0.915938881053628</v>
      </c>
      <c r="AY67" s="117" t="n">
        <f aca="false">IF($E$66=0,0,AY66/$E$66)</f>
        <v>0.923648294780516</v>
      </c>
      <c r="AZ67" s="117" t="n">
        <f aca="false">IF($E$66=0,0,AZ66/$E$66)</f>
        <v>0.929808764535265</v>
      </c>
      <c r="BA67" s="117" t="n">
        <f aca="false">IF($E$66=0,0,BA66/$E$66)</f>
        <v>0.934100024747949</v>
      </c>
      <c r="BB67" s="117" t="n">
        <f aca="false">IF($E$66=0,0,BB66/$E$66)</f>
        <v>0.93766495762573</v>
      </c>
      <c r="BC67" s="117" t="n">
        <f aca="false">IF($E$66=0,0,BC66/$E$66)</f>
        <v>0.973233360379669</v>
      </c>
      <c r="BD67" s="117" t="n">
        <f aca="false">IF($E$66=0,0,BD66/$E$66)</f>
        <v>0.975524509106095</v>
      </c>
      <c r="BE67" s="117" t="n">
        <f aca="false">IF($E$66=0,0,BE66/$E$66)</f>
        <v>0.976364606606857</v>
      </c>
      <c r="BF67" s="117" t="n">
        <f aca="false">IF($E$66=0,0,BF66/$E$66)</f>
        <v>0.976458602843944</v>
      </c>
      <c r="BG67" s="117" t="n">
        <f aca="false">IF($E$66=0,0,BG66/$E$66)</f>
        <v>0.982378822065208</v>
      </c>
      <c r="BH67" s="117" t="n">
        <f aca="false">IF($E$66=0,0,BH66/$E$66)</f>
        <v>0.982378822065208</v>
      </c>
      <c r="BI67" s="117" t="n">
        <f aca="false">IF($E$66=0,0,BI66/$E$66)</f>
        <v>0.982378822065208</v>
      </c>
      <c r="BJ67" s="117" t="n">
        <f aca="false">IF($E$66=0,0,BJ66/$E$66)</f>
        <v>0.982383120550456</v>
      </c>
      <c r="BK67" s="117" t="n">
        <f aca="false">IF($E$66=0,0,BK66/$E$66)</f>
        <v>0.982383120550456</v>
      </c>
      <c r="BL67" s="117" t="n">
        <f aca="false">IF($E$66=0,0,BL66/$E$66)</f>
        <v>0.982383120550456</v>
      </c>
      <c r="BM67" s="117" t="n">
        <f aca="false">IF($E$66=0,0,BM66/$E$66)</f>
        <v>0.982383120550456</v>
      </c>
      <c r="BN67" s="117" t="n">
        <f aca="false">IF($E$66=0,0,BN66/$E$66)</f>
        <v>0.982383120550456</v>
      </c>
      <c r="BO67" s="117" t="n">
        <f aca="false">IF($E$66=0,0,BO66/$E$66)</f>
        <v>0.982383120550456</v>
      </c>
      <c r="BP67" s="117" t="n">
        <f aca="false">IF($E$66=0,0,BP66/$E$66)</f>
        <v>0.982383120550456</v>
      </c>
      <c r="BQ67" s="117" t="n">
        <f aca="false">IF($E$66=0,0,BQ66/$E$66)</f>
        <v>0.982383120550456</v>
      </c>
      <c r="BR67" s="117" t="n">
        <f aca="false">IF($E$66=0,0,BR66/$E$66)</f>
        <v>0.982383120550456</v>
      </c>
      <c r="BS67" s="117" t="n">
        <f aca="false">IF($E$66=0,0,BS66/$E$66)</f>
        <v>0.982383120550456</v>
      </c>
      <c r="BT67" s="117" t="n">
        <f aca="false">IF($E$66=0,0,BT66/$E$66)</f>
        <v>0.982383120550456</v>
      </c>
      <c r="BU67" s="117" t="n">
        <f aca="false">IF($E$66=0,0,BU66/$E$66)</f>
        <v>0.982383120550456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0.0105676573670445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0.00911482300780517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0.0147865066979095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2528.88464018244</v>
      </c>
      <c r="E25" s="56" t="n">
        <f aca="false">IF(A25&gt;'VALOR POR PL'!$P$5,'MODELO PARA BI'!AC63,0)</f>
        <v>0</v>
      </c>
      <c r="F25" s="117" t="n">
        <f aca="false">IF('MODELO PARA BI'!$E$63=0,0,(D25+E25)/'MODELO PARA BI'!$E$63)</f>
        <v>0.0208438990712234</v>
      </c>
      <c r="G25" s="117" t="n">
        <f aca="false">G24+F25</f>
        <v>0.309836436580768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3286897.58</v>
      </c>
      <c r="L25" s="65" t="n">
        <f aca="false">'MODELO PARA BI'!AC66</f>
        <v>45873002.26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3754.69511083754</v>
      </c>
      <c r="F26" s="117" t="n">
        <f aca="false">IF('MODELO PARA BI'!$E$63=0,0,(D26+E26)/'MODELO PARA BI'!$E$63)</f>
        <v>0.0309474321959849</v>
      </c>
      <c r="G26" s="117" t="n">
        <f aca="false">G25+F26</f>
        <v>0.340783868776753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4880134.93275021</v>
      </c>
      <c r="L26" s="65" t="n">
        <f aca="false">'MODELO PARA BI'!AD66</f>
        <v>50753137.1927502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3582.70685078002</v>
      </c>
      <c r="F27" s="117" t="n">
        <f aca="false">IF('MODELO PARA BI'!$E$63=0,0,(D27+E27)/'MODELO PARA BI'!$E$63)</f>
        <v>0.0295298483817166</v>
      </c>
      <c r="G27" s="117" t="n">
        <f aca="false">G26+F27</f>
        <v>0.37031371715847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4656594.56764652</v>
      </c>
      <c r="L27" s="65" t="n">
        <f aca="false">'MODELO PARA BI'!AE66</f>
        <v>55409731.7603967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2615.57000180658</v>
      </c>
      <c r="F28" s="117" t="n">
        <f aca="false">IF('MODELO PARA BI'!$E$63=0,0,(D28+E28)/'MODELO PARA BI'!$E$63)</f>
        <v>0.0215583883365447</v>
      </c>
      <c r="G28" s="117" t="n">
        <f aca="false">G27+F28</f>
        <v>0.391872105495015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3399566.18528809</v>
      </c>
      <c r="L28" s="65" t="n">
        <f aca="false">'MODELO PARA BI'!AF66</f>
        <v>58809297.9456848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3550.64872094125</v>
      </c>
      <c r="F29" s="117" t="n">
        <f aca="false">IF('MODELO PARA BI'!$E$63=0,0,(D29+E29)/'MODELO PARA BI'!$E$63)</f>
        <v>0.0292656147301875</v>
      </c>
      <c r="G29" s="117" t="n">
        <f aca="false">G28+F29</f>
        <v>0.421137720225202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4614927.26985363</v>
      </c>
      <c r="L29" s="65" t="n">
        <f aca="false">'MODELO PARA BI'!AG66</f>
        <v>63424225.2155385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4272.57268653604</v>
      </c>
      <c r="F30" s="117" t="n">
        <f aca="false">IF('MODELO PARA BI'!$E$63=0,0,(D30+E30)/'MODELO PARA BI'!$E$63)</f>
        <v>0.0352159495287212</v>
      </c>
      <c r="G30" s="117" t="n">
        <f aca="false">G29+F30</f>
        <v>0.456353669753923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5553242.16874372</v>
      </c>
      <c r="L30" s="65" t="n">
        <f aca="false">'MODELO PARA BI'!AH66</f>
        <v>68977467.3842822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4833.71985309746</v>
      </c>
      <c r="F31" s="117" t="n">
        <f aca="false">IF('MODELO PARA BI'!$E$63=0,0,(D31+E31)/'MODELO PARA BI'!$E$63)</f>
        <v>0.0398411090627146</v>
      </c>
      <c r="G31" s="117" t="n">
        <f aca="false">G30+F31</f>
        <v>0.496194778816638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6282588.7093046</v>
      </c>
      <c r="L31" s="65" t="n">
        <f aca="false">'MODELO PARA BI'!AI66</f>
        <v>75260056.0935868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4716.85019741621</v>
      </c>
      <c r="F32" s="117" t="n">
        <f aca="false">IF('MODELO PARA BI'!$E$63=0,0,(D32+E32)/'MODELO PARA BI'!$E$63)</f>
        <v>0.0388778309167677</v>
      </c>
      <c r="G32" s="117" t="n">
        <f aca="false">G31+F32</f>
        <v>0.535072609733406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6130688.30929014</v>
      </c>
      <c r="L32" s="65" t="n">
        <f aca="false">'MODELO PARA BI'!AJ66</f>
        <v>81390744.4028769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3467.24641221198</v>
      </c>
      <c r="F33" s="117" t="n">
        <f aca="false">IF('MODELO PARA BI'!$E$63=0,0,(D33+E33)/'MODELO PARA BI'!$E$63)</f>
        <v>0.0285781854667733</v>
      </c>
      <c r="G33" s="117" t="n">
        <f aca="false">G32+F33</f>
        <v>0.563650795200179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4506525.78630122</v>
      </c>
      <c r="L33" s="65" t="n">
        <f aca="false">'MODELO PARA BI'!AK66</f>
        <v>85897270.1891781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4129.95486096156</v>
      </c>
      <c r="F34" s="117" t="n">
        <f aca="false">IF('MODELO PARA BI'!$E$63=0,0,(D34+E34)/'MODELO PARA BI'!$E$63)</f>
        <v>0.0340404464967532</v>
      </c>
      <c r="G34" s="117" t="n">
        <f aca="false">G33+F34</f>
        <v>0.597691241696932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5367875.7908959</v>
      </c>
      <c r="L34" s="65" t="n">
        <f aca="false">'MODELO PARA BI'!AL66</f>
        <v>91265145.9800741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5604.03894445429</v>
      </c>
      <c r="F35" s="117" t="n">
        <f aca="false">IF('MODELO PARA BI'!$E$63=0,0,(D35+E35)/'MODELO PARA BI'!$E$63)</f>
        <v>0.0461903324071689</v>
      </c>
      <c r="G35" s="117" t="n">
        <f aca="false">G34+F35</f>
        <v>0.643881574104101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7283804.78574291</v>
      </c>
      <c r="L35" s="65" t="n">
        <f aca="false">'MODELO PARA BI'!AM66</f>
        <v>98548950.765817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4605.10068033901</v>
      </c>
      <c r="F36" s="117" t="n">
        <f aca="false">IF('MODELO PARA BI'!$E$63=0,0,(D36+E36)/'MODELO PARA BI'!$E$63)</f>
        <v>0.0379567546374452</v>
      </c>
      <c r="G36" s="117" t="n">
        <f aca="false">G35+F36</f>
        <v>0.681838328741546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5985442.76846519</v>
      </c>
      <c r="L36" s="65" t="n">
        <f aca="false">'MODELO PARA BI'!AN66</f>
        <v>104534393.534282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4523.63704504454</v>
      </c>
      <c r="F37" s="117" t="n">
        <f aca="false">IF('MODELO PARA BI'!$E$63=0,0,(D37+E37)/'MODELO PARA BI'!$E$63)</f>
        <v>0.0372853045581998</v>
      </c>
      <c r="G37" s="117" t="n">
        <f aca="false">G36+F37</f>
        <v>0.719123633299746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5879561.06020028</v>
      </c>
      <c r="L37" s="65" t="n">
        <f aca="false">'MODELO PARA BI'!AO66</f>
        <v>110413954.594482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3912.98119988415</v>
      </c>
      <c r="F38" s="117" t="n">
        <f aca="false">IF('MODELO PARA BI'!$E$63=0,0,(D38+E38)/'MODELO PARA BI'!$E$63)</f>
        <v>0.032252078209505</v>
      </c>
      <c r="G38" s="117" t="n">
        <f aca="false">G37+F38</f>
        <v>0.751375711509251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5085866.01069983</v>
      </c>
      <c r="L38" s="65" t="n">
        <f aca="false">'MODELO PARA BI'!AP66</f>
        <v>115499820.605182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3677.38472055926</v>
      </c>
      <c r="F39" s="117" t="n">
        <f aca="false">IF('MODELO PARA BI'!$E$63=0,0,(D39+E39)/'MODELO PARA BI'!$E$63)</f>
        <v>0.0303102145283569</v>
      </c>
      <c r="G39" s="117" t="n">
        <f aca="false">G38+F39</f>
        <v>0.781685926037608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4779651.37146913</v>
      </c>
      <c r="L39" s="65" t="n">
        <f aca="false">'MODELO PARA BI'!AQ66</f>
        <v>120279471.976651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3133.83403683982</v>
      </c>
      <c r="F40" s="117" t="n">
        <f aca="false">IF('MODELO PARA BI'!$E$63=0,0,(D40+E40)/'MODELO PARA BI'!$E$63)</f>
        <v>0.0258300909942422</v>
      </c>
      <c r="G40" s="117" t="n">
        <f aca="false">G39+F40</f>
        <v>0.80751601703185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4073175.71871027</v>
      </c>
      <c r="L40" s="65" t="n">
        <f aca="false">'MODELO PARA BI'!AR66</f>
        <v>124352647.695362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3392.08744508668</v>
      </c>
      <c r="F41" s="117" t="n">
        <f aca="false">IF('MODELO PARA BI'!$E$63=0,0,(D41+E41)/'MODELO PARA BI'!$E$63)</f>
        <v>0.0279587005364745</v>
      </c>
      <c r="G41" s="117" t="n">
        <f aca="false">G40+F41</f>
        <v>0.835474717568325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4408838.52005185</v>
      </c>
      <c r="L41" s="65" t="n">
        <f aca="false">'MODELO PARA BI'!AS66</f>
        <v>128761486.215413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3019.33083797817</v>
      </c>
      <c r="F42" s="117" t="n">
        <f aca="false">IF('MODELO PARA BI'!$E$63=0,0,(D42+E42)/'MODELO PARA BI'!$E$63)</f>
        <v>0.0248863179638393</v>
      </c>
      <c r="G42" s="117" t="n">
        <f aca="false">G41+F42</f>
        <v>0.860361035532164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3924351.10201542</v>
      </c>
      <c r="L42" s="65" t="n">
        <f aca="false">'MODELO PARA BI'!AT66</f>
        <v>132685837.317429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3159.0770551269</v>
      </c>
      <c r="F43" s="117" t="n">
        <f aca="false">IF('MODELO PARA BI'!$E$63=0,0,(D43+E43)/'MODELO PARA BI'!$E$63)</f>
        <v>0.0260381522545577</v>
      </c>
      <c r="G43" s="117" t="n">
        <f aca="false">G42+F43</f>
        <v>0.886399187786722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4105985.12978475</v>
      </c>
      <c r="L43" s="65" t="n">
        <f aca="false">'MODELO PARA BI'!AU66</f>
        <v>136791822.447214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1650.35936176189</v>
      </c>
      <c r="F44" s="117" t="n">
        <f aca="false">IF('MODELO PARA BI'!$E$63=0,0,(D44+E44)/'MODELO PARA BI'!$E$63)</f>
        <v>0.0136028047389824</v>
      </c>
      <c r="G44" s="117" t="n">
        <f aca="false">G43+F44</f>
        <v>0.900001992525704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2145041.37757512</v>
      </c>
      <c r="L44" s="65" t="n">
        <f aca="false">'MODELO PARA BI'!AV66</f>
        <v>138936863.824789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1220.51769044176</v>
      </c>
      <c r="F45" s="117" t="n">
        <f aca="false">IF('MODELO PARA BI'!$E$63=0,0,(D45+E45)/'MODELO PARA BI'!$E$63)</f>
        <v>0.0100599082892035</v>
      </c>
      <c r="G45" s="117" t="n">
        <f aca="false">G44+F45</f>
        <v>0.910061900814908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1586358.10401015</v>
      </c>
      <c r="L45" s="65" t="n">
        <f aca="false">'MODELO PARA BI'!AW66</f>
        <v>140523221.928799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906.108864426352</v>
      </c>
      <c r="F46" s="117" t="n">
        <f aca="false">IF('MODELO PARA BI'!$E$63=0,0,(D46+E46)/'MODELO PARA BI'!$E$63)</f>
        <v>0.00746844732161496</v>
      </c>
      <c r="G46" s="117" t="n">
        <f aca="false">G45+F46</f>
        <v>0.917530348136523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1177707.74766724</v>
      </c>
      <c r="L46" s="65" t="n">
        <f aca="false">'MODELO PARA BI'!AX66</f>
        <v>141700929.676466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917.635918184809</v>
      </c>
      <c r="F47" s="117" t="n">
        <f aca="false">IF('MODELO PARA BI'!$E$63=0,0,(D47+E47)/'MODELO PARA BI'!$E$63)</f>
        <v>0.00756345709047199</v>
      </c>
      <c r="G47" s="117" t="n">
        <f aca="false">G46+F47</f>
        <v>0.925093805226995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1192689.94357336</v>
      </c>
      <c r="L47" s="65" t="n">
        <f aca="false">'MODELO PARA BI'!AY66</f>
        <v>142893619.62004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733.268251012732</v>
      </c>
      <c r="F48" s="117" t="n">
        <f aca="false">IF('MODELO PARA BI'!$E$63=0,0,(D48+E48)/'MODELO PARA BI'!$E$63)</f>
        <v>0.00604383813060737</v>
      </c>
      <c r="G48" s="117" t="n">
        <f aca="false">G47+F48</f>
        <v>0.931137643357602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953059.543107791</v>
      </c>
      <c r="L48" s="65" t="n">
        <f aca="false">'MODELO PARA BI'!AZ66</f>
        <v>143846679.163147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510.780021015517</v>
      </c>
      <c r="F49" s="117" t="n">
        <f aca="false">IF('MODELO PARA BI'!$E$63=0,0,(D49+E49)/'MODELO PARA BI'!$E$63)</f>
        <v>0.00421001695232597</v>
      </c>
      <c r="G49" s="117" t="n">
        <f aca="false">G48+F49</f>
        <v>0.935347660309928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663882.246074751</v>
      </c>
      <c r="L49" s="65" t="n">
        <f aca="false">'MODELO PARA BI'!BA66</f>
        <v>144510561.409222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424.326747851157</v>
      </c>
      <c r="F50" s="117" t="n">
        <f aca="false">IF('MODELO PARA BI'!$E$63=0,0,(D50+E50)/'MODELO PARA BI'!$E$63)</f>
        <v>0.00349744063643485</v>
      </c>
      <c r="G50" s="117" t="n">
        <f aca="false">G49+F50</f>
        <v>0.938845100946363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551515.295905559</v>
      </c>
      <c r="L50" s="65" t="n">
        <f aca="false">'MODELO PARA BI'!BB66</f>
        <v>145062076.705128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4233.6350176207</v>
      </c>
      <c r="F51" s="117" t="n">
        <f aca="false">IF('MODELO PARA BI'!$E$63=0,0,(D51+E51)/'MODELO PARA BI'!$E$63)</f>
        <v>0.0348950124531251</v>
      </c>
      <c r="G51" s="117" t="n">
        <f aca="false">G50+F51</f>
        <v>0.973740113399488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5502633.24507236</v>
      </c>
      <c r="L51" s="65" t="n">
        <f aca="false">'MODELO PARA BI'!BC66</f>
        <v>150564709.9502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272.710797442337</v>
      </c>
      <c r="F52" s="117" t="n">
        <f aca="false">IF('MODELO PARA BI'!$E$63=0,0,(D52+E52)/'MODELO PARA BI'!$E$63)</f>
        <v>0.00224777209968377</v>
      </c>
      <c r="G52" s="117" t="n">
        <f aca="false">G51+F52</f>
        <v>0.975987885499172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354453.677289298</v>
      </c>
      <c r="L52" s="65" t="n">
        <f aca="false">'MODELO PARA BI'!BD66</f>
        <v>150919163.627489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99.9951058260124</v>
      </c>
      <c r="F53" s="117" t="n">
        <f aca="false">IF('MODELO PARA BI'!$E$63=0,0,(D53+E53)/'MODELO PARA BI'!$E$63)</f>
        <v>0.000824192555222029</v>
      </c>
      <c r="G53" s="117" t="n">
        <f aca="false">G52+F53</f>
        <v>0.976812078054394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129967.838836513</v>
      </c>
      <c r="L53" s="65" t="n">
        <f aca="false">'MODELO PARA BI'!BE66</f>
        <v>151049131.466326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11.1881819267801</v>
      </c>
      <c r="F54" s="117" t="n">
        <f aca="false">IF('MODELO PARA BI'!$E$63=0,0,(D54+E54)/'MODELO PARA BI'!$E$63)</f>
        <v>9.22166757497752E-005</v>
      </c>
      <c r="G54" s="117" t="n">
        <f aca="false">G53+F54</f>
        <v>0.976904294730143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14541.7499538771</v>
      </c>
      <c r="L54" s="65" t="n">
        <f aca="false">'MODELO PARA BI'!BF66</f>
        <v>151063673.21628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704.67171608812</v>
      </c>
      <c r="F55" s="117" t="n">
        <f aca="false">IF('MODELO PARA BI'!$E$63=0,0,(D55+E55)/'MODELO PARA BI'!$E$63)</f>
        <v>0.00580813608303894</v>
      </c>
      <c r="G55" s="117" t="n">
        <f aca="false">G54+F55</f>
        <v>0.982712430813182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915891.425611806</v>
      </c>
      <c r="L55" s="65" t="n">
        <f aca="false">'MODELO PARA BI'!BG66</f>
        <v>151979564.641891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0.982712430813182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151979564.641891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0.982712430813182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151979564.641891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0.511640002400477</v>
      </c>
      <c r="F58" s="117" t="n">
        <f aca="false">IF('MODELO PARA BI'!$E$63=0,0,(D58+E58)/'MODELO PARA BI'!$E$63)</f>
        <v>4.21710520178836E-006</v>
      </c>
      <c r="G58" s="117" t="n">
        <f aca="false">G57+F58</f>
        <v>0.982716647918384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665</v>
      </c>
      <c r="L58" s="65" t="n">
        <f aca="false">'MODELO PARA BI'!BJ66</f>
        <v>151980229.641891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0.982716647918384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151980229.641891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0.982716647918384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151980229.641891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0.982716647918384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151980229.641891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0.982716647918384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151980229.641891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0.982716647918384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151980229.641891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0.982716647918384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151980229.641891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0.982716647918384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151980229.641891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0.982716647918384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151980229.641891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0.982716647918384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151980229.641891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0.982716647918384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151980229.641891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0.982716647918384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151980229.641891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2096.90151831553</v>
      </c>
      <c r="F70" s="117" t="n">
        <f aca="false">IF('MODELO PARA BI'!$E$63=0,0,(D70+E70)/'MODELO PARA BI'!$E$63)</f>
        <v>0.017283352081616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2725430.97321846</v>
      </c>
      <c r="L70" s="65" t="n">
        <f aca="false">'MODELO PARA BI'!BV66</f>
        <v>154705660.61511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154705660.61511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154705660.61511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154705660.61511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154705660.61511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154705660.61511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2" t="n">
        <v>46266</v>
      </c>
      <c r="B387" s="43" t="n">
        <v>1299.742</v>
      </c>
      <c r="C387" s="123" t="n">
        <f aca="false">IF(OR(B387="",B386=""),"",B387/B386-1)</f>
        <v>0.00219987986635717</v>
      </c>
      <c r="D387" s="123" t="n">
        <f aca="false">IF(B387="","",IFERROR(B387/INDEX($B$2:$B$800,MATCH(DATE(YEAR(A387)-1,12,1),$A$2:$A$800,0))-1,""))</f>
        <v>0.0582830752645622</v>
      </c>
      <c r="E387" s="123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28.3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"&amp;TEXT('RETRATO 2027'!$K$5,"dd/mm/yyyy")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0.000769383462256356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47270</v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20736.2</v>
      </c>
      <c r="AA8" s="50" t="n">
        <f aca="false">SUMIF($CB$4:$JS$4,AA$4,$CB8:$JS8)</f>
        <v>14874.73</v>
      </c>
      <c r="AB8" s="50" t="n">
        <f aca="false">SUMIF($CB$4:$JS$4,AB$4,$CB8:$JS8)</f>
        <v>7909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924298.64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20736.2</v>
      </c>
      <c r="DZ8" s="134" t="n">
        <f aca="false">IF(OR(DZ$4="",$B8=""),0,SUMIF('DADOS BRUTOS'!$A$3:$A$500,$B8,'DADOS BRUTOS'!AZ$3:AZ$500)+IF($C8="",0,SUMIF('DADOS BRUTOS'!$A$3:$A$500,$C8,'DADOS BRUTOS'!AZ$3:AZ$500)))</f>
        <v>14874.73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0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22183.31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316717.15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22183.31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34948.51</v>
      </c>
      <c r="Z11" s="50" t="n">
        <f aca="false">SUMIF($CB$4:$JS$4,Z$4,$CB11:$JS11)</f>
        <v>17759.95</v>
      </c>
      <c r="AA11" s="50" t="n">
        <f aca="false">SUMIF($CB$4:$JS$4,AA$4,$CB11:$JS11)</f>
        <v>8409.91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242762.33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34948.51</v>
      </c>
      <c r="DY11" s="134" t="n">
        <f aca="false">IF(OR(DY$4="",$B11=""),0,SUMIF('DADOS BRUTOS'!$A$3:$A$500,$B11,'DADOS BRUTOS'!AY$3:AY$500)+IF($C11="",0,SUMIF('DADOS BRUTOS'!$A$3:$A$500,$C11,'DADOS BRUTOS'!AY$3:AY$500)))</f>
        <v>17759.95</v>
      </c>
      <c r="DZ11" s="134" t="n">
        <f aca="false">IF(OR(DZ$4="",$B11=""),0,SUMIF('DADOS BRUTOS'!$A$3:$A$500,$B11,'DADOS BRUTOS'!AZ$3:AZ$500)+IF($C11="",0,SUMIF('DADOS BRUTOS'!$A$3:$A$500,$C11,'DADOS BRUTOS'!AZ$3:AZ$500)))</f>
        <v>8409.91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48526.18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252230.9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48526.18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448965.97</v>
      </c>
      <c r="Z14" s="50" t="n">
        <f aca="false">SUMIF($CB$4:$JS$4,Z$4,$CB14:$JS14)</f>
        <v>290769.21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7553326.8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448965.97</v>
      </c>
      <c r="DY14" s="134" t="n">
        <f aca="false">IF(OR(DY$4="",$B14=""),0,SUMIF('DADOS BRUTOS'!$A$3:$A$500,$B14,'DADOS BRUTOS'!AY$3:AY$500)+IF($C14="",0,SUMIF('DADOS BRUTOS'!$A$3:$A$500,$C14,'DADOS BRUTOS'!AY$3:AY$500)))</f>
        <v>290769.21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137710.06</v>
      </c>
      <c r="AA15" s="50" t="n">
        <f aca="false">SUMIF($CB$4:$JS$4,AA$4,$CB15:$JS15)</f>
        <v>24257.24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3394.21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3424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0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665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2189970.7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137710.06</v>
      </c>
      <c r="DZ15" s="134" t="n">
        <f aca="false">IF(OR(DZ$4="",$B15=""),0,SUMIF('DADOS BRUTOS'!$A$3:$A$500,$B15,'DADOS BRUTOS'!AZ$3:AZ$500)+IF($C15="",0,SUMIF('DADOS BRUTOS'!$A$3:$A$500,$C15,'DADOS BRUTOS'!AZ$3:AZ$500)))</f>
        <v>24257.24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3394.21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3424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0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665</v>
      </c>
      <c r="ER15" s="134" t="n">
        <f aca="false">IF(OR(ER$4="",$B15=""),0,SUMIF('DADOS BRUTOS'!$A$3:$A$500,$B15,'DADOS BRUTOS'!BR$3:BR$500)+IF($C15="",0,SUMIF('DADOS BRUTOS'!$A$3:$A$500,$C15,'DADOS BRUTOS'!BR$3:BR$500)))</f>
        <v>0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2610.9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560150.21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2610.9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249325.49</v>
      </c>
      <c r="AA21" s="50" t="n">
        <f aca="false">SUMIF($CB$4:$JS$4,AA$4,$CB21:$JS21)</f>
        <v>252299.71</v>
      </c>
      <c r="AB21" s="50" t="n">
        <f aca="false">SUMIF($CB$4:$JS$4,AB$4,$CB21:$JS21)</f>
        <v>10018.51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14635005.3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249325.49</v>
      </c>
      <c r="DZ21" s="134" t="n">
        <f aca="false">IF(OR(DZ$4="",$B21=""),0,SUMIF('DADOS BRUTOS'!$A$3:$A$500,$B21,'DADOS BRUTOS'!AZ$3:AZ$500)+IF($C21="",0,SUMIF('DADOS BRUTOS'!$A$3:$A$500,$C21,'DADOS BRUTOS'!AZ$3:AZ$500)))</f>
        <v>252299.71</v>
      </c>
      <c r="EA21" s="134" t="n">
        <f aca="false">IF(OR(EA$4="",$B21=""),0,SUMIF('DADOS BRUTOS'!$A$3:$A$500,$B21,'DADOS BRUTOS'!BA$3:BA$500)+IF($C21="",0,SUMIF('DADOS BRUTOS'!$A$3:$A$500,$C21,'DADOS BRUTOS'!BA$3:BA$500)))</f>
        <v>10018.51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213283.42</v>
      </c>
      <c r="AA22" s="50" t="n">
        <f aca="false">SUMIF($CB$4:$JS$4,AA$4,$CB22:$JS22)</f>
        <v>118159.85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8884.21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3454.74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1579839.05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213283.42</v>
      </c>
      <c r="DZ22" s="134" t="n">
        <f aca="false">IF(OR(DZ$4="",$B22=""),0,SUMIF('DADOS BRUTOS'!$A$3:$A$500,$B22,'DADOS BRUTOS'!AZ$3:AZ$500)+IF($C22="",0,SUMIF('DADOS BRUTOS'!$A$3:$A$500,$C22,'DADOS BRUTOS'!AZ$3:AZ$500)))</f>
        <v>118159.85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8884.21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3454.74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94067.38</v>
      </c>
      <c r="AA23" s="50" t="n">
        <f aca="false">SUMIF($CB$4:$JS$4,AA$4,$CB23:$JS23)</f>
        <v>95000.51</v>
      </c>
      <c r="AB23" s="50" t="n">
        <f aca="false">SUMIF($CB$4:$JS$4,AB$4,$CB23:$JS23)</f>
        <v>5635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2295.26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302869.77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94067.38</v>
      </c>
      <c r="DZ23" s="134" t="n">
        <f aca="false">IF(OR(DZ$4="",$B23=""),0,SUMIF('DADOS BRUTOS'!$A$3:$A$500,$B23,'DADOS BRUTOS'!AZ$3:AZ$500)+IF($C23="",0,SUMIF('DADOS BRUTOS'!$A$3:$A$500,$C23,'DADOS BRUTOS'!AZ$3:AZ$500)))</f>
        <v>95000.51</v>
      </c>
      <c r="EA23" s="134" t="n">
        <f aca="false">IF(OR(EA$4="",$B23=""),0,SUMIF('DADOS BRUTOS'!$A$3:$A$500,$B23,'DADOS BRUTOS'!BA$3:BA$500)+IF($C23="",0,SUMIF('DADOS BRUTOS'!$A$3:$A$500,$C23,'DADOS BRUTOS'!BA$3:BA$500)))</f>
        <v>5635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2295.26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0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159680.94</v>
      </c>
      <c r="AA24" s="50" t="n">
        <f aca="false">SUMIF($CB$4:$JS$4,AA$4,$CB24:$JS24)</f>
        <v>110190.41</v>
      </c>
      <c r="AB24" s="50" t="n">
        <f aca="false">SUMIF($CB$4:$JS$4,AB$4,$CB24:$JS24)</f>
        <v>77683.53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1288362.8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159680.94</v>
      </c>
      <c r="DZ24" s="134" t="n">
        <f aca="false">IF(OR(DZ$4="",$B24=""),0,SUMIF('DADOS BRUTOS'!$A$3:$A$500,$B24,'DADOS BRUTOS'!AZ$3:AZ$500)+IF($C24="",0,SUMIF('DADOS BRUTOS'!$A$3:$A$500,$C24,'DADOS BRUTOS'!AZ$3:AZ$500)))</f>
        <v>110190.41</v>
      </c>
      <c r="EA24" s="134" t="n">
        <f aca="false">IF(OR(EA$4="",$B24=""),0,SUMIF('DADOS BRUTOS'!$A$3:$A$500,$B24,'DADOS BRUTOS'!BA$3:BA$500)+IF($C24="",0,SUMIF('DADOS BRUTOS'!$A$3:$A$500,$C24,'DADOS BRUTOS'!BA$3:BA$500)))</f>
        <v>77683.53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113582.25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12077.66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549811.33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113582.25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12077.66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0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0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101360.82</v>
      </c>
      <c r="AA36" s="50" t="n">
        <f aca="false">SUMIF($CB$4:$JS$4,AA$4,$CB36:$JS36)</f>
        <v>12026.31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408160.86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101360.82</v>
      </c>
      <c r="DZ36" s="134" t="n">
        <f aca="false">IF(OR(DZ$4="",$B36=""),0,SUMIF('DADOS BRUTOS'!$A$3:$A$500,$B36,'DADOS BRUTOS'!AZ$3:AZ$500)+IF($C36="",0,SUMIF('DADOS BRUTOS'!$A$3:$A$500,$C36,'DADOS BRUTOS'!AZ$3:AZ$500)))</f>
        <v>12026.31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3286897.58</v>
      </c>
      <c r="Z44" s="135" t="n">
        <f aca="false">SUM(Z5:Z42)</f>
        <v>1801072.31</v>
      </c>
      <c r="AA44" s="135" t="n">
        <f aca="false">SUM(AA5:AA42)</f>
        <v>780215.79</v>
      </c>
      <c r="AB44" s="135" t="n">
        <f aca="false">SUM(AB5:AB42)</f>
        <v>219025.76</v>
      </c>
      <c r="AC44" s="135" t="n">
        <f aca="false">SUM(AC5:AC42)</f>
        <v>23072.24</v>
      </c>
      <c r="AD44" s="135" t="n">
        <f aca="false">SUM(AD5:AD42)</f>
        <v>47575.4</v>
      </c>
      <c r="AE44" s="135" t="n">
        <f aca="false">SUM(AE5:AE42)</f>
        <v>73332.86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11759.51</v>
      </c>
      <c r="AN44" s="135" t="n">
        <f aca="false">SUM(AN5:AN42)</f>
        <v>46621.04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3454.74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0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665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48248565.87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3286897.58</v>
      </c>
      <c r="DY44" s="134" t="n">
        <f aca="false">SUM(DY5:DY42)</f>
        <v>1801072.31</v>
      </c>
      <c r="DZ44" s="134" t="n">
        <f aca="false">SUM(DZ5:DZ42)</f>
        <v>780215.79</v>
      </c>
      <c r="EA44" s="134" t="n">
        <f aca="false">SUM(EA5:EA42)</f>
        <v>219025.76</v>
      </c>
      <c r="EB44" s="134" t="n">
        <f aca="false">SUM(EB5:EB42)</f>
        <v>23072.24</v>
      </c>
      <c r="EC44" s="134" t="n">
        <f aca="false">SUM(EC5:EC42)</f>
        <v>47575.4</v>
      </c>
      <c r="ED44" s="134" t="n">
        <f aca="false">SUM(ED5:ED42)</f>
        <v>73332.86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11759.51</v>
      </c>
      <c r="EK44" s="134" t="n">
        <f aca="false">SUM(EK5:EK42)</f>
        <v>46621.04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3454.74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665</v>
      </c>
      <c r="ER44" s="134" t="n">
        <f aca="false">SUM(ER5:ER42)</f>
        <v>0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45185382.71</v>
      </c>
      <c r="Z45" s="116" t="n">
        <f aca="false">Y45+Z44</f>
        <v>46986455.02</v>
      </c>
      <c r="AA45" s="116" t="n">
        <f aca="false">Z45+AA44</f>
        <v>47766670.81</v>
      </c>
      <c r="AB45" s="116" t="n">
        <f aca="false">AA45+AB44</f>
        <v>47985696.57</v>
      </c>
      <c r="AC45" s="116" t="n">
        <f aca="false">AB45+AC44</f>
        <v>48008768.81</v>
      </c>
      <c r="AD45" s="116" t="n">
        <f aca="false">AC45+AD44</f>
        <v>48056344.21</v>
      </c>
      <c r="AE45" s="116" t="n">
        <f aca="false">AD45+AE44</f>
        <v>48129677.07</v>
      </c>
      <c r="AF45" s="116" t="n">
        <f aca="false">AE45+AF44</f>
        <v>48138360.04</v>
      </c>
      <c r="AG45" s="116" t="n">
        <f aca="false">AF45+AG44</f>
        <v>48138853.54</v>
      </c>
      <c r="AH45" s="116" t="n">
        <f aca="false">AG45+AH44</f>
        <v>48138853.54</v>
      </c>
      <c r="AI45" s="116" t="n">
        <f aca="false">AH45+AI44</f>
        <v>48142457.96</v>
      </c>
      <c r="AJ45" s="116" t="n">
        <f aca="false">AI45+AJ44</f>
        <v>48142457.96</v>
      </c>
      <c r="AK45" s="116" t="n">
        <f aca="false">AJ45+AK44</f>
        <v>48152541.71</v>
      </c>
      <c r="AL45" s="116" t="n">
        <f aca="false">AK45+AL44</f>
        <v>48160373.02</v>
      </c>
      <c r="AM45" s="116" t="n">
        <f aca="false">AL45+AM44</f>
        <v>48172132.53</v>
      </c>
      <c r="AN45" s="116" t="n">
        <f aca="false">AM45+AN44</f>
        <v>48218753.57</v>
      </c>
      <c r="AO45" s="116" t="n">
        <f aca="false">AN45+AO44</f>
        <v>48234596.88</v>
      </c>
      <c r="AP45" s="116" t="n">
        <f aca="false">AO45+AP44</f>
        <v>48234596.88</v>
      </c>
      <c r="AQ45" s="116" t="n">
        <f aca="false">AP45+AQ44</f>
        <v>48234596.88</v>
      </c>
      <c r="AR45" s="116" t="n">
        <f aca="false">AQ45+AR44</f>
        <v>48234596.88</v>
      </c>
      <c r="AS45" s="116" t="n">
        <f aca="false">AR45+AS44</f>
        <v>48242258.62</v>
      </c>
      <c r="AT45" s="116" t="n">
        <f aca="false">AS45+AT44</f>
        <v>48245713.36</v>
      </c>
      <c r="AU45" s="116" t="n">
        <f aca="false">AT45+AU44</f>
        <v>48247392.04</v>
      </c>
      <c r="AV45" s="116" t="n">
        <f aca="false">AU45+AV44</f>
        <v>48247900.87</v>
      </c>
      <c r="AW45" s="116" t="n">
        <f aca="false">AV45+AW44</f>
        <v>48247900.87</v>
      </c>
      <c r="AX45" s="116" t="n">
        <f aca="false">AW45+AX44</f>
        <v>48247900.87</v>
      </c>
      <c r="AY45" s="116" t="n">
        <f aca="false">AX45+AY44</f>
        <v>48247900.87</v>
      </c>
      <c r="AZ45" s="116" t="n">
        <f aca="false">AY45+AZ44</f>
        <v>48247900.87</v>
      </c>
      <c r="BA45" s="116" t="n">
        <f aca="false">AZ45+BA44</f>
        <v>48247900.87</v>
      </c>
      <c r="BB45" s="116" t="n">
        <f aca="false">BA45+BB44</f>
        <v>48247900.87</v>
      </c>
      <c r="BC45" s="116" t="n">
        <f aca="false">BB45+BC44</f>
        <v>48247900.87</v>
      </c>
      <c r="BD45" s="116" t="n">
        <f aca="false">BC45+BD44</f>
        <v>48247900.87</v>
      </c>
      <c r="BE45" s="116" t="n">
        <f aca="false">BD45+BE44</f>
        <v>48247900.87</v>
      </c>
      <c r="BF45" s="116" t="n">
        <f aca="false">BE45+BF44</f>
        <v>48248565.87</v>
      </c>
      <c r="BG45" s="116" t="n">
        <f aca="false">BF45+BG44</f>
        <v>48248565.87</v>
      </c>
      <c r="BH45" s="116" t="n">
        <f aca="false">BG45+BH44</f>
        <v>48248565.87</v>
      </c>
      <c r="BI45" s="116" t="n">
        <f aca="false">BH45+BI44</f>
        <v>48248565.87</v>
      </c>
      <c r="BJ45" s="116" t="n">
        <f aca="false">BI45+BJ44</f>
        <v>48248565.87</v>
      </c>
      <c r="BK45" s="116" t="n">
        <f aca="false">BJ45+BK44</f>
        <v>48248565.87</v>
      </c>
      <c r="BL45" s="116" t="n">
        <f aca="false">BK45+BL44</f>
        <v>48248565.87</v>
      </c>
      <c r="BM45" s="116" t="n">
        <f aca="false">BL45+BM44</f>
        <v>48248565.87</v>
      </c>
      <c r="BN45" s="116" t="n">
        <f aca="false">BM45+BN44</f>
        <v>48248565.87</v>
      </c>
      <c r="BO45" s="116" t="n">
        <f aca="false">BN45+BO44</f>
        <v>48248565.87</v>
      </c>
      <c r="BP45" s="116" t="n">
        <f aca="false">BO45+BP44</f>
        <v>48248565.87</v>
      </c>
      <c r="BQ45" s="116" t="n">
        <f aca="false">BP45+BQ44</f>
        <v>48248565.87</v>
      </c>
      <c r="BR45" s="116" t="n">
        <f aca="false">BQ45+BR44</f>
        <v>48248565.87</v>
      </c>
      <c r="BS45" s="116" t="n">
        <f aca="false">BR45+BS44</f>
        <v>48248565.87</v>
      </c>
      <c r="BT45" s="116" t="n">
        <f aca="false">BS45+BT44</f>
        <v>48248565.87</v>
      </c>
      <c r="BU45" s="116" t="n">
        <f aca="false">BT45+BU44</f>
        <v>48248565.87</v>
      </c>
      <c r="BV45" s="116" t="n">
        <f aca="false">BU45+BV44</f>
        <v>48248565.87</v>
      </c>
      <c r="BW45" s="116" t="n">
        <f aca="false">BV45+BW44</f>
        <v>48248565.87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Q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3286897.6</v>
      </c>
      <c r="AY3" s="137" t="n">
        <v>1801072.33</v>
      </c>
      <c r="AZ3" s="137" t="n">
        <v>780215.79</v>
      </c>
      <c r="BA3" s="137" t="n">
        <v>219025.76</v>
      </c>
      <c r="BB3" s="137" t="n">
        <v>23072.24</v>
      </c>
      <c r="BC3" s="137" t="n">
        <v>47575.4</v>
      </c>
      <c r="BD3" s="137" t="n">
        <v>73332.86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11759.51</v>
      </c>
      <c r="BK3" s="137" t="n">
        <v>46621.04</v>
      </c>
      <c r="BL3" s="137" t="n">
        <v>15843.31</v>
      </c>
      <c r="BM3" s="137" t="n">
        <v>7661.74</v>
      </c>
      <c r="BN3" s="137" t="n">
        <v>3454.74</v>
      </c>
      <c r="BO3" s="137" t="n">
        <v>1678.68</v>
      </c>
      <c r="BP3" s="137" t="n">
        <v>508.83</v>
      </c>
      <c r="BQ3" s="4" t="n">
        <v>665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3286897.6</v>
      </c>
      <c r="AY4" s="137" t="n">
        <v>1801072.33</v>
      </c>
      <c r="AZ4" s="137" t="n">
        <v>780215.79</v>
      </c>
      <c r="BA4" s="137" t="n">
        <v>219025.76</v>
      </c>
      <c r="BB4" s="137" t="n">
        <v>23072.24</v>
      </c>
      <c r="BC4" s="137" t="n">
        <v>47575.4</v>
      </c>
      <c r="BD4" s="137" t="n">
        <v>73332.86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11759.51</v>
      </c>
      <c r="BK4" s="137" t="n">
        <v>46621.04</v>
      </c>
      <c r="BL4" s="137" t="n">
        <v>15843.31</v>
      </c>
      <c r="BM4" s="137" t="n">
        <v>7661.74</v>
      </c>
      <c r="BN4" s="137" t="n">
        <v>3454.74</v>
      </c>
      <c r="BO4" s="137" t="n">
        <v>1678.68</v>
      </c>
      <c r="BP4" s="137" t="n">
        <v>508.83</v>
      </c>
      <c r="BQ4" s="4" t="n">
        <v>665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213283.42</v>
      </c>
      <c r="AZ5" s="137" t="n">
        <v>118159.85</v>
      </c>
      <c r="BA5" s="137" t="n">
        <v>14953.37</v>
      </c>
      <c r="BB5" s="137" t="n">
        <v>15288.79</v>
      </c>
      <c r="BC5" s="137" t="n">
        <v>3099.19</v>
      </c>
      <c r="BD5" s="137" t="n">
        <v>8884.21</v>
      </c>
      <c r="BK5" s="137" t="n">
        <v>1500.53</v>
      </c>
      <c r="BN5" s="137" t="n">
        <v>3454.74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20736.2</v>
      </c>
      <c r="AZ6" s="137" t="n">
        <v>14874.73</v>
      </c>
      <c r="BA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22183.31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34948.51</v>
      </c>
      <c r="AY11" s="137" t="n">
        <v>17759.95</v>
      </c>
      <c r="AZ11" s="137" t="n">
        <v>8409.91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137710.06</v>
      </c>
      <c r="AZ13" s="137" t="n">
        <v>24257.24</v>
      </c>
      <c r="BB13" s="137" t="n">
        <v>2678.29</v>
      </c>
      <c r="BD13" s="137" t="n">
        <v>3394.21</v>
      </c>
      <c r="BI13" s="137" t="n">
        <v>1502.1</v>
      </c>
      <c r="BK13" s="137" t="n">
        <v>3424</v>
      </c>
      <c r="BM13" s="137" t="n">
        <v>7661.74</v>
      </c>
      <c r="BQ13" s="4" t="n">
        <v>665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94067.38</v>
      </c>
      <c r="AZ18" s="137" t="n">
        <v>95000.51</v>
      </c>
      <c r="BA18" s="4" t="n">
        <v>5635</v>
      </c>
      <c r="BD18" s="137" t="n">
        <v>2295.26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159680.94</v>
      </c>
      <c r="AZ20" s="137" t="n">
        <v>110190.41</v>
      </c>
      <c r="BA20" s="137" t="n">
        <v>77683.53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448965.97</v>
      </c>
      <c r="AY26" s="137" t="n">
        <v>290769.21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101360.82</v>
      </c>
      <c r="AZ32" s="137" t="n">
        <v>12026.31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199</v>
      </c>
    </row>
    <row r="35" customFormat="false" ht="15" hidden="false" customHeight="false" outlineLevel="0" collapsed="false">
      <c r="A35" s="4" t="s">
        <v>3233</v>
      </c>
      <c r="AR35" s="137" t="n">
        <v>7919.3</v>
      </c>
      <c r="AS35" s="137" t="n">
        <v>70931.89</v>
      </c>
      <c r="AT35" s="137" t="n">
        <v>32198.53</v>
      </c>
      <c r="AU35" s="137" t="n">
        <v>66047.95</v>
      </c>
      <c r="AV35" s="137" t="n">
        <v>37501.8</v>
      </c>
      <c r="AW35" s="137" t="n">
        <v>63429.66</v>
      </c>
      <c r="AX35" s="137" t="n">
        <v>131447.21</v>
      </c>
      <c r="AY35" s="137" t="n">
        <v>113582.25</v>
      </c>
      <c r="AZ35" s="137" t="n">
        <v>2170.68</v>
      </c>
      <c r="BD35" s="137" t="n">
        <v>12077.66</v>
      </c>
      <c r="BK35" s="137" t="n">
        <v>12504.4</v>
      </c>
    </row>
    <row r="36" customFormat="false" ht="15" hidden="false" customHeight="false" outlineLevel="0" collapsed="false">
      <c r="A36" s="4" t="s">
        <v>64</v>
      </c>
      <c r="Z36" s="137" t="n">
        <v>26212.54</v>
      </c>
      <c r="AA36" s="4" t="n">
        <v>21466</v>
      </c>
      <c r="AB36" s="4" t="n">
        <v>21250</v>
      </c>
      <c r="AC36" s="137" t="n">
        <v>21250.06</v>
      </c>
      <c r="AD36" s="137" t="n">
        <v>2021.46</v>
      </c>
    </row>
    <row r="37" customFormat="false" ht="15" hidden="false" customHeight="false" outlineLevel="0" collapsed="false">
      <c r="A37" s="4" t="s">
        <v>193</v>
      </c>
      <c r="AW37" s="4" t="n">
        <v>5500</v>
      </c>
      <c r="AY37" s="4" t="n">
        <v>350</v>
      </c>
    </row>
    <row r="38" customFormat="false" ht="15" hidden="false" customHeight="false" outlineLevel="0" collapsed="false">
      <c r="A38" s="4" t="s">
        <v>81</v>
      </c>
      <c r="W38" s="137" t="n">
        <v>187202.85</v>
      </c>
      <c r="X38" s="137" t="n">
        <v>233759.9</v>
      </c>
      <c r="Y38" s="4" t="n">
        <v>11100</v>
      </c>
      <c r="Z38" s="137" t="n">
        <v>22548.94</v>
      </c>
      <c r="AA38" s="137" t="n">
        <v>29528.41</v>
      </c>
      <c r="AB38" s="137" t="n">
        <v>2899.75</v>
      </c>
      <c r="AC38" s="4" t="n">
        <v>1500</v>
      </c>
      <c r="AD38" s="4" t="n">
        <v>1500</v>
      </c>
      <c r="AE38" s="4" t="n">
        <v>1500</v>
      </c>
      <c r="AF38" s="137" t="n">
        <v>3228.72</v>
      </c>
      <c r="AG38" s="137" t="n">
        <v>71.28</v>
      </c>
      <c r="AH38" s="137" t="n">
        <v>1537.2</v>
      </c>
      <c r="AI38" s="137" t="n">
        <v>142.8</v>
      </c>
      <c r="AJ38" s="4" t="n">
        <v>1500</v>
      </c>
      <c r="AK38" s="4" t="n">
        <v>1800</v>
      </c>
      <c r="AL38" s="4" t="n">
        <v>1800</v>
      </c>
      <c r="AM38" s="4" t="n">
        <v>1800</v>
      </c>
      <c r="AN38" s="4" t="n">
        <v>1800</v>
      </c>
      <c r="AO38" s="4" t="n">
        <v>1800</v>
      </c>
      <c r="AP38" s="4" t="n">
        <v>1800</v>
      </c>
      <c r="AQ38" s="4" t="n">
        <v>1800</v>
      </c>
      <c r="AR38" s="137" t="n">
        <v>1828.88</v>
      </c>
      <c r="AS38" s="137" t="n">
        <v>4626.42</v>
      </c>
      <c r="AT38" s="137" t="n">
        <v>1800.6</v>
      </c>
      <c r="AU38" s="4" t="n">
        <v>1800</v>
      </c>
      <c r="AV38" s="4" t="n">
        <v>1800</v>
      </c>
      <c r="AW38" s="137" t="n">
        <v>10535.3</v>
      </c>
      <c r="AX38" s="137" t="n">
        <v>2610.9</v>
      </c>
      <c r="AY38" s="137" t="n">
        <v>211.56</v>
      </c>
      <c r="BD38" s="137" t="n">
        <v>23648.9</v>
      </c>
      <c r="BI38" s="137" t="n">
        <v>667.8</v>
      </c>
    </row>
    <row r="39" customFormat="false" ht="15" hidden="false" customHeight="false" outlineLevel="0" collapsed="false">
      <c r="A39" s="4" t="s">
        <v>3232</v>
      </c>
      <c r="AE39" s="4" t="n">
        <v>240</v>
      </c>
      <c r="AV39" s="137" t="n">
        <v>181.28</v>
      </c>
      <c r="AW39" s="137" t="n">
        <v>3.72</v>
      </c>
    </row>
    <row r="40" customFormat="false" ht="15" hidden="false" customHeight="false" outlineLevel="0" collapsed="false">
      <c r="A40" s="4" t="s">
        <v>80</v>
      </c>
      <c r="R40" s="137" t="n">
        <v>15675.91</v>
      </c>
      <c r="W40" s="4" t="n">
        <v>200</v>
      </c>
      <c r="Y40" s="137" t="n">
        <v>148152.31</v>
      </c>
      <c r="Z40" s="137" t="n">
        <v>49222.74</v>
      </c>
      <c r="AA40" s="137" t="n">
        <v>60024.17</v>
      </c>
      <c r="AB40" s="137" t="n">
        <v>141140.78</v>
      </c>
      <c r="AC40" s="137" t="n">
        <v>122941.01</v>
      </c>
      <c r="AD40" s="137" t="n">
        <v>50814.11</v>
      </c>
      <c r="AE40" s="137" t="n">
        <v>154496.68</v>
      </c>
      <c r="AF40" s="137" t="n">
        <v>65454.02</v>
      </c>
      <c r="AG40" s="137" t="n">
        <v>131068.65</v>
      </c>
      <c r="AH40" s="137" t="n">
        <v>142141.79</v>
      </c>
      <c r="AI40" s="137" t="n">
        <v>204940.64</v>
      </c>
      <c r="AJ40" s="137" t="n">
        <v>212314.07</v>
      </c>
      <c r="AK40" s="137" t="n">
        <v>153383.08</v>
      </c>
      <c r="AL40" s="137" t="n">
        <v>162552.13</v>
      </c>
      <c r="AM40" s="137" t="n">
        <v>148137.86</v>
      </c>
      <c r="AN40" s="137" t="n">
        <v>112482.74</v>
      </c>
    </row>
    <row r="41" customFormat="false" ht="15" hidden="false" customHeight="false" outlineLevel="0" collapsed="false">
      <c r="A41" s="4" t="s">
        <v>66</v>
      </c>
      <c r="Y41" s="137" t="n">
        <v>262.55</v>
      </c>
      <c r="AA41" s="137" t="n">
        <v>99.64</v>
      </c>
      <c r="AB41" s="137" t="n">
        <v>99.64</v>
      </c>
      <c r="AF41" s="137" t="n">
        <v>385.66</v>
      </c>
      <c r="AL41" s="137" t="n">
        <v>82.97</v>
      </c>
      <c r="AO41" s="137" t="n">
        <v>33097.94</v>
      </c>
      <c r="AS41" s="137" t="n">
        <v>11895.81</v>
      </c>
      <c r="AV41" s="4" t="n">
        <v>3420</v>
      </c>
    </row>
    <row r="42" customFormat="false" ht="15" hidden="false" customHeight="false" outlineLevel="0" collapsed="false">
      <c r="A42" s="4" t="s">
        <v>71</v>
      </c>
      <c r="Y42" s="4" t="n">
        <v>40000</v>
      </c>
      <c r="Z42" s="137" t="n">
        <v>209029.66</v>
      </c>
      <c r="AA42" s="137" t="n">
        <v>725343</v>
      </c>
      <c r="AB42" s="137" t="n">
        <v>429843.8</v>
      </c>
      <c r="AC42" s="137" t="n">
        <v>153567.17</v>
      </c>
      <c r="AD42" s="137" t="n">
        <v>994.24</v>
      </c>
      <c r="AE42" s="4" t="n">
        <v>31243</v>
      </c>
      <c r="AF42" s="137" t="n">
        <v>359463.36</v>
      </c>
      <c r="AG42" s="137" t="n">
        <v>26381.68</v>
      </c>
      <c r="AH42" s="137" t="n">
        <v>159.06</v>
      </c>
      <c r="AI42" s="137" t="n">
        <v>321918.24</v>
      </c>
      <c r="AJ42" s="137" t="n">
        <v>1407.48</v>
      </c>
      <c r="AK42" s="137" t="n">
        <v>4172.54</v>
      </c>
      <c r="AL42" s="137" t="n">
        <v>5301.04</v>
      </c>
      <c r="AM42" s="137" t="n">
        <v>3180.63</v>
      </c>
      <c r="AO42" s="137" t="n">
        <v>16033.8</v>
      </c>
      <c r="AP42" s="137" t="n">
        <v>11145.58</v>
      </c>
      <c r="AS42" s="137" t="n">
        <v>10506.16</v>
      </c>
      <c r="AT42" s="137" t="n">
        <v>660.39</v>
      </c>
      <c r="AU42" s="137" t="n">
        <v>17495.34</v>
      </c>
      <c r="AY42" s="137" t="n">
        <v>3634.1</v>
      </c>
    </row>
    <row r="43" customFormat="false" ht="15" hidden="false" customHeight="false" outlineLevel="0" collapsed="false">
      <c r="A43" s="4" t="s">
        <v>79</v>
      </c>
      <c r="X43" s="137" t="n">
        <v>4414.36</v>
      </c>
      <c r="Y43" s="137" t="n">
        <v>113.29</v>
      </c>
      <c r="Z43" s="137" t="n">
        <v>4127.79</v>
      </c>
      <c r="AA43" s="137" t="n">
        <v>3835.68</v>
      </c>
      <c r="AB43" s="137" t="n">
        <v>1896.38</v>
      </c>
      <c r="AC43" s="137" t="n">
        <v>3748.86</v>
      </c>
      <c r="AD43" s="137" t="n">
        <v>1699.79</v>
      </c>
      <c r="AE43" s="137" t="n">
        <v>9326.22</v>
      </c>
      <c r="AF43" s="137" t="n">
        <v>9590.33</v>
      </c>
      <c r="AG43" s="137" t="n">
        <v>2875.79</v>
      </c>
      <c r="AH43" s="137" t="n">
        <v>440.45</v>
      </c>
      <c r="AI43" s="137" t="n">
        <v>7744.89</v>
      </c>
      <c r="AJ43" s="137" t="n">
        <v>311.47</v>
      </c>
      <c r="AK43" s="137" t="n">
        <v>1588.37</v>
      </c>
      <c r="AL43" s="137" t="n">
        <v>928.81</v>
      </c>
      <c r="AM43" s="137" t="n">
        <v>2489.76</v>
      </c>
      <c r="AN43" s="137" t="n">
        <v>17920.4</v>
      </c>
      <c r="AO43" s="137" t="n">
        <v>25229.86</v>
      </c>
      <c r="AP43" s="137" t="n">
        <v>10777.67</v>
      </c>
      <c r="AQ43" s="137" t="n">
        <v>15656.96</v>
      </c>
      <c r="AR43" s="137" t="n">
        <v>10975.7</v>
      </c>
      <c r="AS43" s="137" t="n">
        <v>352.24</v>
      </c>
      <c r="AT43" s="137" t="n">
        <v>9.28</v>
      </c>
      <c r="AU43" s="137" t="n">
        <v>5812.22</v>
      </c>
      <c r="AV43" s="137" t="n">
        <v>41922.95</v>
      </c>
      <c r="AW43" s="137" t="n">
        <v>19111.03</v>
      </c>
      <c r="AX43" s="137" t="n">
        <v>804.17</v>
      </c>
      <c r="AY43" s="137" t="n">
        <v>48526.18</v>
      </c>
    </row>
    <row r="44" customFormat="false" ht="15" hidden="false" customHeight="false" outlineLevel="0" collapsed="false">
      <c r="A44" s="4" t="s">
        <v>76</v>
      </c>
      <c r="AH44" s="137" t="n">
        <v>80860.36</v>
      </c>
      <c r="AI44" s="137" t="n">
        <v>164376.56</v>
      </c>
      <c r="AJ44" s="137" t="n">
        <v>391619.4</v>
      </c>
      <c r="AK44" s="137" t="n">
        <v>641133.73</v>
      </c>
      <c r="AL44" s="137" t="n">
        <v>652820.04</v>
      </c>
      <c r="AM44" s="137" t="n">
        <v>484126.67</v>
      </c>
      <c r="AN44" s="137" t="n">
        <v>856446.95</v>
      </c>
      <c r="AO44" s="137" t="n">
        <v>726584.17</v>
      </c>
      <c r="AP44" s="137" t="n">
        <v>1564076.7</v>
      </c>
      <c r="AQ44" s="137" t="n">
        <v>937286.72</v>
      </c>
      <c r="AR44" s="137" t="n">
        <v>1000442.67</v>
      </c>
      <c r="AS44" s="137" t="n">
        <v>744805.48</v>
      </c>
      <c r="AT44" s="137" t="n">
        <v>785035.8</v>
      </c>
      <c r="AU44" s="137" t="n">
        <v>801412.33</v>
      </c>
      <c r="AV44" s="137" t="n">
        <v>1780716.73</v>
      </c>
      <c r="AW44" s="137" t="n">
        <v>1146140.23</v>
      </c>
      <c r="AX44" s="137" t="n">
        <v>1281328.3</v>
      </c>
      <c r="AY44" s="137" t="n">
        <v>249325.49</v>
      </c>
      <c r="AZ44" s="137" t="n">
        <v>252299.71</v>
      </c>
      <c r="BA44" s="137" t="n">
        <v>10018.51</v>
      </c>
      <c r="BC44" s="137" t="n">
        <v>35714.66</v>
      </c>
      <c r="BD44" s="137" t="n">
        <v>728.46</v>
      </c>
      <c r="BE44" s="137" t="n">
        <v>7700.17</v>
      </c>
      <c r="BH44" s="137" t="n">
        <v>6971.85</v>
      </c>
      <c r="BI44" s="137" t="n">
        <v>5200.5</v>
      </c>
      <c r="BK44" s="137" t="n">
        <v>11989.8</v>
      </c>
      <c r="BL44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0.57865509505825</v>
      </c>
      <c r="G5" s="117" t="n">
        <f aca="false">F5</f>
        <v>0.57865509505825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1.39196486222109E-005</v>
      </c>
      <c r="G6" s="117" t="n">
        <f aca="false">G5+F6</f>
        <v>0.578669014706873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0.0114152660747319</v>
      </c>
      <c r="G7" s="117" t="n">
        <f aca="false">G6+F7</f>
        <v>0.590084280781605</v>
      </c>
      <c r="H7" s="139"/>
      <c r="I7" s="42" t="s">
        <v>3278</v>
      </c>
      <c r="J7" s="45" t="n">
        <f aca="false">C78+D78</f>
        <v>2561816.65025222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0.590084280781605</v>
      </c>
      <c r="H8" s="139"/>
      <c r="I8" s="42" t="s">
        <v>3279</v>
      </c>
      <c r="K8" s="66" t="n">
        <f aca="false">SUM(L5:L76)</f>
        <v>1950.76882632034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0.0306341866026819</v>
      </c>
      <c r="G9" s="117" t="n">
        <f aca="false">G8+F9</f>
        <v>0.620718467384286</v>
      </c>
      <c r="H9" s="139"/>
      <c r="I9" s="42" t="s">
        <v>3280</v>
      </c>
      <c r="J9" s="45" t="n">
        <f aca="false">C78+D78</f>
        <v>2561816.65025222</v>
      </c>
      <c r="K9" s="45" t="n">
        <f aca="false">E78</f>
        <v>2272.38037711443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0.038003620893145</v>
      </c>
      <c r="G10" s="117" t="n">
        <f aca="false">G9+F10</f>
        <v>0.658722088277431</v>
      </c>
      <c r="H10" s="139"/>
      <c r="I10" s="42" t="s">
        <v>3281</v>
      </c>
      <c r="K10" s="52" t="n">
        <f aca="false">IF(K6-K8&gt;0,(K6-K8)*'VALOR POR PL'!$G$65,K6-K8)</f>
        <v>321.611550794094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0.0274001410415308</v>
      </c>
      <c r="G11" s="117" t="n">
        <f aca="false">G10+F11</f>
        <v>0.686122229318962</v>
      </c>
      <c r="H11" s="139"/>
      <c r="I11" s="42" t="s">
        <v>3282</v>
      </c>
      <c r="K11" s="56" t="n">
        <f aca="false">SUMPRODUCT((B5:B76&gt;'VALOR POR PL'!$P$5)*H5:H76)</f>
        <v>42800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0.0195773250984598</v>
      </c>
      <c r="G12" s="117" t="n">
        <f aca="false">G11+F12</f>
        <v>0.705699554417422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0.00871310252200475</v>
      </c>
      <c r="G13" s="117" t="n">
        <f aca="false">G12+F13</f>
        <v>0.714412656939427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0.0127373355000095</v>
      </c>
      <c r="G14" s="117" t="n">
        <f aca="false">G13+F14</f>
        <v>0.727149992439436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0.0266355381548506</v>
      </c>
      <c r="G15" s="117" t="n">
        <f aca="false">G14+F15</f>
        <v>0.753785530594287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0.0197100368729297</v>
      </c>
      <c r="G16" s="117" t="n">
        <f aca="false">G15+F16</f>
        <v>0.773495567467216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0.029986603112278</v>
      </c>
      <c r="G17" s="117" t="n">
        <f aca="false">G16+F17</f>
        <v>0.803482170579494</v>
      </c>
      <c r="H17" s="139"/>
      <c r="I17" s="42" t="s">
        <v>3289</v>
      </c>
      <c r="K17" s="45" t="n">
        <f aca="false">SUM(P5:P76)</f>
        <v>42800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0.0461892691669695</v>
      </c>
      <c r="G18" s="117" t="n">
        <f aca="false">G17+F18</f>
        <v>0.849671439746464</v>
      </c>
      <c r="H18" s="139"/>
      <c r="I18" s="42" t="s">
        <v>3290</v>
      </c>
      <c r="K18" s="45" t="n">
        <f aca="false">MAX(0,K10)*$K$2</f>
        <v>418012.040252218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0.00270084054188574</v>
      </c>
      <c r="G19" s="117" t="n">
        <f aca="false">G18+F19</f>
        <v>0.85237228028835</v>
      </c>
      <c r="H19" s="139"/>
      <c r="I19" s="42" t="s">
        <v>3291</v>
      </c>
      <c r="K19" s="143" t="n">
        <f aca="false">IF(AND(K16="PREVISÃO INFORMADA",K11&gt;0),K18/K11-1,"")</f>
        <v>8.76663645449107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0.000561824586990264</v>
      </c>
      <c r="G20" s="117" t="n">
        <f aca="false">G19+F20</f>
        <v>0.85293410487534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0.00035139638686823</v>
      </c>
      <c r="G21" s="117" t="n">
        <f aca="false">G20+F21</f>
        <v>0.853285501262208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2.75012760021748E-005</v>
      </c>
      <c r="G22" s="117" t="n">
        <f aca="false">G21+F22</f>
        <v>0.85331300253821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0.00216595390731186</v>
      </c>
      <c r="G23" s="117" t="n">
        <f aca="false">G22+F23</f>
        <v>0.855478956445522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0.000671868442018104</v>
      </c>
      <c r="G24" s="117" t="n">
        <f aca="false">G23+F24</f>
        <v>0.85615082488754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0.000357903295315954</v>
      </c>
      <c r="G25" s="117" t="n">
        <f aca="false">G24+F25</f>
        <v>0.856508728182856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0</v>
      </c>
      <c r="E26" s="45" t="n">
        <f aca="false">L26+D26/$K$2</f>
        <v>4.45519957037628</v>
      </c>
      <c r="F26" s="117" t="n">
        <f aca="false">IF($K$9=0,0,E26/$K$9)</f>
        <v>0.00196058706334794</v>
      </c>
      <c r="G26" s="117" t="n">
        <f aca="false">G25+F26</f>
        <v>0.858469315246204</v>
      </c>
      <c r="H26" s="139" t="n">
        <v>2675</v>
      </c>
      <c r="L26" s="45" t="n">
        <f aca="false">C26/IF(B26&lt;='VALOR POR PL'!$P$5,IFERROR(INDEX('"INCC-FGV"'!$B$2:$B$800,MATCH(B26,'"INCC-FGV"'!$A$2:$A$800,0)),$K$2),$K$2)</f>
        <v>4.45519957037628</v>
      </c>
      <c r="M26" s="140" t="n">
        <f aca="false">'CP RESUMO'!Y5</f>
        <v>0</v>
      </c>
      <c r="N26" s="141" t="n">
        <f aca="false">MAX(0,M26-M25)</f>
        <v>0</v>
      </c>
      <c r="O26" s="140" t="n">
        <f aca="false">IF(B26&lt;='VALOR POR PL'!$P$5,'CP RESUMO'!Y47,"")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26125.7525157636</v>
      </c>
      <c r="E27" s="45" t="n">
        <f aca="false">L27+D27/$K$2</f>
        <v>20.1007219246309</v>
      </c>
      <c r="F27" s="117" t="n">
        <f aca="false">IF($K$9=0,0,E27/$K$9)</f>
        <v>0.00884566779711224</v>
      </c>
      <c r="G27" s="117" t="n">
        <f aca="false">G26+F27</f>
        <v>0.867314983043316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26125.7525157636</v>
      </c>
      <c r="E28" s="45" t="n">
        <f aca="false">L28+D28/$K$2</f>
        <v>20.1007219246309</v>
      </c>
      <c r="F28" s="117" t="n">
        <f aca="false">IF($K$9=0,0,E28/$K$9)</f>
        <v>0.00884566779711224</v>
      </c>
      <c r="G28" s="117" t="n">
        <f aca="false">G27+F28</f>
        <v>0.876160650840429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26125.7525157636</v>
      </c>
      <c r="E29" s="45" t="n">
        <f aca="false">L29+D29/$K$2</f>
        <v>20.1007219246309</v>
      </c>
      <c r="F29" s="117" t="n">
        <f aca="false">IF($K$9=0,0,E29/$K$9)</f>
        <v>0.00884566779711224</v>
      </c>
      <c r="G29" s="117" t="n">
        <f aca="false">G28+F29</f>
        <v>0.885006318637541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26125.7525157636</v>
      </c>
      <c r="E30" s="45" t="n">
        <f aca="false">L30+D30/$K$2</f>
        <v>20.1007219246309</v>
      </c>
      <c r="F30" s="117" t="n">
        <f aca="false">IF($K$9=0,0,E30/$K$9)</f>
        <v>0.00884566779711224</v>
      </c>
      <c r="G30" s="117" t="n">
        <f aca="false">G29+F30</f>
        <v>0.893851986434653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26125.7525157636</v>
      </c>
      <c r="E31" s="45" t="n">
        <f aca="false">L31+D31/$K$2</f>
        <v>20.1007219246309</v>
      </c>
      <c r="F31" s="117" t="n">
        <f aca="false">IF($K$9=0,0,E31/$K$9)</f>
        <v>0.00884566779711224</v>
      </c>
      <c r="G31" s="117" t="n">
        <f aca="false">G30+F31</f>
        <v>0.902697654231765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26125.7525157636</v>
      </c>
      <c r="E32" s="45" t="n">
        <f aca="false">L32+D32/$K$2</f>
        <v>20.1007219246309</v>
      </c>
      <c r="F32" s="117" t="n">
        <f aca="false">IF($K$9=0,0,E32/$K$9)</f>
        <v>0.00884566779711224</v>
      </c>
      <c r="G32" s="117" t="n">
        <f aca="false">G31+F32</f>
        <v>0.911543322028878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26125.7525157636</v>
      </c>
      <c r="E33" s="45" t="n">
        <f aca="false">L33+D33/$K$2</f>
        <v>20.1007219246309</v>
      </c>
      <c r="F33" s="117" t="n">
        <f aca="false">IF($K$9=0,0,E33/$K$9)</f>
        <v>0.00884566779711224</v>
      </c>
      <c r="G33" s="117" t="n">
        <f aca="false">G32+F33</f>
        <v>0.92038898982599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26125.7525157636</v>
      </c>
      <c r="E34" s="45" t="n">
        <f aca="false">L34+D34/$K$2</f>
        <v>20.1007219246309</v>
      </c>
      <c r="F34" s="117" t="n">
        <f aca="false">IF($K$9=0,0,E34/$K$9)</f>
        <v>0.00884566779711224</v>
      </c>
      <c r="G34" s="117" t="n">
        <f aca="false">G33+F34</f>
        <v>0.929234657623102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26125.7525157636</v>
      </c>
      <c r="E35" s="45" t="n">
        <f aca="false">L35+D35/$K$2</f>
        <v>20.1007219246309</v>
      </c>
      <c r="F35" s="117" t="n">
        <f aca="false">IF($K$9=0,0,E35/$K$9)</f>
        <v>0.00884566779711224</v>
      </c>
      <c r="G35" s="117" t="n">
        <f aca="false">G34+F35</f>
        <v>0.938080325420214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26125.7525157636</v>
      </c>
      <c r="E36" s="45" t="n">
        <f aca="false">L36+D36/$K$2</f>
        <v>20.1007219246309</v>
      </c>
      <c r="F36" s="117" t="n">
        <f aca="false">IF($K$9=0,0,E36/$K$9)</f>
        <v>0.00884566779711224</v>
      </c>
      <c r="G36" s="117" t="n">
        <f aca="false">G35+F36</f>
        <v>0.946925993217327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26125.7525157636</v>
      </c>
      <c r="E37" s="45" t="n">
        <f aca="false">L37+D37/$K$2</f>
        <v>20.1007219246309</v>
      </c>
      <c r="F37" s="117" t="n">
        <f aca="false">IF($K$9=0,0,E37/$K$9)</f>
        <v>0.00884566779711224</v>
      </c>
      <c r="G37" s="117" t="n">
        <f aca="false">G36+F37</f>
        <v>0.955771661014439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26125.7525157636</v>
      </c>
      <c r="E38" s="45" t="n">
        <f aca="false">L38+D38/$K$2</f>
        <v>20.1007219246309</v>
      </c>
      <c r="F38" s="117" t="n">
        <f aca="false">IF($K$9=0,0,E38/$K$9)</f>
        <v>0.00884566779711224</v>
      </c>
      <c r="G38" s="117" t="n">
        <f aca="false">G37+F38</f>
        <v>0.964617328811551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26125.7525157636</v>
      </c>
      <c r="E39" s="45" t="n">
        <f aca="false">L39+D39/$K$2</f>
        <v>20.1007219246309</v>
      </c>
      <c r="F39" s="117" t="n">
        <f aca="false">IF($K$9=0,0,E39/$K$9)</f>
        <v>0.00884566779711224</v>
      </c>
      <c r="G39" s="117" t="n">
        <f aca="false">G38+F39</f>
        <v>0.973462996608663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26125.7525157636</v>
      </c>
      <c r="E40" s="45" t="n">
        <f aca="false">L40+D40/$K$2</f>
        <v>20.1007219246309</v>
      </c>
      <c r="F40" s="117" t="n">
        <f aca="false">IF($K$9=0,0,E40/$K$9)</f>
        <v>0.00884566779711224</v>
      </c>
      <c r="G40" s="117" t="n">
        <f aca="false">G39+F40</f>
        <v>0.982308664405776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26125.7525157636</v>
      </c>
      <c r="E41" s="45" t="n">
        <f aca="false">L41+D41/$K$2</f>
        <v>20.1007219246309</v>
      </c>
      <c r="F41" s="117" t="n">
        <f aca="false">IF($K$9=0,0,E41/$K$9)</f>
        <v>0.00884566779711224</v>
      </c>
      <c r="G41" s="117" t="n">
        <f aca="false">G40+F41</f>
        <v>0.991154332202888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26125.7525157636</v>
      </c>
      <c r="E42" s="45" t="n">
        <f aca="false">L42+D42/$K$2</f>
        <v>20.1007219246309</v>
      </c>
      <c r="F42" s="117" t="n">
        <f aca="false">IF($K$9=0,0,E42/$K$9)</f>
        <v>0.00884566779711224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418012.040252218</v>
      </c>
      <c r="E78" s="61" t="n">
        <f aca="false">SUM(E5:E76)</f>
        <v>2272.38037711443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1950.76882632034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n">
        <f aca="false">IF(B26&lt;='VALOR POR PL'!$P$5,'CP RESUMO'!Y84,"")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0.818537916952829</v>
      </c>
      <c r="G5" s="117" t="n">
        <f aca="false">F5</f>
        <v>0.818537916952829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0.0180545527682545</v>
      </c>
      <c r="G6" s="117" t="n">
        <f aca="false">G5+F6</f>
        <v>0.836592469721083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0.836592469721083</v>
      </c>
      <c r="H7" s="139"/>
      <c r="I7" s="42" t="s">
        <v>3278</v>
      </c>
      <c r="J7" s="45" t="n">
        <f aca="false">C78+D78</f>
        <v>112540.017081642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0.836592469721083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0.836592469721083</v>
      </c>
      <c r="H9" s="139"/>
      <c r="I9" s="42" t="s">
        <v>3280</v>
      </c>
      <c r="J9" s="45" t="n">
        <f aca="false">C78+D78</f>
        <v>112540.017081642</v>
      </c>
      <c r="K9" s="45" t="n">
        <f aca="false">E78</f>
        <v>95.7680871555198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0.836592469721083</v>
      </c>
      <c r="H10" s="139"/>
      <c r="I10" s="42" t="s">
        <v>3281</v>
      </c>
      <c r="K10" s="52" t="n">
        <f aca="false">IF(K6-K8&gt;0,(K6-K8)*'VALOR POR PL'!$G$65,K6-K8)</f>
        <v>15.6492266016196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0.836592469721083</v>
      </c>
      <c r="H11" s="139"/>
      <c r="I11" s="42" t="s">
        <v>3282</v>
      </c>
      <c r="K11" s="56" t="n">
        <f aca="false">SUMPRODUCT((B5:B76&gt;'VALOR POR PL'!$P$5)*H5:H76)</f>
        <v>40778.37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0.836592469721083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0.836592469721083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0.836592469721083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0.836592469721083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0.836592469721083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0.836592469721083</v>
      </c>
      <c r="H17" s="139"/>
      <c r="I17" s="42" t="s">
        <v>3289</v>
      </c>
      <c r="K17" s="45" t="n">
        <f aca="false">SUM(P5:P76)</f>
        <v>40778.37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0.836592469721083</v>
      </c>
      <c r="H18" s="139"/>
      <c r="I18" s="42" t="s">
        <v>3290</v>
      </c>
      <c r="K18" s="45" t="n">
        <f aca="false">MAX(0,K10)*$K$2</f>
        <v>20339.9570816422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0.836592469721083</v>
      </c>
      <c r="H19" s="139"/>
      <c r="I19" s="42" t="s">
        <v>3291</v>
      </c>
      <c r="K19" s="143" t="n">
        <f aca="false">IF(AND(K16="PREVISÃO INFORMADA",K11&gt;0),K18/K11-1,"")</f>
        <v>-0.501207206623457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0.836592469721083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0.836592469721083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0.836592469721083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0.836592469721083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0.836592469721083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0.836592469721083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0.836592469721083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n">
        <f aca="false">IF(B26&lt;='VALOR POR PL'!$P$5,'CP RESUMO'!Y48,"")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753.331743764526</v>
      </c>
      <c r="E27" s="45" t="n">
        <f aca="false">L27+D27/$K$2</f>
        <v>0.579600985245169</v>
      </c>
      <c r="F27" s="117" t="n">
        <f aca="false">IF($K$9=0,0,E27/$K$9)</f>
        <v>0.006052130751071</v>
      </c>
      <c r="G27" s="117" t="n">
        <f aca="false">G26+F27</f>
        <v>0.842644600472154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753.331743764526</v>
      </c>
      <c r="E28" s="45" t="n">
        <f aca="false">L28+D28/$K$2</f>
        <v>0.579600985245169</v>
      </c>
      <c r="F28" s="117" t="n">
        <f aca="false">IF($K$9=0,0,E28/$K$9)</f>
        <v>0.006052130751071</v>
      </c>
      <c r="G28" s="117" t="n">
        <f aca="false">G27+F28</f>
        <v>0.848696731223225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753.331743764526</v>
      </c>
      <c r="E29" s="45" t="n">
        <f aca="false">L29+D29/$K$2</f>
        <v>0.579600985245169</v>
      </c>
      <c r="F29" s="117" t="n">
        <f aca="false">IF($K$9=0,0,E29/$K$9)</f>
        <v>0.006052130751071</v>
      </c>
      <c r="G29" s="117" t="n">
        <f aca="false">G28+F29</f>
        <v>0.854748861974296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753.331743764526</v>
      </c>
      <c r="E30" s="45" t="n">
        <f aca="false">L30+D30/$K$2</f>
        <v>0.579600985245169</v>
      </c>
      <c r="F30" s="117" t="n">
        <f aca="false">IF($K$9=0,0,E30/$K$9)</f>
        <v>0.006052130751071</v>
      </c>
      <c r="G30" s="117" t="n">
        <f aca="false">G29+F30</f>
        <v>0.860800992725367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753.331743764526</v>
      </c>
      <c r="E31" s="45" t="n">
        <f aca="false">L31+D31/$K$2</f>
        <v>0.579600985245169</v>
      </c>
      <c r="F31" s="117" t="n">
        <f aca="false">IF($K$9=0,0,E31/$K$9)</f>
        <v>0.006052130751071</v>
      </c>
      <c r="G31" s="117" t="n">
        <f aca="false">G30+F31</f>
        <v>0.866853123476438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753.331743764526</v>
      </c>
      <c r="E32" s="45" t="n">
        <f aca="false">L32+D32/$K$2</f>
        <v>0.579600985245169</v>
      </c>
      <c r="F32" s="117" t="n">
        <f aca="false">IF($K$9=0,0,E32/$K$9)</f>
        <v>0.006052130751071</v>
      </c>
      <c r="G32" s="117" t="n">
        <f aca="false">G31+F32</f>
        <v>0.872905254227509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753.331743764526</v>
      </c>
      <c r="E33" s="45" t="n">
        <f aca="false">L33+D33/$K$2</f>
        <v>0.579600985245169</v>
      </c>
      <c r="F33" s="117" t="n">
        <f aca="false">IF($K$9=0,0,E33/$K$9)</f>
        <v>0.006052130751071</v>
      </c>
      <c r="G33" s="117" t="n">
        <f aca="false">G32+F33</f>
        <v>0.87895738497858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753.331743764526</v>
      </c>
      <c r="E34" s="45" t="n">
        <f aca="false">L34+D34/$K$2</f>
        <v>0.579600985245169</v>
      </c>
      <c r="F34" s="117" t="n">
        <f aca="false">IF($K$9=0,0,E34/$K$9)</f>
        <v>0.006052130751071</v>
      </c>
      <c r="G34" s="117" t="n">
        <f aca="false">G33+F34</f>
        <v>0.885009515729652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753.331743764526</v>
      </c>
      <c r="E35" s="45" t="n">
        <f aca="false">L35+D35/$K$2</f>
        <v>0.579600985245169</v>
      </c>
      <c r="F35" s="117" t="n">
        <f aca="false">IF($K$9=0,0,E35/$K$9)</f>
        <v>0.006052130751071</v>
      </c>
      <c r="G35" s="117" t="n">
        <f aca="false">G34+F35</f>
        <v>0.891061646480723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753.331743764526</v>
      </c>
      <c r="E36" s="45" t="n">
        <f aca="false">L36+D36/$K$2</f>
        <v>0.579600985245169</v>
      </c>
      <c r="F36" s="117" t="n">
        <f aca="false">IF($K$9=0,0,E36/$K$9)</f>
        <v>0.006052130751071</v>
      </c>
      <c r="G36" s="117" t="n">
        <f aca="false">G35+F36</f>
        <v>0.897113777231794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753.331743764526</v>
      </c>
      <c r="E37" s="45" t="n">
        <f aca="false">L37+D37/$K$2</f>
        <v>0.579600985245169</v>
      </c>
      <c r="F37" s="117" t="n">
        <f aca="false">IF($K$9=0,0,E37/$K$9)</f>
        <v>0.006052130751071</v>
      </c>
      <c r="G37" s="117" t="n">
        <f aca="false">G36+F37</f>
        <v>0.903165907982865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753.331743764526</v>
      </c>
      <c r="E38" s="45" t="n">
        <f aca="false">L38+D38/$K$2</f>
        <v>0.579600985245169</v>
      </c>
      <c r="F38" s="117" t="n">
        <f aca="false">IF($K$9=0,0,E38/$K$9)</f>
        <v>0.006052130751071</v>
      </c>
      <c r="G38" s="117" t="n">
        <f aca="false">G37+F38</f>
        <v>0.909218038733936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753.331743764526</v>
      </c>
      <c r="E39" s="45" t="n">
        <f aca="false">L39+D39/$K$2</f>
        <v>0.579600985245169</v>
      </c>
      <c r="F39" s="117" t="n">
        <f aca="false">IF($K$9=0,0,E39/$K$9)</f>
        <v>0.006052130751071</v>
      </c>
      <c r="G39" s="117" t="n">
        <f aca="false">G38+F39</f>
        <v>0.915270169485007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753.331743764526</v>
      </c>
      <c r="E40" s="45" t="n">
        <f aca="false">L40+D40/$K$2</f>
        <v>0.579600985245169</v>
      </c>
      <c r="F40" s="117" t="n">
        <f aca="false">IF($K$9=0,0,E40/$K$9)</f>
        <v>0.006052130751071</v>
      </c>
      <c r="G40" s="117" t="n">
        <f aca="false">G39+F40</f>
        <v>0.921322300236078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753.331743764526</v>
      </c>
      <c r="E41" s="45" t="n">
        <f aca="false">L41+D41/$K$2</f>
        <v>0.579600985245169</v>
      </c>
      <c r="F41" s="117" t="n">
        <f aca="false">IF($K$9=0,0,E41/$K$9)</f>
        <v>0.006052130751071</v>
      </c>
      <c r="G41" s="117" t="n">
        <f aca="false">G40+F41</f>
        <v>0.927374430987149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753.331743764526</v>
      </c>
      <c r="E42" s="45" t="n">
        <f aca="false">L42+D42/$K$2</f>
        <v>0.579600985245169</v>
      </c>
      <c r="F42" s="117" t="n">
        <f aca="false">IF($K$9=0,0,E42/$K$9)</f>
        <v>0.006052130751071</v>
      </c>
      <c r="G42" s="117" t="n">
        <f aca="false">G41+F42</f>
        <v>0.93342656173822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753.331743764526</v>
      </c>
      <c r="E43" s="45" t="n">
        <f aca="false">L43+D43/$K$2</f>
        <v>0.579600985245169</v>
      </c>
      <c r="F43" s="117" t="n">
        <f aca="false">IF($K$9=0,0,E43/$K$9)</f>
        <v>0.006052130751071</v>
      </c>
      <c r="G43" s="117" t="n">
        <f aca="false">G42+F43</f>
        <v>0.939478692489291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753.331743764526</v>
      </c>
      <c r="E44" s="45" t="n">
        <f aca="false">L44+D44/$K$2</f>
        <v>0.579600985245169</v>
      </c>
      <c r="F44" s="117" t="n">
        <f aca="false">IF($K$9=0,0,E44/$K$9)</f>
        <v>0.006052130751071</v>
      </c>
      <c r="G44" s="117" t="n">
        <f aca="false">G43+F44</f>
        <v>0.945530823240362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753.331743764526</v>
      </c>
      <c r="E45" s="45" t="n">
        <f aca="false">L45+D45/$K$2</f>
        <v>0.579600985245169</v>
      </c>
      <c r="F45" s="117" t="n">
        <f aca="false">IF($K$9=0,0,E45/$K$9)</f>
        <v>0.006052130751071</v>
      </c>
      <c r="G45" s="117" t="n">
        <f aca="false">G44+F45</f>
        <v>0.951582953991433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753.331743764526</v>
      </c>
      <c r="E46" s="45" t="n">
        <f aca="false">L46+D46/$K$2</f>
        <v>0.579600985245169</v>
      </c>
      <c r="F46" s="117" t="n">
        <f aca="false">IF($K$9=0,0,E46/$K$9)</f>
        <v>0.006052130751071</v>
      </c>
      <c r="G46" s="117" t="n">
        <f aca="false">G45+F46</f>
        <v>0.957635084742504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753.331743764526</v>
      </c>
      <c r="E47" s="45" t="n">
        <f aca="false">L47+D47/$K$2</f>
        <v>0.579600985245169</v>
      </c>
      <c r="F47" s="117" t="n">
        <f aca="false">IF($K$9=0,0,E47/$K$9)</f>
        <v>0.006052130751071</v>
      </c>
      <c r="G47" s="117" t="n">
        <f aca="false">G46+F47</f>
        <v>0.963687215493575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753.331743764526</v>
      </c>
      <c r="E48" s="45" t="n">
        <f aca="false">L48+D48/$K$2</f>
        <v>0.579600985245169</v>
      </c>
      <c r="F48" s="117" t="n">
        <f aca="false">IF($K$9=0,0,E48/$K$9)</f>
        <v>0.006052130751071</v>
      </c>
      <c r="G48" s="117" t="n">
        <f aca="false">G47+F48</f>
        <v>0.969739346244646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753.331743764526</v>
      </c>
      <c r="E49" s="45" t="n">
        <f aca="false">L49+D49/$K$2</f>
        <v>0.579600985245169</v>
      </c>
      <c r="F49" s="117" t="n">
        <f aca="false">IF($K$9=0,0,E49/$K$9)</f>
        <v>0.006052130751071</v>
      </c>
      <c r="G49" s="117" t="n">
        <f aca="false">G48+F49</f>
        <v>0.975791476995717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753.331743764526</v>
      </c>
      <c r="E50" s="45" t="n">
        <f aca="false">L50+D50/$K$2</f>
        <v>0.579600985245169</v>
      </c>
      <c r="F50" s="117" t="n">
        <f aca="false">IF($K$9=0,0,E50/$K$9)</f>
        <v>0.006052130751071</v>
      </c>
      <c r="G50" s="117" t="n">
        <f aca="false">G49+F50</f>
        <v>0.981843607746788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753.331743764526</v>
      </c>
      <c r="E51" s="45" t="n">
        <f aca="false">L51+D51/$K$2</f>
        <v>0.579600985245169</v>
      </c>
      <c r="F51" s="117" t="n">
        <f aca="false">IF($K$9=0,0,E51/$K$9)</f>
        <v>0.006052130751071</v>
      </c>
      <c r="G51" s="117" t="n">
        <f aca="false">G50+F51</f>
        <v>0.987895738497859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753.331743764526</v>
      </c>
      <c r="E52" s="45" t="n">
        <f aca="false">L52+D52/$K$2</f>
        <v>0.579600985245169</v>
      </c>
      <c r="F52" s="117" t="n">
        <f aca="false">IF($K$9=0,0,E52/$K$9)</f>
        <v>0.006052130751071</v>
      </c>
      <c r="G52" s="117" t="n">
        <f aca="false">G51+F52</f>
        <v>0.99394786924893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753.331743764526</v>
      </c>
      <c r="E53" s="45" t="n">
        <f aca="false">L53+D53/$K$2</f>
        <v>0.579600985245169</v>
      </c>
      <c r="F53" s="117" t="n">
        <f aca="false">IF($K$9=0,0,E53/$K$9)</f>
        <v>0.006052130751071</v>
      </c>
      <c r="G53" s="117" t="n">
        <f aca="false">G52+F53</f>
        <v>1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20339.9570816422</v>
      </c>
      <c r="E78" s="61" t="n">
        <f aca="false">SUM(E5:E76)</f>
        <v>95.7680871555198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-7.105427357601E-015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0.00319433608756269</v>
      </c>
      <c r="G5" s="117" t="n">
        <f aca="false">F5</f>
        <v>0.00319433608756269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0.00319433608756269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0.00319433608756269</v>
      </c>
      <c r="H7" s="139"/>
      <c r="I7" s="42" t="s">
        <v>3278</v>
      </c>
      <c r="J7" s="45" t="n">
        <f aca="false">C78+D78</f>
        <v>162114.553790429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0.00258491631947259</v>
      </c>
      <c r="G8" s="117" t="n">
        <f aca="false">G7+F8</f>
        <v>0.00577925240703528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0.00577925240703528</v>
      </c>
      <c r="H9" s="139"/>
      <c r="I9" s="42" t="s">
        <v>3280</v>
      </c>
      <c r="J9" s="45" t="n">
        <f aca="false">C78+D78</f>
        <v>162114.553790429</v>
      </c>
      <c r="K9" s="45" t="n">
        <f aca="false">E78</f>
        <v>126.610736279864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0.00577925240703528</v>
      </c>
      <c r="H10" s="139"/>
      <c r="I10" s="42" t="s">
        <v>3281</v>
      </c>
      <c r="K10" s="52" t="n">
        <f aca="false">IF(K6-K8&gt;0,(K6-K8)*'VALOR POR PL'!$G$65,K6-K8)</f>
        <v>86.7636375453195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0.00577925240703528</v>
      </c>
      <c r="H11" s="139"/>
      <c r="I11" s="42" t="s">
        <v>3282</v>
      </c>
      <c r="K11" s="56" t="n">
        <f aca="false">SUMPRODUCT((B5:B76&gt;'VALOR POR PL'!$P$5)*H5:H76)</f>
        <v>111143.9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0.00577925240703528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0.00577925240703528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0.000537696235683905</v>
      </c>
      <c r="G14" s="117" t="n">
        <f aca="false">G13+F14</f>
        <v>0.00631694864271919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0.00631694864271919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0.00631694864271919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0.212850721994627</v>
      </c>
      <c r="G17" s="117" t="n">
        <f aca="false">G16+F17</f>
        <v>0.219167670637346</v>
      </c>
      <c r="H17" s="139"/>
      <c r="I17" s="42" t="s">
        <v>3289</v>
      </c>
      <c r="K17" s="45" t="n">
        <f aca="false">SUM(P5:P76)</f>
        <v>111143.9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0.219167670637346</v>
      </c>
      <c r="H18" s="139"/>
      <c r="I18" s="42" t="s">
        <v>3290</v>
      </c>
      <c r="K18" s="45" t="n">
        <f aca="false">MAX(0,K10)*$K$2</f>
        <v>112770.343790429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0.219167670637346</v>
      </c>
      <c r="H19" s="139"/>
      <c r="I19" s="42" t="s">
        <v>3291</v>
      </c>
      <c r="K19" s="143" t="n">
        <f aca="false">IF(AND(K16="PREVISÃO INFORMADA",K11&gt;0),K18/K11-1,"")</f>
        <v>0.0146336757161547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0.219167670637346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0.0745886770162095</v>
      </c>
      <c r="G21" s="117" t="n">
        <f aca="false">G20+F21</f>
        <v>0.293756347653556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0.293756347653556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0.293756347653556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0.0209649777675767</v>
      </c>
      <c r="G24" s="117" t="n">
        <f aca="false">G23+F24</f>
        <v>0.314721325421132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0.314721325421132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0.314721325421132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n">
        <f aca="false">IF(B26&lt;='VALOR POR PL'!$P$5,'CP RESUMO'!Y49,"")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0.314721325421132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0.314721325421132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940.565417388875</v>
      </c>
      <c r="E29" s="45" t="n">
        <f aca="false">L29+D29/$K$2</f>
        <v>0.723655477309247</v>
      </c>
      <c r="F29" s="117" t="n">
        <f aca="false">IF($K$9=0,0,E29/$K$9)</f>
        <v>0.00571559331042559</v>
      </c>
      <c r="G29" s="117" t="n">
        <f aca="false">G28+F29</f>
        <v>0.320436918731558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0.320436918731558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0.320436918731558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940.565417388875</v>
      </c>
      <c r="E32" s="45" t="n">
        <f aca="false">L32+D32/$K$2</f>
        <v>0.723655477309247</v>
      </c>
      <c r="F32" s="117" t="n">
        <f aca="false">IF($K$9=0,0,E32/$K$9)</f>
        <v>0.00571559331042559</v>
      </c>
      <c r="G32" s="117" t="n">
        <f aca="false">G31+F32</f>
        <v>0.326152512041984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0.326152512041984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0.326152512041984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940.565417388875</v>
      </c>
      <c r="E35" s="45" t="n">
        <f aca="false">L35+D35/$K$2</f>
        <v>0.723655477309247</v>
      </c>
      <c r="F35" s="117" t="n">
        <f aca="false">IF($K$9=0,0,E35/$K$9)</f>
        <v>0.00571559331042559</v>
      </c>
      <c r="G35" s="117" t="n">
        <f aca="false">G34+F35</f>
        <v>0.331868105352409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0.331868105352409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0.331868105352409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940.565417388875</v>
      </c>
      <c r="E38" s="45" t="n">
        <f aca="false">L38+D38/$K$2</f>
        <v>0.723655477309247</v>
      </c>
      <c r="F38" s="117" t="n">
        <f aca="false">IF($K$9=0,0,E38/$K$9)</f>
        <v>0.00571559331042559</v>
      </c>
      <c r="G38" s="117" t="n">
        <f aca="false">G37+F38</f>
        <v>0.337583698662835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0.337583698662835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0.337583698662835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109008.082120873</v>
      </c>
      <c r="E41" s="45" t="n">
        <f aca="false">L41+D41/$K$2</f>
        <v>83.8690156360826</v>
      </c>
      <c r="F41" s="117" t="n">
        <f aca="false">IF($K$9=0,0,E41/$K$9)</f>
        <v>0.662416301337165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112770.343790429</v>
      </c>
      <c r="E78" s="61" t="n">
        <f aca="false">SUM(E5:E76)</f>
        <v>126.610736279864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0.259257005150376</v>
      </c>
      <c r="G5" s="117" t="n">
        <f aca="false">F5</f>
        <v>0.259257005150376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0.0201271122429867</v>
      </c>
      <c r="G6" s="117" t="n">
        <f aca="false">G5+F6</f>
        <v>0.279384117393362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0.0142958040171736</v>
      </c>
      <c r="G7" s="117" t="n">
        <f aca="false">G6+F7</f>
        <v>0.293679921410536</v>
      </c>
      <c r="H7" s="139"/>
      <c r="I7" s="42" t="s">
        <v>3278</v>
      </c>
      <c r="J7" s="45" t="n">
        <f aca="false">C78+D78</f>
        <v>1190115.20654797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0.0262548314943212</v>
      </c>
      <c r="G8" s="117" t="n">
        <f aca="false">G7+F8</f>
        <v>0.319934752904857</v>
      </c>
      <c r="H8" s="139"/>
      <c r="I8" s="42" t="s">
        <v>3279</v>
      </c>
      <c r="K8" s="66" t="n">
        <f aca="false">SUM(L5:L76)</f>
        <v>764.785153583878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0.0184389666504155</v>
      </c>
      <c r="G9" s="117" t="n">
        <f aca="false">G8+F9</f>
        <v>0.338373719555273</v>
      </c>
      <c r="H9" s="139"/>
      <c r="I9" s="42" t="s">
        <v>3280</v>
      </c>
      <c r="J9" s="45" t="n">
        <f aca="false">C78+D78</f>
        <v>1190115.20654797</v>
      </c>
      <c r="K9" s="45" t="n">
        <f aca="false">E78</f>
        <v>969.300023879653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0.0307250737634817</v>
      </c>
      <c r="G10" s="117" t="n">
        <f aca="false">G9+F10</f>
        <v>0.369098793318754</v>
      </c>
      <c r="H10" s="139"/>
      <c r="I10" s="42" t="s">
        <v>3281</v>
      </c>
      <c r="K10" s="52" t="n">
        <f aca="false">IF(K6-K8&gt;0,(K6-K8)*'VALOR POR PL'!$G$65,K6-K8)</f>
        <v>204.514870295776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0.0246569209488697</v>
      </c>
      <c r="G11" s="117" t="n">
        <f aca="false">G10+F11</f>
        <v>0.393755714267624</v>
      </c>
      <c r="H11" s="139"/>
      <c r="I11" s="42" t="s">
        <v>3282</v>
      </c>
      <c r="K11" s="56" t="n">
        <f aca="false">SUMPRODUCT((B5:B76&gt;'VALOR POR PL'!$P$5)*H5:H76)</f>
        <v>359404.84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0.0391734809007978</v>
      </c>
      <c r="G12" s="117" t="n">
        <f aca="false">G11+F12</f>
        <v>0.432929195168422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0.00337768206546358</v>
      </c>
      <c r="G13" s="117" t="n">
        <f aca="false">G12+F13</f>
        <v>0.436306877233885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0.0104876319981469</v>
      </c>
      <c r="G14" s="117" t="n">
        <f aca="false">G13+F14</f>
        <v>0.446794509232032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0.00862153438598903</v>
      </c>
      <c r="G15" s="117" t="n">
        <f aca="false">G14+F15</f>
        <v>0.455416043618021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0.00779121422849457</v>
      </c>
      <c r="G16" s="117" t="n">
        <f aca="false">G15+F16</f>
        <v>0.463207257846516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0.0126067522572868</v>
      </c>
      <c r="G17" s="117" t="n">
        <f aca="false">G16+F17</f>
        <v>0.475814010103803</v>
      </c>
      <c r="H17" s="139"/>
      <c r="I17" s="42" t="s">
        <v>3289</v>
      </c>
      <c r="K17" s="45" t="n">
        <f aca="false">SUM(P5:P76)</f>
        <v>359404.84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0.00922650159452291</v>
      </c>
      <c r="G18" s="117" t="n">
        <f aca="false">G17+F18</f>
        <v>0.485040511698326</v>
      </c>
      <c r="H18" s="139"/>
      <c r="I18" s="42" t="s">
        <v>3290</v>
      </c>
      <c r="K18" s="45" t="n">
        <f aca="false">MAX(0,K10)*$K$2</f>
        <v>265816.566547972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0.0164744832147855</v>
      </c>
      <c r="G19" s="117" t="n">
        <f aca="false">G18+F19</f>
        <v>0.501514994913111</v>
      </c>
      <c r="H19" s="139"/>
      <c r="I19" s="42" t="s">
        <v>3291</v>
      </c>
      <c r="K19" s="143" t="n">
        <f aca="false">IF(AND(K16="PREVISÃO INFORMADA",K11&gt;0),K18/K11-1,"")</f>
        <v>-0.260397921886717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0.0284604114262013</v>
      </c>
      <c r="G20" s="117" t="n">
        <f aca="false">G19+F20</f>
        <v>0.529975406339313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0.0182482816889428</v>
      </c>
      <c r="G21" s="117" t="n">
        <f aca="false">G20+F21</f>
        <v>0.548223688028255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0.0387752078423233</v>
      </c>
      <c r="G22" s="117" t="n">
        <f aca="false">G21+F22</f>
        <v>0.586998895870579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0.05454764933092</v>
      </c>
      <c r="G23" s="117" t="n">
        <f aca="false">G22+F23</f>
        <v>0.641546545201499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0.0523023259221235</v>
      </c>
      <c r="G24" s="117" t="n">
        <f aca="false">G23+F24</f>
        <v>0.693848871123622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0.0334043596527319</v>
      </c>
      <c r="G25" s="117" t="n">
        <f aca="false">G24+F25</f>
        <v>0.727253230776354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0</v>
      </c>
      <c r="E26" s="45" t="n">
        <f aca="false">L26+D26/$K$2</f>
        <v>25.863425202848</v>
      </c>
      <c r="F26" s="117" t="n">
        <f aca="false">IF($K$9=0,0,E26/$K$9)</f>
        <v>0.0266825797644457</v>
      </c>
      <c r="G26" s="117" t="n">
        <f aca="false">G25+F26</f>
        <v>0.7539358105408</v>
      </c>
      <c r="H26" s="139" t="n">
        <v>9977.45</v>
      </c>
      <c r="L26" s="45" t="n">
        <f aca="false">C26/IF(B26&lt;='VALOR POR PL'!$P$5,IFERROR(INDEX('"INCC-FGV"'!$B$2:$B$800,MATCH(B26,'"INCC-FGV"'!$A$2:$A$800,0)),$K$2),$K$2)</f>
        <v>25.863425202848</v>
      </c>
      <c r="M26" s="140" t="n">
        <f aca="false">'CP RESUMO'!Y8</f>
        <v>0</v>
      </c>
      <c r="N26" s="141" t="n">
        <f aca="false">MAX(0,M26-M25)</f>
        <v>0</v>
      </c>
      <c r="O26" s="140" t="n">
        <f aca="false">IF(B26&lt;='VALOR POR PL'!$P$5,'CP RESUMO'!Y50,"")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20736.2</v>
      </c>
      <c r="D27" s="45" t="n">
        <f aca="false">IF(B27&lt;='VALOR POR PL'!$P$5,0,IF($K$17&gt;0,$K$18*P27/$K$17,0))</f>
        <v>60879.5684777129</v>
      </c>
      <c r="E27" s="45" t="n">
        <f aca="false">L27+D27/$K$2</f>
        <v>62.7938225260959</v>
      </c>
      <c r="F27" s="117" t="n">
        <f aca="false">IF($K$9=0,0,E27/$K$9)</f>
        <v>0.064782648281346</v>
      </c>
      <c r="G27" s="117" t="n">
        <f aca="false">G26+F27</f>
        <v>0.818718458822146</v>
      </c>
      <c r="H27" s="139" t="n">
        <v>82313.95</v>
      </c>
      <c r="L27" s="45" t="n">
        <f aca="false">C27/IF(B27&lt;='VALOR POR PL'!$P$5,IFERROR(INDEX('"INCC-FGV"'!$B$2:$B$800,MATCH(B27,'"INCC-FGV"'!$A$2:$A$800,0)),$K$2),$K$2)</f>
        <v>15.9540893500402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14874.73</v>
      </c>
      <c r="D28" s="45" t="n">
        <f aca="false">IF(B28&lt;='VALOR POR PL'!$P$5,0,IF($K$17&gt;0,$K$18*P28/$K$17,0))</f>
        <v>53500.2257234415</v>
      </c>
      <c r="E28" s="45" t="n">
        <f aca="false">L28+D28/$K$2</f>
        <v>52.6065601661264</v>
      </c>
      <c r="F28" s="117" t="n">
        <f aca="false">IF($K$9=0,0,E28/$K$9)</f>
        <v>0.0542727317343572</v>
      </c>
      <c r="G28" s="117" t="n">
        <f aca="false">G27+F28</f>
        <v>0.872991190556503</v>
      </c>
      <c r="H28" s="139" t="n">
        <v>72336.5</v>
      </c>
      <c r="L28" s="45" t="n">
        <f aca="false">C28/IF(B28&lt;='VALOR POR PL'!$P$5,IFERROR(INDEX('"INCC-FGV"'!$B$2:$B$800,MATCH(B28,'"INCC-FGV"'!$A$2:$A$800,0)),$K$2),$K$2)</f>
        <v>11.4443712675285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7379.34275427138</v>
      </c>
      <c r="E29" s="45" t="n">
        <f aca="false">L29+D29/$K$2</f>
        <v>11.7625980804432</v>
      </c>
      <c r="F29" s="117" t="n">
        <f aca="false">IF($K$9=0,0,E29/$K$9)</f>
        <v>0.0121351467973384</v>
      </c>
      <c r="G29" s="117" t="n">
        <f aca="false">G28+F29</f>
        <v>0.885126337353842</v>
      </c>
      <c r="H29" s="139" t="n">
        <v>9977.45</v>
      </c>
      <c r="L29" s="45" t="n">
        <f aca="false">C29/IF(B29&lt;='VALOR POR PL'!$P$5,IFERROR(INDEX('"INCC-FGV"'!$B$2:$B$800,MATCH(B29,'"INCC-FGV"'!$A$2:$A$800,0)),$K$2),$K$2)</f>
        <v>6.08505380298552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7379.34275427138</v>
      </c>
      <c r="E30" s="45" t="n">
        <f aca="false">L30+D30/$K$2</f>
        <v>5.67754427745766</v>
      </c>
      <c r="F30" s="117" t="n">
        <f aca="false">IF($K$9=0,0,E30/$K$9)</f>
        <v>0.00585736525078491</v>
      </c>
      <c r="G30" s="117" t="n">
        <f aca="false">G29+F30</f>
        <v>0.890983702604626</v>
      </c>
      <c r="H30" s="139" t="n">
        <v>9977.45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7379.34275427138</v>
      </c>
      <c r="E31" s="45" t="n">
        <f aca="false">L31+D31/$K$2</f>
        <v>5.67754427745766</v>
      </c>
      <c r="F31" s="117" t="n">
        <f aca="false">IF($K$9=0,0,E31/$K$9)</f>
        <v>0.00585736525078491</v>
      </c>
      <c r="G31" s="117" t="n">
        <f aca="false">G30+F31</f>
        <v>0.896841067855411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7379.34275427138</v>
      </c>
      <c r="E32" s="45" t="n">
        <f aca="false">L32+D32/$K$2</f>
        <v>6.18918427985814</v>
      </c>
      <c r="F32" s="117" t="n">
        <f aca="false">IF($K$9=0,0,E32/$K$9)</f>
        <v>0.00638521007673737</v>
      </c>
      <c r="G32" s="117" t="n">
        <f aca="false">G31+F32</f>
        <v>0.903226277932149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0.511640002400477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7379.34275427138</v>
      </c>
      <c r="E33" s="45" t="n">
        <f aca="false">L33+D33/$K$2</f>
        <v>5.67754427745766</v>
      </c>
      <c r="F33" s="117" t="n">
        <f aca="false">IF($K$9=0,0,E33/$K$9)</f>
        <v>0.00585736525078491</v>
      </c>
      <c r="G33" s="117" t="n">
        <f aca="false">G32+F33</f>
        <v>0.909083643182934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7379.34275427138</v>
      </c>
      <c r="E34" s="45" t="n">
        <f aca="false">L34+D34/$K$2</f>
        <v>5.67754427745766</v>
      </c>
      <c r="F34" s="117" t="n">
        <f aca="false">IF($K$9=0,0,E34/$K$9)</f>
        <v>0.00585736525078491</v>
      </c>
      <c r="G34" s="117" t="n">
        <f aca="false">G33+F34</f>
        <v>0.914941008433719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7379.34275427138</v>
      </c>
      <c r="E35" s="45" t="n">
        <f aca="false">L35+D35/$K$2</f>
        <v>5.67754427745766</v>
      </c>
      <c r="F35" s="117" t="n">
        <f aca="false">IF($K$9=0,0,E35/$K$9)</f>
        <v>0.00585736525078491</v>
      </c>
      <c r="G35" s="117" t="n">
        <f aca="false">G34+F35</f>
        <v>0.920798373684504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11069.0104333967</v>
      </c>
      <c r="E36" s="45" t="n">
        <f aca="false">L36+D36/$K$2</f>
        <v>8.51631357099845</v>
      </c>
      <c r="F36" s="117" t="n">
        <f aca="false">IF($K$9=0,0,E36/$K$9)</f>
        <v>0.00878604494087563</v>
      </c>
      <c r="G36" s="117" t="n">
        <f aca="false">G35+F36</f>
        <v>0.929584418625379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11069.0104333967</v>
      </c>
      <c r="E37" s="45" t="n">
        <f aca="false">L37+D37/$K$2</f>
        <v>8.51631357099845</v>
      </c>
      <c r="F37" s="117" t="n">
        <f aca="false">IF($K$9=0,0,E37/$K$9)</f>
        <v>0.00878604494087563</v>
      </c>
      <c r="G37" s="117" t="n">
        <f aca="false">G36+F37</f>
        <v>0.938370463566255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11069.0104333967</v>
      </c>
      <c r="E38" s="45" t="n">
        <f aca="false">L38+D38/$K$2</f>
        <v>8.51631357099845</v>
      </c>
      <c r="F38" s="117" t="n">
        <f aca="false">IF($K$9=0,0,E38/$K$9)</f>
        <v>0.00878604494087563</v>
      </c>
      <c r="G38" s="117" t="n">
        <f aca="false">G37+F38</f>
        <v>0.947156508507131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11069.0104333967</v>
      </c>
      <c r="E39" s="45" t="n">
        <f aca="false">L39+D39/$K$2</f>
        <v>8.51631357099845</v>
      </c>
      <c r="F39" s="117" t="n">
        <f aca="false">IF($K$9=0,0,E39/$K$9)</f>
        <v>0.00878604494087563</v>
      </c>
      <c r="G39" s="117" t="n">
        <f aca="false">G38+F39</f>
        <v>0.955942553448006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11069.0104333967</v>
      </c>
      <c r="E40" s="45" t="n">
        <f aca="false">L40+D40/$K$2</f>
        <v>8.51631357099845</v>
      </c>
      <c r="F40" s="117" t="n">
        <f aca="false">IF($K$9=0,0,E40/$K$9)</f>
        <v>0.00878604494087563</v>
      </c>
      <c r="G40" s="117" t="n">
        <f aca="false">G39+F40</f>
        <v>0.964728598388882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11069.0104333967</v>
      </c>
      <c r="E41" s="45" t="n">
        <f aca="false">L41+D41/$K$2</f>
        <v>8.51631357099845</v>
      </c>
      <c r="F41" s="117" t="n">
        <f aca="false">IF($K$9=0,0,E41/$K$9)</f>
        <v>0.00878604494087563</v>
      </c>
      <c r="G41" s="117" t="n">
        <f aca="false">G40+F41</f>
        <v>0.973514643329758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14758.6855085428</v>
      </c>
      <c r="E42" s="45" t="n">
        <f aca="false">L42+D42/$K$2</f>
        <v>11.3550885549153</v>
      </c>
      <c r="F42" s="117" t="n">
        <f aca="false">IF($K$9=0,0,E42/$K$9)</f>
        <v>0.0117147305015698</v>
      </c>
      <c r="G42" s="117" t="n">
        <f aca="false">G41+F42</f>
        <v>0.985229373831327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7379.34275427138</v>
      </c>
      <c r="E43" s="45" t="n">
        <f aca="false">L43+D43/$K$2</f>
        <v>5.67754427745766</v>
      </c>
      <c r="F43" s="117" t="n">
        <f aca="false">IF($K$9=0,0,E43/$K$9)</f>
        <v>0.00585736525078491</v>
      </c>
      <c r="G43" s="117" t="n">
        <f aca="false">G42+F43</f>
        <v>0.991086739082112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5541.88274742752</v>
      </c>
      <c r="E44" s="45" t="n">
        <f aca="false">L44+D44/$K$2</f>
        <v>4.26383293563455</v>
      </c>
      <c r="F44" s="117" t="n">
        <f aca="false">IF($K$9=0,0,E44/$K$9)</f>
        <v>0.00439887839739075</v>
      </c>
      <c r="G44" s="117" t="n">
        <f aca="false">G43+F44</f>
        <v>0.995485617479503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3689.6676791253</v>
      </c>
      <c r="E45" s="45" t="n">
        <f aca="false">L45+D45/$K$2</f>
        <v>2.83876929354079</v>
      </c>
      <c r="F45" s="117" t="n">
        <f aca="false">IF($K$9=0,0,E45/$K$9)</f>
        <v>0.00292867969009072</v>
      </c>
      <c r="G45" s="117" t="n">
        <f aca="false">G44+F45</f>
        <v>0.998414297169594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1997.73177717101</v>
      </c>
      <c r="E46" s="45" t="n">
        <f aca="false">L46+D46/$K$2</f>
        <v>1.53702179137937</v>
      </c>
      <c r="F46" s="117" t="n">
        <f aca="false">IF($K$9=0,0,E46/$K$9)</f>
        <v>0.00158570283040683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924298.64</v>
      </c>
      <c r="D78" s="61" t="n">
        <f aca="false">SUM(D5:D76)</f>
        <v>265816.566547972</v>
      </c>
      <c r="E78" s="61" t="n">
        <f aca="false">SUM(E5:E76)</f>
        <v>969.300023879653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764.785153583878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54232.0231269079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21.9692176985471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54232.0231269079</v>
      </c>
      <c r="K9" s="45" t="n">
        <f aca="false">E78</f>
        <v>42.271303133124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20.3020854345769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32403.51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0.0350387002530272</v>
      </c>
      <c r="G15" s="117" t="n">
        <f aca="false">G14+F15</f>
        <v>0.0350387002530272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0.000780171761763696</v>
      </c>
      <c r="G16" s="117" t="n">
        <f aca="false">G15+F16</f>
        <v>0.0358188720147909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0.0358188720147909</v>
      </c>
      <c r="H17" s="139"/>
      <c r="I17" s="42" t="s">
        <v>3289</v>
      </c>
      <c r="K17" s="45" t="n">
        <f aca="false">SUM(P5:P76)</f>
        <v>32403.51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0.0358188720147909</v>
      </c>
      <c r="H18" s="139"/>
      <c r="I18" s="42" t="s">
        <v>3290</v>
      </c>
      <c r="K18" s="45" t="n">
        <f aca="false">MAX(0,K10)*$K$2</f>
        <v>26387.4731269079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0.0600723747601494</v>
      </c>
      <c r="G19" s="117" t="n">
        <f aca="false">G18+F19</f>
        <v>0.0958912467749402</v>
      </c>
      <c r="H19" s="139"/>
      <c r="I19" s="42" t="s">
        <v>3291</v>
      </c>
      <c r="K19" s="143" t="n">
        <f aca="false">IF(AND(K16="PREVISÃO INFORMADA",K11&gt;0),K18/K11-1,"")</f>
        <v>-0.185660037233377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0.0597496590429496</v>
      </c>
      <c r="G20" s="117" t="n">
        <f aca="false">G19+F20</f>
        <v>0.15564090581789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0.012651573532496</v>
      </c>
      <c r="G21" s="117" t="n">
        <f aca="false">G20+F21</f>
        <v>0.168292479350386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0.234576006090666</v>
      </c>
      <c r="G22" s="117" t="n">
        <f aca="false">G21+F22</f>
        <v>0.402868485441052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0.402868485441052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0.402868485441052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0.402868485441052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0.402868485441052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n">
        <f aca="false">IF(B26&lt;='VALOR POR PL'!$P$5,'CP RESUMO'!Y51,"")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977.313819515107</v>
      </c>
      <c r="E27" s="45" t="n">
        <f aca="false">L27+D27/$K$2</f>
        <v>5.69137091785532</v>
      </c>
      <c r="F27" s="117" t="n">
        <f aca="false">IF($K$9=0,0,E27/$K$9)</f>
        <v>0.134639116753312</v>
      </c>
      <c r="G27" s="117" t="n">
        <f aca="false">G26+F27</f>
        <v>0.537507602194364</v>
      </c>
      <c r="H27" s="139" t="n">
        <v>1200.13</v>
      </c>
      <c r="L27" s="45" t="n">
        <f aca="false">C27/IF(B27&lt;='VALOR POR PL'!$P$5,IFERROR(INDEX('"INCC-FGV"'!$B$2:$B$800,MATCH(B27,'"INCC-FGV"'!$A$2:$A$800,0)),$K$2),$K$2)</f>
        <v>4.9394418276858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977.313819515107</v>
      </c>
      <c r="E28" s="45" t="n">
        <f aca="false">L28+D28/$K$2</f>
        <v>0.751929090169516</v>
      </c>
      <c r="F28" s="117" t="n">
        <f aca="false">IF($K$9=0,0,E28/$K$9)</f>
        <v>0.0177881691463706</v>
      </c>
      <c r="G28" s="117" t="n">
        <f aca="false">G27+F28</f>
        <v>0.555295771340735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977.313819515107</v>
      </c>
      <c r="E29" s="45" t="n">
        <f aca="false">L29+D29/$K$2</f>
        <v>0.751929090169516</v>
      </c>
      <c r="F29" s="117" t="n">
        <f aca="false">IF($K$9=0,0,E29/$K$9)</f>
        <v>0.0177881691463706</v>
      </c>
      <c r="G29" s="117" t="n">
        <f aca="false">G28+F29</f>
        <v>0.573083940487105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977.313819515107</v>
      </c>
      <c r="E30" s="45" t="n">
        <f aca="false">L30+D30/$K$2</f>
        <v>0.751929090169516</v>
      </c>
      <c r="F30" s="117" t="n">
        <f aca="false">IF($K$9=0,0,E30/$K$9)</f>
        <v>0.0177881691463706</v>
      </c>
      <c r="G30" s="117" t="n">
        <f aca="false">G29+F30</f>
        <v>0.590872109633476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977.313819515107</v>
      </c>
      <c r="E31" s="45" t="n">
        <f aca="false">L31+D31/$K$2</f>
        <v>0.751929090169516</v>
      </c>
      <c r="F31" s="117" t="n">
        <f aca="false">IF($K$9=0,0,E31/$K$9)</f>
        <v>0.0177881691463706</v>
      </c>
      <c r="G31" s="117" t="n">
        <f aca="false">G30+F31</f>
        <v>0.608660278779847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977.313819515107</v>
      </c>
      <c r="E32" s="45" t="n">
        <f aca="false">L32+D32/$K$2</f>
        <v>0.751929090169516</v>
      </c>
      <c r="F32" s="117" t="n">
        <f aca="false">IF($K$9=0,0,E32/$K$9)</f>
        <v>0.0177881691463706</v>
      </c>
      <c r="G32" s="117" t="n">
        <f aca="false">G31+F32</f>
        <v>0.626448447926217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977.313819515107</v>
      </c>
      <c r="E33" s="45" t="n">
        <f aca="false">L33+D33/$K$2</f>
        <v>0.751929090169516</v>
      </c>
      <c r="F33" s="117" t="n">
        <f aca="false">IF($K$9=0,0,E33/$K$9)</f>
        <v>0.0177881691463706</v>
      </c>
      <c r="G33" s="117" t="n">
        <f aca="false">G32+F33</f>
        <v>0.644236617072588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977.313819515107</v>
      </c>
      <c r="E34" s="45" t="n">
        <f aca="false">L34+D34/$K$2</f>
        <v>0.751929090169516</v>
      </c>
      <c r="F34" s="117" t="n">
        <f aca="false">IF($K$9=0,0,E34/$K$9)</f>
        <v>0.0177881691463706</v>
      </c>
      <c r="G34" s="117" t="n">
        <f aca="false">G33+F34</f>
        <v>0.662024786218958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977.313819515107</v>
      </c>
      <c r="E35" s="45" t="n">
        <f aca="false">L35+D35/$K$2</f>
        <v>0.751929090169516</v>
      </c>
      <c r="F35" s="117" t="n">
        <f aca="false">IF($K$9=0,0,E35/$K$9)</f>
        <v>0.0177881691463706</v>
      </c>
      <c r="G35" s="117" t="n">
        <f aca="false">G34+F35</f>
        <v>0.679812955365329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977.313819515107</v>
      </c>
      <c r="E36" s="45" t="n">
        <f aca="false">L36+D36/$K$2</f>
        <v>0.751929090169516</v>
      </c>
      <c r="F36" s="117" t="n">
        <f aca="false">IF($K$9=0,0,E36/$K$9)</f>
        <v>0.0177881691463706</v>
      </c>
      <c r="G36" s="117" t="n">
        <f aca="false">G35+F36</f>
        <v>0.6976011245117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977.313819515107</v>
      </c>
      <c r="E37" s="45" t="n">
        <f aca="false">L37+D37/$K$2</f>
        <v>0.751929090169516</v>
      </c>
      <c r="F37" s="117" t="n">
        <f aca="false">IF($K$9=0,0,E37/$K$9)</f>
        <v>0.0177881691463706</v>
      </c>
      <c r="G37" s="117" t="n">
        <f aca="false">G36+F37</f>
        <v>0.71538929365807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977.313819515107</v>
      </c>
      <c r="E38" s="45" t="n">
        <f aca="false">L38+D38/$K$2</f>
        <v>0.751929090169516</v>
      </c>
      <c r="F38" s="117" t="n">
        <f aca="false">IF($K$9=0,0,E38/$K$9)</f>
        <v>0.0177881691463706</v>
      </c>
      <c r="G38" s="117" t="n">
        <f aca="false">G37+F38</f>
        <v>0.733177462804441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977.313819515107</v>
      </c>
      <c r="E39" s="45" t="n">
        <f aca="false">L39+D39/$K$2</f>
        <v>0.751929090169516</v>
      </c>
      <c r="F39" s="117" t="n">
        <f aca="false">IF($K$9=0,0,E39/$K$9)</f>
        <v>0.0177881691463706</v>
      </c>
      <c r="G39" s="117" t="n">
        <f aca="false">G38+F39</f>
        <v>0.750965631950811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977.313819515107</v>
      </c>
      <c r="E40" s="45" t="n">
        <f aca="false">L40+D40/$K$2</f>
        <v>0.751929090169516</v>
      </c>
      <c r="F40" s="117" t="n">
        <f aca="false">IF($K$9=0,0,E40/$K$9)</f>
        <v>0.0177881691463706</v>
      </c>
      <c r="G40" s="117" t="n">
        <f aca="false">G39+F40</f>
        <v>0.768753801097182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977.313819515107</v>
      </c>
      <c r="E41" s="45" t="n">
        <f aca="false">L41+D41/$K$2</f>
        <v>0.751929090169516</v>
      </c>
      <c r="F41" s="117" t="n">
        <f aca="false">IF($K$9=0,0,E41/$K$9)</f>
        <v>0.0177881691463706</v>
      </c>
      <c r="G41" s="117" t="n">
        <f aca="false">G40+F41</f>
        <v>0.786541970243553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977.313819515107</v>
      </c>
      <c r="E42" s="45" t="n">
        <f aca="false">L42+D42/$K$2</f>
        <v>0.751929090169516</v>
      </c>
      <c r="F42" s="117" t="n">
        <f aca="false">IF($K$9=0,0,E42/$K$9)</f>
        <v>0.0177881691463706</v>
      </c>
      <c r="G42" s="117" t="n">
        <f aca="false">G41+F42</f>
        <v>0.804330139389923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977.313819515107</v>
      </c>
      <c r="E43" s="45" t="n">
        <f aca="false">L43+D43/$K$2</f>
        <v>0.751929090169516</v>
      </c>
      <c r="F43" s="117" t="n">
        <f aca="false">IF($K$9=0,0,E43/$K$9)</f>
        <v>0.0177881691463706</v>
      </c>
      <c r="G43" s="117" t="n">
        <f aca="false">G42+F43</f>
        <v>0.822118308536294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977.313819515107</v>
      </c>
      <c r="E44" s="45" t="n">
        <f aca="false">L44+D44/$K$2</f>
        <v>0.751929090169516</v>
      </c>
      <c r="F44" s="117" t="n">
        <f aca="false">IF($K$9=0,0,E44/$K$9)</f>
        <v>0.0177881691463706</v>
      </c>
      <c r="G44" s="117" t="n">
        <f aca="false">G43+F44</f>
        <v>0.839906477682664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977.313819515107</v>
      </c>
      <c r="E45" s="45" t="n">
        <f aca="false">L45+D45/$K$2</f>
        <v>0.751929090169516</v>
      </c>
      <c r="F45" s="117" t="n">
        <f aca="false">IF($K$9=0,0,E45/$K$9)</f>
        <v>0.0177881691463706</v>
      </c>
      <c r="G45" s="117" t="n">
        <f aca="false">G44+F45</f>
        <v>0.857694646829035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977.313819515107</v>
      </c>
      <c r="E46" s="45" t="n">
        <f aca="false">L46+D46/$K$2</f>
        <v>0.751929090169516</v>
      </c>
      <c r="F46" s="117" t="n">
        <f aca="false">IF($K$9=0,0,E46/$K$9)</f>
        <v>0.0177881691463706</v>
      </c>
      <c r="G46" s="117" t="n">
        <f aca="false">G45+F46</f>
        <v>0.875482815975406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977.313819515107</v>
      </c>
      <c r="E47" s="45" t="n">
        <f aca="false">L47+D47/$K$2</f>
        <v>0.751929090169516</v>
      </c>
      <c r="F47" s="117" t="n">
        <f aca="false">IF($K$9=0,0,E47/$K$9)</f>
        <v>0.0177881691463706</v>
      </c>
      <c r="G47" s="117" t="n">
        <f aca="false">G46+F47</f>
        <v>0.893270985121776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977.313819515107</v>
      </c>
      <c r="E48" s="45" t="n">
        <f aca="false">L48+D48/$K$2</f>
        <v>0.751929090169516</v>
      </c>
      <c r="F48" s="117" t="n">
        <f aca="false">IF($K$9=0,0,E48/$K$9)</f>
        <v>0.0177881691463706</v>
      </c>
      <c r="G48" s="117" t="n">
        <f aca="false">G47+F48</f>
        <v>0.911059154268147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977.313819515107</v>
      </c>
      <c r="E49" s="45" t="n">
        <f aca="false">L49+D49/$K$2</f>
        <v>0.751929090169516</v>
      </c>
      <c r="F49" s="117" t="n">
        <f aca="false">IF($K$9=0,0,E49/$K$9)</f>
        <v>0.0177881691463706</v>
      </c>
      <c r="G49" s="117" t="n">
        <f aca="false">G48+F49</f>
        <v>0.928847323414517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977.313819515107</v>
      </c>
      <c r="E50" s="45" t="n">
        <f aca="false">L50+D50/$K$2</f>
        <v>0.751929090169516</v>
      </c>
      <c r="F50" s="117" t="n">
        <f aca="false">IF($K$9=0,0,E50/$K$9)</f>
        <v>0.0177881691463706</v>
      </c>
      <c r="G50" s="117" t="n">
        <f aca="false">G49+F50</f>
        <v>0.946635492560888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977.313819515107</v>
      </c>
      <c r="E51" s="45" t="n">
        <f aca="false">L51+D51/$K$2</f>
        <v>0.751929090169516</v>
      </c>
      <c r="F51" s="117" t="n">
        <f aca="false">IF($K$9=0,0,E51/$K$9)</f>
        <v>0.0177881691463706</v>
      </c>
      <c r="G51" s="117" t="n">
        <f aca="false">G50+F51</f>
        <v>0.964423661707259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977.313819515107</v>
      </c>
      <c r="E52" s="45" t="n">
        <f aca="false">L52+D52/$K$2</f>
        <v>0.751929090169516</v>
      </c>
      <c r="F52" s="117" t="n">
        <f aca="false">IF($K$9=0,0,E52/$K$9)</f>
        <v>0.0177881691463706</v>
      </c>
      <c r="G52" s="117" t="n">
        <f aca="false">G51+F52</f>
        <v>0.982211830853629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977.313819515107</v>
      </c>
      <c r="E53" s="45" t="n">
        <f aca="false">L53+D53/$K$2</f>
        <v>0.751929090169516</v>
      </c>
      <c r="F53" s="117" t="n">
        <f aca="false">IF($K$9=0,0,E53/$K$9)</f>
        <v>0.0177881691463706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26387.4731269079</v>
      </c>
      <c r="E78" s="61" t="n">
        <f aca="false">SUM(E5:E76)</f>
        <v>42.271303133124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21.9692176985471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0.0468999686466437</v>
      </c>
      <c r="G5" s="117" t="n">
        <f aca="false">F5</f>
        <v>0.0468999686466437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0.00458751011348506</v>
      </c>
      <c r="G6" s="117" t="n">
        <f aca="false">G5+F6</f>
        <v>0.0514874787601288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0.00275986566449728</v>
      </c>
      <c r="G7" s="117" t="n">
        <f aca="false">G6+F7</f>
        <v>0.054247344424626</v>
      </c>
      <c r="H7" s="139"/>
      <c r="I7" s="42" t="s">
        <v>3278</v>
      </c>
      <c r="J7" s="45" t="n">
        <f aca="false">C78+D78</f>
        <v>567252.799107441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0.00303752127022221</v>
      </c>
      <c r="G8" s="117" t="n">
        <f aca="false">G7+F8</f>
        <v>0.0572848656948483</v>
      </c>
      <c r="H8" s="139"/>
      <c r="I8" s="42" t="s">
        <v>3279</v>
      </c>
      <c r="K8" s="66" t="n">
        <f aca="false">SUM(L5:L76)</f>
        <v>255.094252182355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0.00608980112434831</v>
      </c>
      <c r="G9" s="117" t="n">
        <f aca="false">G8+F9</f>
        <v>0.0633746668191966</v>
      </c>
      <c r="H9" s="139"/>
      <c r="I9" s="42" t="s">
        <v>3280</v>
      </c>
      <c r="J9" s="45" t="n">
        <f aca="false">C78+D78</f>
        <v>567252.799107441</v>
      </c>
      <c r="K9" s="45" t="n">
        <f aca="false">E78</f>
        <v>447.852237311281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0.0677088955179731</v>
      </c>
      <c r="G10" s="117" t="n">
        <f aca="false">G9+F10</f>
        <v>0.13108356233717</v>
      </c>
      <c r="H10" s="139"/>
      <c r="I10" s="42" t="s">
        <v>3281</v>
      </c>
      <c r="K10" s="52" t="n">
        <f aca="false">IF(K6-K8&gt;0,(K6-K8)*'VALOR POR PL'!$G$65,K6-K8)</f>
        <v>192.757985128926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0.015396978877181</v>
      </c>
      <c r="G11" s="117" t="n">
        <f aca="false">G10+F11</f>
        <v>0.146480541214351</v>
      </c>
      <c r="H11" s="139"/>
      <c r="I11" s="42" t="s">
        <v>3282</v>
      </c>
      <c r="K11" s="56" t="n">
        <f aca="false">SUMPRODUCT((B5:B76&gt;'VALOR POR PL'!$P$5)*H5:H76)</f>
        <v>285937.98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0.0181292562446119</v>
      </c>
      <c r="G12" s="117" t="n">
        <f aca="false">G11+F12</f>
        <v>0.164609797458963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0.020948734890181</v>
      </c>
      <c r="G13" s="117" t="n">
        <f aca="false">G12+F13</f>
        <v>0.185558532349144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0.00518294933890948</v>
      </c>
      <c r="G14" s="117" t="n">
        <f aca="false">G13+F14</f>
        <v>0.190741481688053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0.0184150673690501</v>
      </c>
      <c r="G15" s="117" t="n">
        <f aca="false">G14+F15</f>
        <v>0.209156549057103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0.023309441000647</v>
      </c>
      <c r="G16" s="117" t="n">
        <f aca="false">G15+F16</f>
        <v>0.23246599005775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0.0223450467413498</v>
      </c>
      <c r="G17" s="117" t="n">
        <f aca="false">G16+F17</f>
        <v>0.2548110367991</v>
      </c>
      <c r="H17" s="139"/>
      <c r="I17" s="42" t="s">
        <v>3289</v>
      </c>
      <c r="K17" s="45" t="n">
        <f aca="false">SUM(P5:P76)</f>
        <v>285937.98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0.0166474991127307</v>
      </c>
      <c r="G18" s="117" t="n">
        <f aca="false">G17+F18</f>
        <v>0.271458535911831</v>
      </c>
      <c r="H18" s="139"/>
      <c r="I18" s="42" t="s">
        <v>3290</v>
      </c>
      <c r="K18" s="45" t="n">
        <f aca="false">MAX(0,K10)*$K$2</f>
        <v>250535.649107441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0.0197804457874948</v>
      </c>
      <c r="G19" s="117" t="n">
        <f aca="false">G18+F19</f>
        <v>0.291238981699326</v>
      </c>
      <c r="H19" s="139"/>
      <c r="I19" s="42" t="s">
        <v>3291</v>
      </c>
      <c r="K19" s="143" t="n">
        <f aca="false">IF(AND(K16="PREVISÃO INFORMADA",K11&gt;0),K18/K11-1,"")</f>
        <v>-0.123811222603444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0.0150618526703206</v>
      </c>
      <c r="G20" s="117" t="n">
        <f aca="false">G19+F20</f>
        <v>0.306300834369646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0.036824839376316</v>
      </c>
      <c r="G21" s="117" t="n">
        <f aca="false">G20+F21</f>
        <v>0.343125673745962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0.0109610257866438</v>
      </c>
      <c r="G22" s="117" t="n">
        <f aca="false">G21+F22</f>
        <v>0.354086699532606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0.0551334932839041</v>
      </c>
      <c r="G23" s="117" t="n">
        <f aca="false">G22+F23</f>
        <v>0.40922019281651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0.0427966847018551</v>
      </c>
      <c r="G24" s="117" t="n">
        <f aca="false">G23+F24</f>
        <v>0.452016877518365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0.0366052412054977</v>
      </c>
      <c r="G25" s="117" t="n">
        <f aca="false">G24+F25</f>
        <v>0.488622118723863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0</v>
      </c>
      <c r="E26" s="45" t="n">
        <f aca="false">L26+D26/$K$2</f>
        <v>19.1962712599885</v>
      </c>
      <c r="F26" s="117" t="n">
        <f aca="false">IF($K$9=0,0,E26/$K$9)</f>
        <v>0.0428629571557685</v>
      </c>
      <c r="G26" s="117" t="n">
        <f aca="false">G25+F26</f>
        <v>0.531485075879631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19.1962712599885</v>
      </c>
      <c r="M26" s="140" t="n">
        <f aca="false">'CP RESUMO'!Y10</f>
        <v>0</v>
      </c>
      <c r="N26" s="141" t="n">
        <f aca="false">MAX(0,M26-M25)</f>
        <v>0</v>
      </c>
      <c r="O26" s="140" t="n">
        <f aca="false">IF(B26&lt;='VALOR POR PL'!$P$5,'CP RESUMO'!Y52,"")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22183.31</v>
      </c>
      <c r="D27" s="45" t="n">
        <f aca="false">IF(B27&lt;='VALOR POR PL'!$P$5,0,IF($K$17&gt;0,$K$18*P27/$K$17,0))</f>
        <v>10462.8856188521</v>
      </c>
      <c r="E27" s="45" t="n">
        <f aca="false">L27+D27/$K$2</f>
        <v>25.1174430147307</v>
      </c>
      <c r="F27" s="117" t="n">
        <f aca="false">IF($K$9=0,0,E27/$K$9)</f>
        <v>0.0560842191288926</v>
      </c>
      <c r="G27" s="117" t="n">
        <f aca="false">G26+F27</f>
        <v>0.587569295008524</v>
      </c>
      <c r="H27" s="139" t="n">
        <v>11941.36</v>
      </c>
      <c r="L27" s="45" t="n">
        <f aca="false">C27/IF(B27&lt;='VALOR POR PL'!$P$5,IFERROR(INDEX('"INCC-FGV"'!$B$2:$B$800,MATCH(B27,'"INCC-FGV"'!$A$2:$A$800,0)),$K$2),$K$2)</f>
        <v>17.067471852106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10388.5585248656</v>
      </c>
      <c r="E28" s="45" t="n">
        <f aca="false">L28+D28/$K$2</f>
        <v>7.99278512571386</v>
      </c>
      <c r="F28" s="117" t="n">
        <f aca="false">IF($K$9=0,0,E28/$K$9)</f>
        <v>0.0178469246323279</v>
      </c>
      <c r="G28" s="117" t="n">
        <f aca="false">G27+F28</f>
        <v>0.605416219640852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10388.5585248656</v>
      </c>
      <c r="E29" s="45" t="n">
        <f aca="false">L29+D29/$K$2</f>
        <v>7.99278512571386</v>
      </c>
      <c r="F29" s="117" t="n">
        <f aca="false">IF($K$9=0,0,E29/$K$9)</f>
        <v>0.0178469246323279</v>
      </c>
      <c r="G29" s="117" t="n">
        <f aca="false">G28+F29</f>
        <v>0.62326314427318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10983.1665148702</v>
      </c>
      <c r="E30" s="45" t="n">
        <f aca="false">L30+D30/$K$2</f>
        <v>8.45026667974891</v>
      </c>
      <c r="F30" s="117" t="n">
        <f aca="false">IF($K$9=0,0,E30/$K$9)</f>
        <v>0.0188684257345253</v>
      </c>
      <c r="G30" s="117" t="n">
        <f aca="false">G29+F30</f>
        <v>0.642131570007705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11354.7932229152</v>
      </c>
      <c r="E31" s="45" t="n">
        <f aca="false">L31+D31/$K$2</f>
        <v>8.73619012305149</v>
      </c>
      <c r="F31" s="117" t="n">
        <f aca="false">IF($K$9=0,0,E31/$K$9)</f>
        <v>0.0195068582787482</v>
      </c>
      <c r="G31" s="117" t="n">
        <f aca="false">G30+F31</f>
        <v>0.661638428286453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12023.7283069064</v>
      </c>
      <c r="E32" s="45" t="n">
        <f aca="false">L32+D32/$K$2</f>
        <v>9.25085771399736</v>
      </c>
      <c r="F32" s="117" t="n">
        <f aca="false">IF($K$9=0,0,E32/$K$9)</f>
        <v>0.0206560489002705</v>
      </c>
      <c r="G32" s="117" t="n">
        <f aca="false">G31+F32</f>
        <v>0.682294477186724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16725.523762284</v>
      </c>
      <c r="E33" s="45" t="n">
        <f aca="false">L33+D33/$K$2</f>
        <v>12.868341380277</v>
      </c>
      <c r="F33" s="117" t="n">
        <f aca="false">IF($K$9=0,0,E33/$K$9)</f>
        <v>0.0287334533763483</v>
      </c>
      <c r="G33" s="117" t="n">
        <f aca="false">G32+F33</f>
        <v>0.711027930563072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18091.2830190509</v>
      </c>
      <c r="E34" s="45" t="n">
        <f aca="false">L34+D34/$K$2</f>
        <v>13.919133965857</v>
      </c>
      <c r="F34" s="117" t="n">
        <f aca="false">IF($K$9=0,0,E34/$K$9)</f>
        <v>0.0310797464123919</v>
      </c>
      <c r="G34" s="117" t="n">
        <f aca="false">G33+F34</f>
        <v>0.742107676975464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18655.9604004196</v>
      </c>
      <c r="E35" s="45" t="n">
        <f aca="false">L35+D35/$K$2</f>
        <v>14.3535874045923</v>
      </c>
      <c r="F35" s="117" t="n">
        <f aca="false">IF($K$9=0,0,E35/$K$9)</f>
        <v>0.0320498285121121</v>
      </c>
      <c r="G35" s="117" t="n">
        <f aca="false">G34+F35</f>
        <v>0.774157505487576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16716.3325420091</v>
      </c>
      <c r="E36" s="45" t="n">
        <f aca="false">L36+D36/$K$2</f>
        <v>12.8612698073995</v>
      </c>
      <c r="F36" s="117" t="n">
        <f aca="false">IF($K$9=0,0,E36/$K$9)</f>
        <v>0.0287176634074963</v>
      </c>
      <c r="G36" s="117" t="n">
        <f aca="false">G35+F36</f>
        <v>0.802875168895072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16172.9991192577</v>
      </c>
      <c r="E37" s="45" t="n">
        <f aca="false">L37+D37/$K$2</f>
        <v>12.4432380574435</v>
      </c>
      <c r="F37" s="117" t="n">
        <f aca="false">IF($K$9=0,0,E37/$K$9)</f>
        <v>0.0277842489570835</v>
      </c>
      <c r="G37" s="117" t="n">
        <f aca="false">G36+F37</f>
        <v>0.830659417852156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15992.1888031542</v>
      </c>
      <c r="E38" s="45" t="n">
        <f aca="false">L38+D38/$K$2</f>
        <v>12.3041255904281</v>
      </c>
      <c r="F38" s="117" t="n">
        <f aca="false">IF($K$9=0,0,E38/$K$9)</f>
        <v>0.0274736276060536</v>
      </c>
      <c r="G38" s="117" t="n">
        <f aca="false">G37+F38</f>
        <v>0.85813304545821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15684.7253992779</v>
      </c>
      <c r="E39" s="45" t="n">
        <f aca="false">L39+D39/$K$2</f>
        <v>12.0675683322367</v>
      </c>
      <c r="F39" s="117" t="n">
        <f aca="false">IF($K$9=0,0,E39/$K$9)</f>
        <v>0.026945423795771</v>
      </c>
      <c r="G39" s="117" t="n">
        <f aca="false">G38+F39</f>
        <v>0.88507846925398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13018.3427594558</v>
      </c>
      <c r="E40" s="45" t="n">
        <f aca="false">L40+D40/$K$2</f>
        <v>10.0160976251101</v>
      </c>
      <c r="F40" s="117" t="n">
        <f aca="false">IF($K$9=0,0,E40/$K$9)</f>
        <v>0.0223647372741567</v>
      </c>
      <c r="G40" s="117" t="n">
        <f aca="false">G39+F40</f>
        <v>0.907443206528137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14958.2422363874</v>
      </c>
      <c r="E41" s="45" t="n">
        <f aca="false">L41+D41/$K$2</f>
        <v>11.508624201101</v>
      </c>
      <c r="F41" s="117" t="n">
        <f aca="false">IF($K$9=0,0,E41/$K$9)</f>
        <v>0.0256973690032095</v>
      </c>
      <c r="G41" s="117" t="n">
        <f aca="false">G40+F41</f>
        <v>0.933140575531347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14825.0878278864</v>
      </c>
      <c r="E42" s="45" t="n">
        <f aca="false">L42+D42/$K$2</f>
        <v>11.4061774012738</v>
      </c>
      <c r="F42" s="117" t="n">
        <f aca="false">IF($K$9=0,0,E42/$K$9)</f>
        <v>0.0254686176622712</v>
      </c>
      <c r="G42" s="117" t="n">
        <f aca="false">G41+F42</f>
        <v>0.958609193193618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9617.67887662432</v>
      </c>
      <c r="E43" s="45" t="n">
        <f aca="false">L43+D43/$K$2</f>
        <v>7.39968307296704</v>
      </c>
      <c r="F43" s="117" t="n">
        <f aca="false">IF($K$9=0,0,E43/$K$9)</f>
        <v>0.0165225993229188</v>
      </c>
      <c r="G43" s="117" t="n">
        <f aca="false">G42+F43</f>
        <v>0.975131792516537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6319.85327059584</v>
      </c>
      <c r="E44" s="45" t="n">
        <f aca="false">L44+D44/$K$2</f>
        <v>4.86239059028318</v>
      </c>
      <c r="F44" s="117" t="n">
        <f aca="false">IF($K$9=0,0,E44/$K$9)</f>
        <v>0.0108571314044895</v>
      </c>
      <c r="G44" s="117" t="n">
        <f aca="false">G43+F44</f>
        <v>0.985988923921026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4648.75974868181</v>
      </c>
      <c r="E45" s="45" t="n">
        <f aca="false">L45+D45/$K$2</f>
        <v>3.5766788706388</v>
      </c>
      <c r="F45" s="117" t="n">
        <f aca="false">IF($K$9=0,0,E45/$K$9)</f>
        <v>0.00798629229165336</v>
      </c>
      <c r="G45" s="117" t="n">
        <f aca="false">G44+F45</f>
        <v>0.99397521621268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2403.56981604201</v>
      </c>
      <c r="E46" s="45" t="n">
        <f aca="false">L46+D46/$K$2</f>
        <v>1.84926686684127</v>
      </c>
      <c r="F46" s="117" t="n">
        <f aca="false">IF($K$9=0,0,E46/$K$9)</f>
        <v>0.00412918974781392</v>
      </c>
      <c r="G46" s="117" t="n">
        <f aca="false">G45+F46</f>
        <v>0.998104405960493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1103.4108130388</v>
      </c>
      <c r="E47" s="45" t="n">
        <f aca="false">L47+D47/$K$2</f>
        <v>0.848946031626896</v>
      </c>
      <c r="F47" s="117" t="n">
        <f aca="false">IF($K$9=0,0,E47/$K$9)</f>
        <v>0.00189559403950646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316717.15</v>
      </c>
      <c r="D78" s="61" t="n">
        <f aca="false">SUM(D5:D76)</f>
        <v>250535.649107441</v>
      </c>
      <c r="E78" s="61" t="n">
        <f aca="false">SUM(E5:E76)</f>
        <v>447.852237311281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255.094252182355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0.076075053843885</v>
      </c>
      <c r="G5" s="117" t="n">
        <f aca="false">F5</f>
        <v>0.076075053843885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0.0133175431375129</v>
      </c>
      <c r="G6" s="117" t="n">
        <f aca="false">G5+F6</f>
        <v>0.0893925969813978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0.0468390597433379</v>
      </c>
      <c r="G7" s="117" t="n">
        <f aca="false">G6+F7</f>
        <v>0.136231656724736</v>
      </c>
      <c r="H7" s="139"/>
      <c r="I7" s="42" t="s">
        <v>3278</v>
      </c>
      <c r="J7" s="45" t="n">
        <f aca="false">C78+D78</f>
        <v>265134.543941992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0.0128787701166004</v>
      </c>
      <c r="G8" s="117" t="n">
        <f aca="false">G7+F8</f>
        <v>0.149110426841336</v>
      </c>
      <c r="H8" s="139"/>
      <c r="I8" s="42" t="s">
        <v>3279</v>
      </c>
      <c r="K8" s="66" t="n">
        <f aca="false">SUM(L5:L76)</f>
        <v>173.720168625232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0.0191318691934066</v>
      </c>
      <c r="G9" s="117" t="n">
        <f aca="false">G8+F9</f>
        <v>0.168242296034743</v>
      </c>
      <c r="H9" s="139"/>
      <c r="I9" s="42" t="s">
        <v>3280</v>
      </c>
      <c r="J9" s="45" t="n">
        <f aca="false">C78+D78</f>
        <v>265134.543941992</v>
      </c>
      <c r="K9" s="45" t="n">
        <f aca="false">E78</f>
        <v>212.352761818336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0.0321749909321901</v>
      </c>
      <c r="G10" s="117" t="n">
        <f aca="false">G9+F10</f>
        <v>0.200417286966933</v>
      </c>
      <c r="H10" s="139"/>
      <c r="I10" s="42" t="s">
        <v>3281</v>
      </c>
      <c r="K10" s="52" t="n">
        <f aca="false">IF(K6-K8&gt;0,(K6-K8)*'VALOR POR PL'!$G$65,K6-K8)</f>
        <v>38.6325931931041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0.0542181672533802</v>
      </c>
      <c r="G11" s="117" t="n">
        <f aca="false">G10+F11</f>
        <v>0.254635454220313</v>
      </c>
      <c r="H11" s="139"/>
      <c r="I11" s="42" t="s">
        <v>3282</v>
      </c>
      <c r="K11" s="56" t="n">
        <f aca="false">SUMPRODUCT((B5:B76&gt;'VALOR POR PL'!$P$5)*H5:H76)</f>
        <v>62359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0.0475235916218877</v>
      </c>
      <c r="G12" s="117" t="n">
        <f aca="false">G11+F12</f>
        <v>0.302159045842201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0.0195747292083959</v>
      </c>
      <c r="G13" s="117" t="n">
        <f aca="false">G12+F13</f>
        <v>0.321733775050597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0.021087865159856</v>
      </c>
      <c r="G14" s="117" t="n">
        <f aca="false">G13+F14</f>
        <v>0.342821640210453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0.0191775902553724</v>
      </c>
      <c r="G15" s="117" t="n">
        <f aca="false">G14+F15</f>
        <v>0.361999230465825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0.0247046342974297</v>
      </c>
      <c r="G16" s="117" t="n">
        <f aca="false">G15+F16</f>
        <v>0.386703864763255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0.0148448996153124</v>
      </c>
      <c r="G17" s="117" t="n">
        <f aca="false">G16+F17</f>
        <v>0.401548764378567</v>
      </c>
      <c r="H17" s="139"/>
      <c r="I17" s="42" t="s">
        <v>3289</v>
      </c>
      <c r="K17" s="45" t="n">
        <f aca="false">SUM(P5:P76)</f>
        <v>62359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0.011343837078353</v>
      </c>
      <c r="G18" s="117" t="n">
        <f aca="false">G17+F18</f>
        <v>0.41289260145692</v>
      </c>
      <c r="H18" s="139"/>
      <c r="I18" s="42" t="s">
        <v>3290</v>
      </c>
      <c r="K18" s="45" t="n">
        <f aca="false">MAX(0,K10)*$K$2</f>
        <v>50212.4039419915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0.0286619179626569</v>
      </c>
      <c r="G19" s="117" t="n">
        <f aca="false">G18+F19</f>
        <v>0.441554519419577</v>
      </c>
      <c r="H19" s="139"/>
      <c r="I19" s="42" t="s">
        <v>3291</v>
      </c>
      <c r="K19" s="143" t="n">
        <f aca="false">IF(AND(K16="PREVISÃO INFORMADA",K11&gt;0),K18/K11-1,"")</f>
        <v>-0.194784971824572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0.0138513356314788</v>
      </c>
      <c r="G20" s="117" t="n">
        <f aca="false">G19+F20</f>
        <v>0.455405855051056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0.0324223752603289</v>
      </c>
      <c r="G21" s="117" t="n">
        <f aca="false">G20+F21</f>
        <v>0.487828230311385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0.019795757657365</v>
      </c>
      <c r="G22" s="117" t="n">
        <f aca="false">G21+F22</f>
        <v>0.50762398796875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0.0256923342288729</v>
      </c>
      <c r="G23" s="117" t="n">
        <f aca="false">G22+F23</f>
        <v>0.533316322197623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0.0706716266378979</v>
      </c>
      <c r="G24" s="117" t="n">
        <f aca="false">G23+F24</f>
        <v>0.603987948835521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0.0874622670384907</v>
      </c>
      <c r="G25" s="117" t="n">
        <f aca="false">G24+F25</f>
        <v>0.691450215874011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34948.51</v>
      </c>
      <c r="D26" s="45" t="n">
        <f aca="false">IF(B26&lt;='VALOR POR PL'!$P$5,0,IF($K$17&gt;0,$K$18*P26/$K$17,0))</f>
        <v>0</v>
      </c>
      <c r="E26" s="45" t="n">
        <f aca="false">L26+D26/$K$2</f>
        <v>26.8888056245009</v>
      </c>
      <c r="F26" s="117" t="n">
        <f aca="false">IF($K$9=0,0,E26/$K$9)</f>
        <v>0.126623291330224</v>
      </c>
      <c r="G26" s="117" t="n">
        <f aca="false">G25+F26</f>
        <v>0.818073507204236</v>
      </c>
      <c r="H26" s="139" t="n">
        <v>2494.36</v>
      </c>
      <c r="L26" s="45" t="n">
        <f aca="false">C26/IF(B26&lt;='VALOR POR PL'!$P$5,IFERROR(INDEX('"INCC-FGV"'!$B$2:$B$800,MATCH(B26,'"INCC-FGV"'!$A$2:$A$800,0)),$K$2),$K$2)</f>
        <v>26.8888056245009</v>
      </c>
      <c r="M26" s="140" t="n">
        <f aca="false">'CP RESUMO'!Y11</f>
        <v>0</v>
      </c>
      <c r="N26" s="141" t="n">
        <f aca="false">MAX(0,M26-M25)</f>
        <v>0</v>
      </c>
      <c r="O26" s="140" t="n">
        <f aca="false">IF(B26&lt;='VALOR POR PL'!$P$5,'CP RESUMO'!Y53,"")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2008.49615767966</v>
      </c>
      <c r="E27" s="45" t="n">
        <f aca="false">L27+D27/$K$2</f>
        <v>1.54530372772417</v>
      </c>
      <c r="F27" s="117" t="n">
        <f aca="false">IF($K$9=0,0,E27/$K$9)</f>
        <v>0.00727705971183058</v>
      </c>
      <c r="G27" s="117" t="n">
        <f aca="false">G26+F27</f>
        <v>0.825350566916066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2008.49615767966</v>
      </c>
      <c r="E28" s="45" t="n">
        <f aca="false">L28+D28/$K$2</f>
        <v>1.54530372772417</v>
      </c>
      <c r="F28" s="117" t="n">
        <f aca="false">IF($K$9=0,0,E28/$K$9)</f>
        <v>0.00727705971183058</v>
      </c>
      <c r="G28" s="117" t="n">
        <f aca="false">G27+F28</f>
        <v>0.832627626627897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2008.49615767966</v>
      </c>
      <c r="E29" s="45" t="n">
        <f aca="false">L29+D29/$K$2</f>
        <v>1.54530372772417</v>
      </c>
      <c r="F29" s="117" t="n">
        <f aca="false">IF($K$9=0,0,E29/$K$9)</f>
        <v>0.00727705971183058</v>
      </c>
      <c r="G29" s="117" t="n">
        <f aca="false">G28+F29</f>
        <v>0.839904686339727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2008.49615767966</v>
      </c>
      <c r="E30" s="45" t="n">
        <f aca="false">L30+D30/$K$2</f>
        <v>1.54530372772417</v>
      </c>
      <c r="F30" s="117" t="n">
        <f aca="false">IF($K$9=0,0,E30/$K$9)</f>
        <v>0.00727705971183058</v>
      </c>
      <c r="G30" s="117" t="n">
        <f aca="false">G29+F30</f>
        <v>0.847181746051558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2008.49615767966</v>
      </c>
      <c r="E31" s="45" t="n">
        <f aca="false">L31+D31/$K$2</f>
        <v>1.54530372772417</v>
      </c>
      <c r="F31" s="117" t="n">
        <f aca="false">IF($K$9=0,0,E31/$K$9)</f>
        <v>0.00727705971183058</v>
      </c>
      <c r="G31" s="117" t="n">
        <f aca="false">G30+F31</f>
        <v>0.854458805763389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2008.49615767966</v>
      </c>
      <c r="E32" s="45" t="n">
        <f aca="false">L32+D32/$K$2</f>
        <v>1.54530372772417</v>
      </c>
      <c r="F32" s="117" t="n">
        <f aca="false">IF($K$9=0,0,E32/$K$9)</f>
        <v>0.00727705971183058</v>
      </c>
      <c r="G32" s="117" t="n">
        <f aca="false">G31+F32</f>
        <v>0.861735865475219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2008.49615767966</v>
      </c>
      <c r="E33" s="45" t="n">
        <f aca="false">L33+D33/$K$2</f>
        <v>1.54530372772417</v>
      </c>
      <c r="F33" s="117" t="n">
        <f aca="false">IF($K$9=0,0,E33/$K$9)</f>
        <v>0.00727705971183058</v>
      </c>
      <c r="G33" s="117" t="n">
        <f aca="false">G32+F33</f>
        <v>0.86901292518705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2008.49615767966</v>
      </c>
      <c r="E34" s="45" t="n">
        <f aca="false">L34+D34/$K$2</f>
        <v>1.54530372772417</v>
      </c>
      <c r="F34" s="117" t="n">
        <f aca="false">IF($K$9=0,0,E34/$K$9)</f>
        <v>0.00727705971183058</v>
      </c>
      <c r="G34" s="117" t="n">
        <f aca="false">G33+F34</f>
        <v>0.87628998489888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2008.49615767966</v>
      </c>
      <c r="E35" s="45" t="n">
        <f aca="false">L35+D35/$K$2</f>
        <v>1.54530372772417</v>
      </c>
      <c r="F35" s="117" t="n">
        <f aca="false">IF($K$9=0,0,E35/$K$9)</f>
        <v>0.00727705971183058</v>
      </c>
      <c r="G35" s="117" t="n">
        <f aca="false">G34+F35</f>
        <v>0.883567044610711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2008.49615767966</v>
      </c>
      <c r="E36" s="45" t="n">
        <f aca="false">L36+D36/$K$2</f>
        <v>1.54530372772417</v>
      </c>
      <c r="F36" s="117" t="n">
        <f aca="false">IF($K$9=0,0,E36/$K$9)</f>
        <v>0.00727705971183058</v>
      </c>
      <c r="G36" s="117" t="n">
        <f aca="false">G35+F36</f>
        <v>0.890844104322541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2008.49615767966</v>
      </c>
      <c r="E37" s="45" t="n">
        <f aca="false">L37+D37/$K$2</f>
        <v>1.54530372772417</v>
      </c>
      <c r="F37" s="117" t="n">
        <f aca="false">IF($K$9=0,0,E37/$K$9)</f>
        <v>0.00727705971183058</v>
      </c>
      <c r="G37" s="117" t="n">
        <f aca="false">G36+F37</f>
        <v>0.898121164034372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2008.49615767966</v>
      </c>
      <c r="E38" s="45" t="n">
        <f aca="false">L38+D38/$K$2</f>
        <v>1.54530372772417</v>
      </c>
      <c r="F38" s="117" t="n">
        <f aca="false">IF($K$9=0,0,E38/$K$9)</f>
        <v>0.00727705971183058</v>
      </c>
      <c r="G38" s="117" t="n">
        <f aca="false">G37+F38</f>
        <v>0.905398223746203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2008.49615767966</v>
      </c>
      <c r="E39" s="45" t="n">
        <f aca="false">L39+D39/$K$2</f>
        <v>1.54530372772417</v>
      </c>
      <c r="F39" s="117" t="n">
        <f aca="false">IF($K$9=0,0,E39/$K$9)</f>
        <v>0.00727705971183058</v>
      </c>
      <c r="G39" s="117" t="n">
        <f aca="false">G38+F39</f>
        <v>0.912675283458033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2008.49615767966</v>
      </c>
      <c r="E40" s="45" t="n">
        <f aca="false">L40+D40/$K$2</f>
        <v>1.54530372772417</v>
      </c>
      <c r="F40" s="117" t="n">
        <f aca="false">IF($K$9=0,0,E40/$K$9)</f>
        <v>0.00727705971183058</v>
      </c>
      <c r="G40" s="117" t="n">
        <f aca="false">G39+F40</f>
        <v>0.919952343169864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2008.49615767966</v>
      </c>
      <c r="E41" s="45" t="n">
        <f aca="false">L41+D41/$K$2</f>
        <v>1.54530372772417</v>
      </c>
      <c r="F41" s="117" t="n">
        <f aca="false">IF($K$9=0,0,E41/$K$9)</f>
        <v>0.00727705971183058</v>
      </c>
      <c r="G41" s="117" t="n">
        <f aca="false">G40+F41</f>
        <v>0.927229402881694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2008.49615767966</v>
      </c>
      <c r="E42" s="45" t="n">
        <f aca="false">L42+D42/$K$2</f>
        <v>1.54530372772417</v>
      </c>
      <c r="F42" s="117" t="n">
        <f aca="false">IF($K$9=0,0,E42/$K$9)</f>
        <v>0.00727705971183058</v>
      </c>
      <c r="G42" s="117" t="n">
        <f aca="false">G41+F42</f>
        <v>0.934506462593525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2008.49615767966</v>
      </c>
      <c r="E43" s="45" t="n">
        <f aca="false">L43+D43/$K$2</f>
        <v>1.54530372772417</v>
      </c>
      <c r="F43" s="117" t="n">
        <f aca="false">IF($K$9=0,0,E43/$K$9)</f>
        <v>0.00727705971183058</v>
      </c>
      <c r="G43" s="117" t="n">
        <f aca="false">G42+F43</f>
        <v>0.941783522305355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2008.49615767966</v>
      </c>
      <c r="E44" s="45" t="n">
        <f aca="false">L44+D44/$K$2</f>
        <v>1.54530372772417</v>
      </c>
      <c r="F44" s="117" t="n">
        <f aca="false">IF($K$9=0,0,E44/$K$9)</f>
        <v>0.00727705971183058</v>
      </c>
      <c r="G44" s="117" t="n">
        <f aca="false">G43+F44</f>
        <v>0.949060582017186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2008.49615767966</v>
      </c>
      <c r="E45" s="45" t="n">
        <f aca="false">L45+D45/$K$2</f>
        <v>1.54530372772417</v>
      </c>
      <c r="F45" s="117" t="n">
        <f aca="false">IF($K$9=0,0,E45/$K$9)</f>
        <v>0.00727705971183058</v>
      </c>
      <c r="G45" s="117" t="n">
        <f aca="false">G44+F45</f>
        <v>0.956337641729017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2008.49615767966</v>
      </c>
      <c r="E46" s="45" t="n">
        <f aca="false">L46+D46/$K$2</f>
        <v>1.54530372772417</v>
      </c>
      <c r="F46" s="117" t="n">
        <f aca="false">IF($K$9=0,0,E46/$K$9)</f>
        <v>0.00727705971183058</v>
      </c>
      <c r="G46" s="117" t="n">
        <f aca="false">G45+F46</f>
        <v>0.963614701440847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2008.49615767966</v>
      </c>
      <c r="E47" s="45" t="n">
        <f aca="false">L47+D47/$K$2</f>
        <v>1.54530372772417</v>
      </c>
      <c r="F47" s="117" t="n">
        <f aca="false">IF($K$9=0,0,E47/$K$9)</f>
        <v>0.00727705971183058</v>
      </c>
      <c r="G47" s="117" t="n">
        <f aca="false">G46+F47</f>
        <v>0.970891761152678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2008.49615767966</v>
      </c>
      <c r="E48" s="45" t="n">
        <f aca="false">L48+D48/$K$2</f>
        <v>1.54530372772417</v>
      </c>
      <c r="F48" s="117" t="n">
        <f aca="false">IF($K$9=0,0,E48/$K$9)</f>
        <v>0.00727705971183058</v>
      </c>
      <c r="G48" s="117" t="n">
        <f aca="false">G47+F48</f>
        <v>0.978168820864508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2008.49615767966</v>
      </c>
      <c r="E49" s="45" t="n">
        <f aca="false">L49+D49/$K$2</f>
        <v>1.54530372772417</v>
      </c>
      <c r="F49" s="117" t="n">
        <f aca="false">IF($K$9=0,0,E49/$K$9)</f>
        <v>0.00727705971183058</v>
      </c>
      <c r="G49" s="117" t="n">
        <f aca="false">G48+F49</f>
        <v>0.985445880576339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2008.49615767966</v>
      </c>
      <c r="E50" s="45" t="n">
        <f aca="false">L50+D50/$K$2</f>
        <v>1.54530372772417</v>
      </c>
      <c r="F50" s="117" t="n">
        <f aca="false">IF($K$9=0,0,E50/$K$9)</f>
        <v>0.00727705971183058</v>
      </c>
      <c r="G50" s="117" t="n">
        <f aca="false">G49+F50</f>
        <v>0.992722940288169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2008.49615767966</v>
      </c>
      <c r="E51" s="45" t="n">
        <f aca="false">L51+D51/$K$2</f>
        <v>1.54530372772417</v>
      </c>
      <c r="F51" s="117" t="n">
        <f aca="false">IF($K$9=0,0,E51/$K$9)</f>
        <v>0.00727705971183058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214922.14</v>
      </c>
      <c r="D78" s="61" t="n">
        <f aca="false">SUM(D5:D76)</f>
        <v>50212.4039419916</v>
      </c>
      <c r="E78" s="61" t="n">
        <f aca="false">SUM(E5:E76)</f>
        <v>212.352761818336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173.720168625232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0.0254407282028621</v>
      </c>
      <c r="G5" s="117" t="n">
        <f aca="false">F5</f>
        <v>0.0254407282028621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0.00233395253264448</v>
      </c>
      <c r="G6" s="117" t="n">
        <f aca="false">G5+F6</f>
        <v>0.0277746807355066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0.0127548440823485</v>
      </c>
      <c r="G7" s="117" t="n">
        <f aca="false">G6+F7</f>
        <v>0.0405295248178551</v>
      </c>
      <c r="H7" s="139"/>
      <c r="I7" s="42" t="s">
        <v>3278</v>
      </c>
      <c r="J7" s="45" t="n">
        <f aca="false">C78+D78</f>
        <v>798882.813282273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0.0130647267427595</v>
      </c>
      <c r="G8" s="117" t="n">
        <f aca="false">G7+F8</f>
        <v>0.0535942515606146</v>
      </c>
      <c r="H8" s="139"/>
      <c r="I8" s="42" t="s">
        <v>3279</v>
      </c>
      <c r="K8" s="66" t="n">
        <f aca="false">SUM(L5:L76)</f>
        <v>202.354237926301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0.00389753828954434</v>
      </c>
      <c r="G9" s="117" t="n">
        <f aca="false">G8+F9</f>
        <v>0.057491789850159</v>
      </c>
      <c r="H9" s="139"/>
      <c r="I9" s="42" t="s">
        <v>3280</v>
      </c>
      <c r="J9" s="45" t="n">
        <f aca="false">C78+D78</f>
        <v>798882.813282273</v>
      </c>
      <c r="K9" s="45" t="n">
        <f aca="false">E78</f>
        <v>622.939179616477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0.000593498988437941</v>
      </c>
      <c r="G10" s="117" t="n">
        <f aca="false">G9+F10</f>
        <v>0.0580852888385969</v>
      </c>
      <c r="H10" s="139"/>
      <c r="I10" s="42" t="s">
        <v>3281</v>
      </c>
      <c r="K10" s="52" t="n">
        <f aca="false">IF(K6-K8&gt;0,(K6-K8)*'VALOR POR PL'!$G$65,K6-K8)</f>
        <v>420.584941690177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0.0103649233899461</v>
      </c>
      <c r="G11" s="117" t="n">
        <f aca="false">G10+F11</f>
        <v>0.068450212228543</v>
      </c>
      <c r="H11" s="139"/>
      <c r="I11" s="42" t="s">
        <v>3282</v>
      </c>
      <c r="K11" s="56" t="n">
        <f aca="false">SUMPRODUCT((B5:B76&gt;'VALOR POR PL'!$P$5)*H5:H76)</f>
        <v>569366.22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0.000413062897399464</v>
      </c>
      <c r="G12" s="117" t="n">
        <f aca="false">G11+F12</f>
        <v>0.0688632751259425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0.00209565785490287</v>
      </c>
      <c r="G13" s="117" t="n">
        <f aca="false">G12+F13</f>
        <v>0.0709589329808454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0.00122339774684594</v>
      </c>
      <c r="G14" s="117" t="n">
        <f aca="false">G13+F14</f>
        <v>0.0721823307276913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0.00326974685076809</v>
      </c>
      <c r="G15" s="117" t="n">
        <f aca="false">G14+F15</f>
        <v>0.0754520775784594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0.0234715411754818</v>
      </c>
      <c r="G16" s="117" t="n">
        <f aca="false">G15+F16</f>
        <v>0.0989236187539412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0.0329772086219244</v>
      </c>
      <c r="G17" s="117" t="n">
        <f aca="false">G16+F17</f>
        <v>0.131900827375866</v>
      </c>
      <c r="H17" s="139"/>
      <c r="I17" s="42" t="s">
        <v>3289</v>
      </c>
      <c r="K17" s="45" t="n">
        <f aca="false">SUM(P5:P76)</f>
        <v>569366.22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0.0139861086178637</v>
      </c>
      <c r="G18" s="117" t="n">
        <f aca="false">G17+F18</f>
        <v>0.145886935993729</v>
      </c>
      <c r="H18" s="139"/>
      <c r="I18" s="42" t="s">
        <v>3290</v>
      </c>
      <c r="K18" s="45" t="n">
        <f aca="false">MAX(0,K10)*$K$2</f>
        <v>546651.913282273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0.0202615039573206</v>
      </c>
      <c r="G19" s="117" t="n">
        <f aca="false">G18+F19</f>
        <v>0.16614843995105</v>
      </c>
      <c r="H19" s="139"/>
      <c r="I19" s="42" t="s">
        <v>3291</v>
      </c>
      <c r="K19" s="143" t="n">
        <f aca="false">IF(AND(K16="PREVISÃO INFORMADA",K11&gt;0),K18/K11-1,"")</f>
        <v>-0.0398940188578919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0.0141272325856216</v>
      </c>
      <c r="G20" s="117" t="n">
        <f aca="false">G19+F20</f>
        <v>0.180275672536671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0.000448892599178696</v>
      </c>
      <c r="G21" s="117" t="n">
        <f aca="false">G20+F21</f>
        <v>0.18072456513585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1.17236004416561E-005</v>
      </c>
      <c r="G22" s="117" t="n">
        <f aca="false">G21+F22</f>
        <v>0.180736288736292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0.00728566161152147</v>
      </c>
      <c r="G23" s="117" t="n">
        <f aca="false">G22+F23</f>
        <v>0.188021950347813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0.0522330063494176</v>
      </c>
      <c r="G24" s="117" t="n">
        <f aca="false">G23+F24</f>
        <v>0.240254956697231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0.0236556911290929</v>
      </c>
      <c r="G25" s="117" t="n">
        <f aca="false">G24+F25</f>
        <v>0.263910647826324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0</v>
      </c>
      <c r="E26" s="45" t="n">
        <f aca="false">L26+D26/$K$2</f>
        <v>0.618715098842693</v>
      </c>
      <c r="F26" s="117" t="n">
        <f aca="false">IF($K$9=0,0,E26/$K$9)</f>
        <v>0.000993219112054592</v>
      </c>
      <c r="G26" s="117" t="n">
        <f aca="false">G25+F26</f>
        <v>0.264903866938378</v>
      </c>
      <c r="H26" s="139" t="n">
        <v>9977.45</v>
      </c>
      <c r="L26" s="45" t="n">
        <f aca="false">C26/IF(B26&lt;='VALOR POR PL'!$P$5,IFERROR(INDEX('"INCC-FGV"'!$B$2:$B$800,MATCH(B26,'"INCC-FGV"'!$A$2:$A$800,0)),$K$2),$K$2)</f>
        <v>0.618715098842693</v>
      </c>
      <c r="M26" s="140" t="n">
        <f aca="false">'CP RESUMO'!Y12</f>
        <v>0</v>
      </c>
      <c r="N26" s="141" t="n">
        <f aca="false">MAX(0,M26-M25)</f>
        <v>0</v>
      </c>
      <c r="O26" s="140" t="n">
        <f aca="false">IF(B26&lt;='VALOR POR PL'!$P$5,'CP RESUMO'!Y54,"")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48526.18</v>
      </c>
      <c r="D27" s="45" t="n">
        <f aca="false">IF(B27&lt;='VALOR POR PL'!$P$5,0,IF($K$17&gt;0,$K$18*P27/$K$17,0))</f>
        <v>9579.40942154633</v>
      </c>
      <c r="E27" s="45" t="n">
        <f aca="false">L27+D27/$K$2</f>
        <v>44.7054795655956</v>
      </c>
      <c r="F27" s="117" t="n">
        <f aca="false">IF($K$9=0,0,E27/$K$9)</f>
        <v>0.0717654002644676</v>
      </c>
      <c r="G27" s="117" t="n">
        <f aca="false">G26+F27</f>
        <v>0.336669267202846</v>
      </c>
      <c r="H27" s="139" t="n">
        <v>9977.45</v>
      </c>
      <c r="L27" s="45" t="n">
        <f aca="false">C27/IF(B27&lt;='VALOR POR PL'!$P$5,IFERROR(INDEX('"INCC-FGV"'!$B$2:$B$800,MATCH(B27,'"INCC-FGV"'!$A$2:$A$800,0)),$K$2),$K$2)</f>
        <v>37.3352403784751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8381.98444398551</v>
      </c>
      <c r="E28" s="45" t="n">
        <f aca="false">L28+D28/$K$2</f>
        <v>6.44896021209249</v>
      </c>
      <c r="F28" s="117" t="n">
        <f aca="false">IF($K$9=0,0,E28/$K$9)</f>
        <v>0.0103524716747836</v>
      </c>
      <c r="G28" s="117" t="n">
        <f aca="false">G27+F28</f>
        <v>0.347021738877629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11974.259376668</v>
      </c>
      <c r="E29" s="45" t="n">
        <f aca="false">L29+D29/$K$2</f>
        <v>9.21279713717642</v>
      </c>
      <c r="F29" s="117" t="n">
        <f aca="false">IF($K$9=0,0,E29/$K$9)</f>
        <v>0.0147892401676331</v>
      </c>
      <c r="G29" s="117" t="n">
        <f aca="false">G28+F29</f>
        <v>0.361810979045263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32378.3932836608</v>
      </c>
      <c r="E30" s="45" t="n">
        <f aca="false">L30+D30/$K$2</f>
        <v>24.9114003268809</v>
      </c>
      <c r="F30" s="117" t="n">
        <f aca="false">IF($K$9=0,0,E30/$K$9)</f>
        <v>0.0399901003854308</v>
      </c>
      <c r="G30" s="117" t="n">
        <f aca="false">G29+F30</f>
        <v>0.401801079430693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40365.2269089877</v>
      </c>
      <c r="E31" s="45" t="n">
        <f aca="false">L31+D31/$K$2</f>
        <v>31.0563380340003</v>
      </c>
      <c r="F31" s="117" t="n">
        <f aca="false">IF($K$9=0,0,E31/$K$9)</f>
        <v>0.0498545268145129</v>
      </c>
      <c r="G31" s="117" t="n">
        <f aca="false">G30+F31</f>
        <v>0.451655606245206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45633.9044911031</v>
      </c>
      <c r="E32" s="45" t="n">
        <f aca="false">L32+D32/$K$2</f>
        <v>35.1099714336407</v>
      </c>
      <c r="F32" s="117" t="n">
        <f aca="false">IF($K$9=0,0,E32/$K$9)</f>
        <v>0.0563617967571999</v>
      </c>
      <c r="G32" s="117" t="n">
        <f aca="false">G31+F32</f>
        <v>0.508017403002406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40437.0716395565</v>
      </c>
      <c r="E33" s="45" t="n">
        <f aca="false">L33+D33/$K$2</f>
        <v>31.1116141815503</v>
      </c>
      <c r="F33" s="117" t="n">
        <f aca="false">IF($K$9=0,0,E33/$K$9)</f>
        <v>0.0499432612357191</v>
      </c>
      <c r="G33" s="117" t="n">
        <f aca="false">G32+F33</f>
        <v>0.557960664238125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34964.8419883791</v>
      </c>
      <c r="E34" s="45" t="n">
        <f aca="false">L34+D34/$K$2</f>
        <v>26.9013711862655</v>
      </c>
      <c r="F34" s="117" t="n">
        <f aca="false">IF($K$9=0,0,E34/$K$9)</f>
        <v>0.0431845869813933</v>
      </c>
      <c r="G34" s="117" t="n">
        <f aca="false">G33+F34</f>
        <v>0.601145251219519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42233.2091058977</v>
      </c>
      <c r="E35" s="45" t="n">
        <f aca="false">L35+D35/$K$2</f>
        <v>32.4935326440922</v>
      </c>
      <c r="F35" s="117" t="n">
        <f aca="false">IF($K$9=0,0,E35/$K$9)</f>
        <v>0.0521616454821439</v>
      </c>
      <c r="G35" s="117" t="n">
        <f aca="false">G34+F35</f>
        <v>0.653306896701662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37084.2855428102</v>
      </c>
      <c r="E36" s="45" t="n">
        <f aca="false">L36+D36/$K$2</f>
        <v>28.5320360062306</v>
      </c>
      <c r="F36" s="117" t="n">
        <f aca="false">IF($K$9=0,0,E36/$K$9)</f>
        <v>0.0458022820523133</v>
      </c>
      <c r="G36" s="117" t="n">
        <f aca="false">G35+F36</f>
        <v>0.699109178753976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30666.0826705331</v>
      </c>
      <c r="E37" s="45" t="n">
        <f aca="false">L37+D37/$K$2</f>
        <v>23.5939768588944</v>
      </c>
      <c r="F37" s="117" t="n">
        <f aca="false">IF($K$9=0,0,E37/$K$9)</f>
        <v>0.0378752495121922</v>
      </c>
      <c r="G37" s="117" t="n">
        <f aca="false">G36+F37</f>
        <v>0.736984428266168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34952.8598657345</v>
      </c>
      <c r="E38" s="45" t="n">
        <f aca="false">L38+D38/$K$2</f>
        <v>26.89215233926</v>
      </c>
      <c r="F38" s="117" t="n">
        <f aca="false">IF($K$9=0,0,E38/$K$9)</f>
        <v>0.0431697880294134</v>
      </c>
      <c r="G38" s="117" t="n">
        <f aca="false">G37+F38</f>
        <v>0.780154216295581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35922.7781300039</v>
      </c>
      <c r="E39" s="45" t="n">
        <f aca="false">L39+D39/$K$2</f>
        <v>27.6383914115293</v>
      </c>
      <c r="F39" s="117" t="n">
        <f aca="false">IF($K$9=0,0,E39/$K$9)</f>
        <v>0.0443677205028993</v>
      </c>
      <c r="G39" s="117" t="n">
        <f aca="false">G38+F39</f>
        <v>0.82452193679848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35922.7781300039</v>
      </c>
      <c r="E40" s="45" t="n">
        <f aca="false">L40+D40/$K$2</f>
        <v>27.6383914115293</v>
      </c>
      <c r="F40" s="117" t="n">
        <f aca="false">IF($K$9=0,0,E40/$K$9)</f>
        <v>0.0443677205028993</v>
      </c>
      <c r="G40" s="117" t="n">
        <f aca="false">G39+F40</f>
        <v>0.86888965730138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34689.4259866287</v>
      </c>
      <c r="E41" s="45" t="n">
        <f aca="false">L41+D41/$K$2</f>
        <v>26.689470669278</v>
      </c>
      <c r="F41" s="117" t="n">
        <f aca="false">IF($K$9=0,0,E41/$K$9)</f>
        <v>0.0428444245322791</v>
      </c>
      <c r="G41" s="117" t="n">
        <f aca="false">G40+F41</f>
        <v>0.911734081833659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35922.7781300039</v>
      </c>
      <c r="E42" s="45" t="n">
        <f aca="false">L42+D42/$K$2</f>
        <v>27.6383914115293</v>
      </c>
      <c r="F42" s="117" t="n">
        <f aca="false">IF($K$9=0,0,E42/$K$9)</f>
        <v>0.0443677205028993</v>
      </c>
      <c r="G42" s="117" t="n">
        <f aca="false">G41+F42</f>
        <v>0.956101802336558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35542.6241667707</v>
      </c>
      <c r="E43" s="45" t="n">
        <f aca="false">L43+D43/$K$2</f>
        <v>27.3459072391064</v>
      </c>
      <c r="F43" s="117" t="n">
        <f aca="false">IF($K$9=0,0,E43/$K$9)</f>
        <v>0.0438981976634418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252230.9</v>
      </c>
      <c r="D78" s="61" t="n">
        <f aca="false">SUM(D5:D76)</f>
        <v>546651.913282273</v>
      </c>
      <c r="E78" s="61" t="n">
        <f aca="false">SUM(E5:E76)</f>
        <v>622.939179616477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202.354237926301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0.0199420500537607</v>
      </c>
      <c r="G5" s="117" t="n">
        <f aca="false">F5</f>
        <v>0.0199420500537607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0.0044160715815816</v>
      </c>
      <c r="G6" s="117" t="n">
        <f aca="false">G5+F6</f>
        <v>0.0243581216353423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0.0419114091812746</v>
      </c>
      <c r="G7" s="117" t="n">
        <f aca="false">G6+F7</f>
        <v>0.0662695308166169</v>
      </c>
      <c r="H7" s="139"/>
      <c r="I7" s="42" t="s">
        <v>3278</v>
      </c>
      <c r="J7" s="45" t="n">
        <f aca="false">C78+D78</f>
        <v>901409.023979448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0.005825605165889</v>
      </c>
      <c r="G8" s="117" t="n">
        <f aca="false">G7+F8</f>
        <v>0.0720951359825059</v>
      </c>
      <c r="H8" s="139"/>
      <c r="I8" s="42" t="s">
        <v>3279</v>
      </c>
      <c r="K8" s="66" t="n">
        <f aca="false">SUM(L5:L76)</f>
        <v>345.218471512939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0.143490280393533</v>
      </c>
      <c r="G9" s="117" t="n">
        <f aca="false">G8+F9</f>
        <v>0.215585416376039</v>
      </c>
      <c r="H9" s="139"/>
      <c r="I9" s="42" t="s">
        <v>3280</v>
      </c>
      <c r="J9" s="45" t="n">
        <f aca="false">C78+D78</f>
        <v>901409.023979448</v>
      </c>
      <c r="K9" s="45" t="n">
        <f aca="false">E78</f>
        <v>715.471932568632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0.0160615156042021</v>
      </c>
      <c r="G10" s="117" t="n">
        <f aca="false">G9+F10</f>
        <v>0.231646931980241</v>
      </c>
      <c r="H10" s="139"/>
      <c r="I10" s="42" t="s">
        <v>3281</v>
      </c>
      <c r="K10" s="52" t="n">
        <f aca="false">IF(K6-K8&gt;0,(K6-K8)*'VALOR POR PL'!$G$65,K6-K8)</f>
        <v>370.253461055693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0.0267080503168966</v>
      </c>
      <c r="G11" s="117" t="n">
        <f aca="false">G10+F11</f>
        <v>0.258354982297137</v>
      </c>
      <c r="H11" s="139"/>
      <c r="I11" s="42" t="s">
        <v>3282</v>
      </c>
      <c r="K11" s="56" t="n">
        <f aca="false">SUMPRODUCT((B5:B76&gt;'VALOR POR PL'!$P$5)*H5:H76)</f>
        <v>395645.83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0.0102132417663013</v>
      </c>
      <c r="G12" s="117" t="n">
        <f aca="false">G11+F12</f>
        <v>0.268568224063439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0.0207691620073573</v>
      </c>
      <c r="G13" s="117" t="n">
        <f aca="false">G12+F13</f>
        <v>0.289337386070796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0.0111158261645522</v>
      </c>
      <c r="G14" s="117" t="n">
        <f aca="false">G13+F14</f>
        <v>0.300453212235348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0.00822592892960361</v>
      </c>
      <c r="G15" s="117" t="n">
        <f aca="false">G14+F15</f>
        <v>0.308679141164952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0.00138043300494686</v>
      </c>
      <c r="G16" s="117" t="n">
        <f aca="false">G15+F16</f>
        <v>0.310059574169899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0.0131568411020412</v>
      </c>
      <c r="G17" s="117" t="n">
        <f aca="false">G16+F17</f>
        <v>0.32321641527194</v>
      </c>
      <c r="H17" s="139"/>
      <c r="I17" s="42" t="s">
        <v>3289</v>
      </c>
      <c r="K17" s="45" t="n">
        <f aca="false">SUM(P5:P76)</f>
        <v>395645.83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0.0200172747272221</v>
      </c>
      <c r="G18" s="117" t="n">
        <f aca="false">G17+F18</f>
        <v>0.343233689999162</v>
      </c>
      <c r="H18" s="139"/>
      <c r="I18" s="42" t="s">
        <v>3290</v>
      </c>
      <c r="K18" s="45" t="n">
        <f aca="false">MAX(0,K10)*$K$2</f>
        <v>481233.973979448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0.00828790630559629</v>
      </c>
      <c r="G19" s="117" t="n">
        <f aca="false">G18+F19</f>
        <v>0.351521596304758</v>
      </c>
      <c r="H19" s="139"/>
      <c r="I19" s="42" t="s">
        <v>3291</v>
      </c>
      <c r="K19" s="143" t="n">
        <f aca="false">IF(AND(K16="PREVISÃO INFORMADA",K11&gt;0),K18/K11-1,"")</f>
        <v>0.216325151157155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0.0172027281536771</v>
      </c>
      <c r="G20" s="117" t="n">
        <f aca="false">G19+F20</f>
        <v>0.368724324458435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0.00559545557362921</v>
      </c>
      <c r="G21" s="117" t="n">
        <f aca="false">G20+F21</f>
        <v>0.374319780032064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0.0158096173749267</v>
      </c>
      <c r="G22" s="117" t="n">
        <f aca="false">G21+F22</f>
        <v>0.390129397406991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0.0166571007928607</v>
      </c>
      <c r="G23" s="117" t="n">
        <f aca="false">G22+F23</f>
        <v>0.406786498199852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0.0292627469895408</v>
      </c>
      <c r="G24" s="117" t="n">
        <f aca="false">G23+F24</f>
        <v>0.436049245189393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0.0266419746218197</v>
      </c>
      <c r="G25" s="117" t="n">
        <f aca="false">G24+F25</f>
        <v>0.462691219811212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0</v>
      </c>
      <c r="E26" s="45" t="n">
        <f aca="false">L26+D26/$K$2</f>
        <v>12.8688924417307</v>
      </c>
      <c r="F26" s="117" t="n">
        <f aca="false">IF($K$9=0,0,E26/$K$9)</f>
        <v>0.0179865790060133</v>
      </c>
      <c r="G26" s="117" t="n">
        <f aca="false">G25+F26</f>
        <v>0.480677798817226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12.8688924417307</v>
      </c>
      <c r="M26" s="140" t="n">
        <f aca="false">'CP RESUMO'!Y13</f>
        <v>0</v>
      </c>
      <c r="N26" s="141" t="n">
        <f aca="false">MAX(0,M26-M25)</f>
        <v>0</v>
      </c>
      <c r="O26" s="140" t="n">
        <f aca="false">IF(B26&lt;='VALOR POR PL'!$P$5,'CP RESUMO'!Y55,"")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4550.92920606054</v>
      </c>
      <c r="E27" s="45" t="n">
        <f aca="false">L27+D27/$K$2</f>
        <v>4.80840751938503</v>
      </c>
      <c r="F27" s="117" t="n">
        <f aca="false">IF($K$9=0,0,E27/$K$9)</f>
        <v>0.00672060957321172</v>
      </c>
      <c r="G27" s="117" t="n">
        <f aca="false">G26+F27</f>
        <v>0.487398408390437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1.30699785034261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4550.92920606054</v>
      </c>
      <c r="E28" s="45" t="n">
        <f aca="false">L28+D28/$K$2</f>
        <v>3.50140966904243</v>
      </c>
      <c r="F28" s="117" t="n">
        <f aca="false">IF($K$9=0,0,E28/$K$9)</f>
        <v>0.00489384629872473</v>
      </c>
      <c r="G28" s="117" t="n">
        <f aca="false">G27+F28</f>
        <v>0.492292254689162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4550.92920606054</v>
      </c>
      <c r="E29" s="45" t="n">
        <f aca="false">L29+D29/$K$2</f>
        <v>3.50140966904243</v>
      </c>
      <c r="F29" s="117" t="n">
        <f aca="false">IF($K$9=0,0,E29/$K$9)</f>
        <v>0.00489384629872473</v>
      </c>
      <c r="G29" s="117" t="n">
        <f aca="false">G28+F29</f>
        <v>0.497186100987887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4550.92920606054</v>
      </c>
      <c r="E30" s="45" t="n">
        <f aca="false">L30+D30/$K$2</f>
        <v>3.50140966904243</v>
      </c>
      <c r="F30" s="117" t="n">
        <f aca="false">IF($K$9=0,0,E30/$K$9)</f>
        <v>0.00489384629872473</v>
      </c>
      <c r="G30" s="117" t="n">
        <f aca="false">G29+F30</f>
        <v>0.502079947286612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4550.92920606054</v>
      </c>
      <c r="E31" s="45" t="n">
        <f aca="false">L31+D31/$K$2</f>
        <v>3.50140966904243</v>
      </c>
      <c r="F31" s="117" t="n">
        <f aca="false">IF($K$9=0,0,E31/$K$9)</f>
        <v>0.00489384629872473</v>
      </c>
      <c r="G31" s="117" t="n">
        <f aca="false">G30+F31</f>
        <v>0.506973793585336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4550.92920606054</v>
      </c>
      <c r="E32" s="45" t="n">
        <f aca="false">L32+D32/$K$2</f>
        <v>3.50140966904243</v>
      </c>
      <c r="F32" s="117" t="n">
        <f aca="false">IF($K$9=0,0,E32/$K$9)</f>
        <v>0.00489384629872473</v>
      </c>
      <c r="G32" s="117" t="n">
        <f aca="false">G31+F32</f>
        <v>0.511867639884061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4550.92920606054</v>
      </c>
      <c r="E33" s="45" t="n">
        <f aca="false">L33+D33/$K$2</f>
        <v>3.50140966904243</v>
      </c>
      <c r="F33" s="117" t="n">
        <f aca="false">IF($K$9=0,0,E33/$K$9)</f>
        <v>0.00489384629872473</v>
      </c>
      <c r="G33" s="117" t="n">
        <f aca="false">G32+F33</f>
        <v>0.516761486182786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4550.92920606054</v>
      </c>
      <c r="E34" s="45" t="n">
        <f aca="false">L34+D34/$K$2</f>
        <v>3.50140966904243</v>
      </c>
      <c r="F34" s="117" t="n">
        <f aca="false">IF($K$9=0,0,E34/$K$9)</f>
        <v>0.00489384629872473</v>
      </c>
      <c r="G34" s="117" t="n">
        <f aca="false">G33+F34</f>
        <v>0.52165533248151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4550.92920606054</v>
      </c>
      <c r="E35" s="45" t="n">
        <f aca="false">L35+D35/$K$2</f>
        <v>3.50140966904243</v>
      </c>
      <c r="F35" s="117" t="n">
        <f aca="false">IF($K$9=0,0,E35/$K$9)</f>
        <v>0.00489384629872473</v>
      </c>
      <c r="G35" s="117" t="n">
        <f aca="false">G34+F35</f>
        <v>0.526549178780235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4550.92920606054</v>
      </c>
      <c r="E36" s="45" t="n">
        <f aca="false">L36+D36/$K$2</f>
        <v>3.50140966904243</v>
      </c>
      <c r="F36" s="117" t="n">
        <f aca="false">IF($K$9=0,0,E36/$K$9)</f>
        <v>0.00489384629872473</v>
      </c>
      <c r="G36" s="117" t="n">
        <f aca="false">G35+F36</f>
        <v>0.53144302507896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4550.92920606054</v>
      </c>
      <c r="E37" s="45" t="n">
        <f aca="false">L37+D37/$K$2</f>
        <v>3.50140966904243</v>
      </c>
      <c r="F37" s="117" t="n">
        <f aca="false">IF($K$9=0,0,E37/$K$9)</f>
        <v>0.00489384629872473</v>
      </c>
      <c r="G37" s="117" t="n">
        <f aca="false">G36+F37</f>
        <v>0.536336871377685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4550.92920606054</v>
      </c>
      <c r="E38" s="45" t="n">
        <f aca="false">L38+D38/$K$2</f>
        <v>3.50140966904243</v>
      </c>
      <c r="F38" s="117" t="n">
        <f aca="false">IF($K$9=0,0,E38/$K$9)</f>
        <v>0.00489384629872473</v>
      </c>
      <c r="G38" s="117" t="n">
        <f aca="false">G37+F38</f>
        <v>0.541230717676409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101258.253895982</v>
      </c>
      <c r="E39" s="45" t="n">
        <f aca="false">L39+D39/$K$2</f>
        <v>77.9064259645237</v>
      </c>
      <c r="F39" s="117" t="n">
        <f aca="false">IF($K$9=0,0,E39/$K$9)</f>
        <v>0.108888165165096</v>
      </c>
      <c r="G39" s="117" t="n">
        <f aca="false">G38+F39</f>
        <v>0.650118882841505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101258.253895982</v>
      </c>
      <c r="E40" s="45" t="n">
        <f aca="false">L40+D40/$K$2</f>
        <v>77.9064259645237</v>
      </c>
      <c r="F40" s="117" t="n">
        <f aca="false">IF($K$9=0,0,E40/$K$9)</f>
        <v>0.108888165165096</v>
      </c>
      <c r="G40" s="117" t="n">
        <f aca="false">G39+F40</f>
        <v>0.759007048006601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101258.253895982</v>
      </c>
      <c r="E41" s="45" t="n">
        <f aca="false">L41+D41/$K$2</f>
        <v>77.9064259645237</v>
      </c>
      <c r="F41" s="117" t="n">
        <f aca="false">IF($K$9=0,0,E41/$K$9)</f>
        <v>0.108888165165096</v>
      </c>
      <c r="G41" s="117" t="n">
        <f aca="false">G40+F41</f>
        <v>0.867895213171697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101258.253895982</v>
      </c>
      <c r="E42" s="45" t="n">
        <f aca="false">L42+D42/$K$2</f>
        <v>77.9064259645237</v>
      </c>
      <c r="F42" s="117" t="n">
        <f aca="false">IF($K$9=0,0,E42/$K$9)</f>
        <v>0.108888165165096</v>
      </c>
      <c r="G42" s="117" t="n">
        <f aca="false">G41+F42</f>
        <v>0.976783378336793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21589.807922794</v>
      </c>
      <c r="E43" s="45" t="n">
        <f aca="false">L43+D43/$K$2</f>
        <v>16.610841169089</v>
      </c>
      <c r="F43" s="117" t="n">
        <f aca="false">IF($K$9=0,0,E43/$K$9)</f>
        <v>0.0232166216632063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481233.973979448</v>
      </c>
      <c r="E78" s="61" t="n">
        <f aca="false">SUM(E5:E76)</f>
        <v>715.471932568632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345.218471512939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0.0519592634146321</v>
      </c>
      <c r="G5" s="117" t="n">
        <f aca="false">F5</f>
        <v>0.0519592634146321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0.0111259639463875</v>
      </c>
      <c r="G6" s="117" t="n">
        <f aca="false">G5+F6</f>
        <v>0.0630852273610196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0.0136583962839783</v>
      </c>
      <c r="G7" s="117" t="n">
        <f aca="false">G6+F7</f>
        <v>0.0767436236449978</v>
      </c>
      <c r="H7" s="139"/>
      <c r="I7" s="42" t="s">
        <v>3278</v>
      </c>
      <c r="J7" s="45" t="n">
        <f aca="false">C78+D78</f>
        <v>16670129.2081007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0.0228180466358674</v>
      </c>
      <c r="G8" s="117" t="n">
        <f aca="false">G7+F8</f>
        <v>0.0995616702808652</v>
      </c>
      <c r="H8" s="139"/>
      <c r="I8" s="42" t="s">
        <v>3279</v>
      </c>
      <c r="K8" s="66" t="n">
        <f aca="false">SUM(L5:L76)</f>
        <v>6128.80134377822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0.0141428082324161</v>
      </c>
      <c r="G9" s="117" t="n">
        <f aca="false">G8+F9</f>
        <v>0.113704478513281</v>
      </c>
      <c r="H9" s="139"/>
      <c r="I9" s="42" t="s">
        <v>3280</v>
      </c>
      <c r="J9" s="45" t="n">
        <f aca="false">C78+D78</f>
        <v>16670129.2081007</v>
      </c>
      <c r="K9" s="45" t="n">
        <f aca="false">E78</f>
        <v>13143.1183452298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0.0132930348710537</v>
      </c>
      <c r="G10" s="117" t="n">
        <f aca="false">G9+F10</f>
        <v>0.126997513384335</v>
      </c>
      <c r="H10" s="139"/>
      <c r="I10" s="42" t="s">
        <v>3281</v>
      </c>
      <c r="K10" s="52" t="n">
        <f aca="false">IF(K6-K8&gt;0,(K6-K8)*'VALOR POR PL'!$G$65,K6-K8)</f>
        <v>7014.31700145161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0.0131362605134488</v>
      </c>
      <c r="G11" s="117" t="n">
        <f aca="false">G10+F11</f>
        <v>0.140133773897784</v>
      </c>
      <c r="H11" s="139"/>
      <c r="I11" s="42" t="s">
        <v>3282</v>
      </c>
      <c r="K11" s="56" t="n">
        <f aca="false">SUMPRODUCT((B5:B76&gt;'VALOR POR PL'!$P$5)*H5:H76)</f>
        <v>9452862.74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0.0141330316888714</v>
      </c>
      <c r="G12" s="117" t="n">
        <f aca="false">G11+F12</f>
        <v>0.154266805586655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0.0140862791495615</v>
      </c>
      <c r="G13" s="117" t="n">
        <f aca="false">G12+F13</f>
        <v>0.168353084736217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0.0141974920948881</v>
      </c>
      <c r="G14" s="117" t="n">
        <f aca="false">G13+F14</f>
        <v>0.182550576831105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0.0163546912475062</v>
      </c>
      <c r="G15" s="117" t="n">
        <f aca="false">G14+F15</f>
        <v>0.198905268078611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0.0169926807825431</v>
      </c>
      <c r="G16" s="117" t="n">
        <f aca="false">G15+F16</f>
        <v>0.215897948861154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0.0196998811916174</v>
      </c>
      <c r="G17" s="117" t="n">
        <f aca="false">G16+F17</f>
        <v>0.235597830052772</v>
      </c>
      <c r="H17" s="139"/>
      <c r="I17" s="42" t="s">
        <v>3289</v>
      </c>
      <c r="K17" s="45" t="n">
        <f aca="false">SUM(P5:P76)</f>
        <v>9452862.74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0.0188691263658528</v>
      </c>
      <c r="G18" s="117" t="n">
        <f aca="false">G17+F18</f>
        <v>0.254466956418624</v>
      </c>
      <c r="H18" s="139"/>
      <c r="I18" s="42" t="s">
        <v>3290</v>
      </c>
      <c r="K18" s="45" t="n">
        <f aca="false">MAX(0,K10)*$K$2</f>
        <v>9116802.40810071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0.0162687291096916</v>
      </c>
      <c r="G19" s="117" t="n">
        <f aca="false">G18+F19</f>
        <v>0.270735685528316</v>
      </c>
      <c r="H19" s="139"/>
      <c r="I19" s="42" t="s">
        <v>3291</v>
      </c>
      <c r="K19" s="143" t="n">
        <f aca="false">IF(AND(K16="PREVISÃO INFORMADA",K11&gt;0),K18/K11-1,"")</f>
        <v>-0.0355511701737973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0.019532202844898</v>
      </c>
      <c r="G20" s="117" t="n">
        <f aca="false">G19+F20</f>
        <v>0.290267888373214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0.018764986204888</v>
      </c>
      <c r="G21" s="117" t="n">
        <f aca="false">G20+F21</f>
        <v>0.309032874578102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0.024634555559572</v>
      </c>
      <c r="G22" s="117" t="n">
        <f aca="false">G21+F22</f>
        <v>0.333667430137674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0.0240864165795394</v>
      </c>
      <c r="G23" s="117" t="n">
        <f aca="false">G22+F23</f>
        <v>0.357753846717213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0.025055645572311</v>
      </c>
      <c r="G24" s="117" t="n">
        <f aca="false">G23+F24</f>
        <v>0.382809492289524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0.0263086871857291</v>
      </c>
      <c r="G25" s="117" t="n">
        <f aca="false">G24+F25</f>
        <v>0.409118179475253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448965.97</v>
      </c>
      <c r="D26" s="45" t="n">
        <f aca="false">IF(B26&lt;='VALOR POR PL'!$P$5,0,IF($K$17&gt;0,$K$18*P26/$K$17,0))</f>
        <v>0</v>
      </c>
      <c r="E26" s="45" t="n">
        <f aca="false">L26+D26/$K$2</f>
        <v>345.426992433883</v>
      </c>
      <c r="F26" s="117" t="n">
        <f aca="false">IF($K$9=0,0,E26/$K$9)</f>
        <v>0.0262819662244959</v>
      </c>
      <c r="G26" s="117" t="n">
        <f aca="false">G25+F26</f>
        <v>0.435400145699749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345.426992433883</v>
      </c>
      <c r="M26" s="140" t="n">
        <f aca="false">'CP RESUMO'!Y14</f>
        <v>0</v>
      </c>
      <c r="N26" s="141" t="n">
        <f aca="false">MAX(0,M26-M25)</f>
        <v>0</v>
      </c>
      <c r="O26" s="140" t="n">
        <f aca="false">IF(B26&lt;='VALOR POR PL'!$P$5,'CP RESUMO'!Y56,"")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290769.21</v>
      </c>
      <c r="D27" s="45" t="n">
        <f aca="false">IF(B27&lt;='VALOR POR PL'!$P$5,0,IF($K$17&gt;0,$K$18*P27/$K$17,0))</f>
        <v>313915.594851594</v>
      </c>
      <c r="E27" s="45" t="n">
        <f aca="false">L27+D27/$K$2</f>
        <v>465.234488730528</v>
      </c>
      <c r="F27" s="117" t="n">
        <f aca="false">IF($K$9=0,0,E27/$K$9)</f>
        <v>0.0353975728217787</v>
      </c>
      <c r="G27" s="117" t="n">
        <f aca="false">G26+F27</f>
        <v>0.470797718521528</v>
      </c>
      <c r="H27" s="139" t="n">
        <v>325487.04</v>
      </c>
      <c r="L27" s="45" t="n">
        <f aca="false">C27/IF(B27&lt;='VALOR POR PL'!$P$5,IFERROR(INDEX('"INCC-FGV"'!$B$2:$B$800,MATCH(B27,'"INCC-FGV"'!$A$2:$A$800,0)),$K$2),$K$2)</f>
        <v>223.713021507345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365918.897579054</v>
      </c>
      <c r="E28" s="45" t="n">
        <f aca="false">L28+D28/$K$2</f>
        <v>377.132767563912</v>
      </c>
      <c r="F28" s="117" t="n">
        <f aca="false">IF($K$9=0,0,E28/$K$9)</f>
        <v>0.0286943142150728</v>
      </c>
      <c r="G28" s="117" t="n">
        <f aca="false">G27+F28</f>
        <v>0.499492032736601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95.6008192395106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429665.107435247</v>
      </c>
      <c r="E29" s="45" t="n">
        <f aca="false">L29+D29/$K$2</f>
        <v>399.569458735077</v>
      </c>
      <c r="F29" s="117" t="n">
        <f aca="false">IF($K$9=0,0,E29/$K$9)</f>
        <v>0.0304014198335281</v>
      </c>
      <c r="G29" s="117" t="n">
        <f aca="false">G28+F29</f>
        <v>0.529893452570129</v>
      </c>
      <c r="H29" s="139" t="n">
        <v>445503.27</v>
      </c>
      <c r="L29" s="45" t="n">
        <f aca="false">C29/IF(B29&lt;='VALOR POR PL'!$P$5,IFERROR(INDEX('"INCC-FGV"'!$B$2:$B$800,MATCH(B29,'"INCC-FGV"'!$A$2:$A$800,0)),$K$2),$K$2)</f>
        <v>68.9922307657981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506926.167677259</v>
      </c>
      <c r="E30" s="45" t="n">
        <f aca="false">L30+D30/$K$2</f>
        <v>390.020609995875</v>
      </c>
      <c r="F30" s="117" t="n">
        <f aca="false">IF($K$9=0,0,E30/$K$9)</f>
        <v>0.0296748914337692</v>
      </c>
      <c r="G30" s="117" t="n">
        <f aca="false">G29+F30</f>
        <v>0.559568344003898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434466.789535326</v>
      </c>
      <c r="E31" s="45" t="n">
        <f aca="false">L31+D31/$K$2</f>
        <v>341.012554441825</v>
      </c>
      <c r="F31" s="117" t="n">
        <f aca="false">IF($K$9=0,0,E31/$K$9)</f>
        <v>0.025946091748127</v>
      </c>
      <c r="G31" s="117" t="n">
        <f aca="false">G30+F31</f>
        <v>0.585514435752025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6.74099167373217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413401.36570568</v>
      </c>
      <c r="E32" s="45" t="n">
        <f aca="false">L32+D32/$K$2</f>
        <v>324.728781331741</v>
      </c>
      <c r="F32" s="117" t="n">
        <f aca="false">IF($K$9=0,0,E32/$K$9)</f>
        <v>0.0247071336346597</v>
      </c>
      <c r="G32" s="117" t="n">
        <f aca="false">G31+F32</f>
        <v>0.610221569386685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6.66460728359936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405130.647965111</v>
      </c>
      <c r="E33" s="45" t="n">
        <f aca="false">L33+D33/$K$2</f>
        <v>311.700820597558</v>
      </c>
      <c r="F33" s="117" t="n">
        <f aca="false">IF($K$9=0,0,E33/$K$9)</f>
        <v>0.0237158954526714</v>
      </c>
      <c r="G33" s="117" t="n">
        <f aca="false">G32+F33</f>
        <v>0.633937464839356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392036.181535236</v>
      </c>
      <c r="E34" s="45" t="n">
        <f aca="false">L34+D34/$K$2</f>
        <v>301.626154679341</v>
      </c>
      <c r="F34" s="117" t="n">
        <f aca="false">IF($K$9=0,0,E34/$K$9)</f>
        <v>0.0229493600191779</v>
      </c>
      <c r="G34" s="117" t="n">
        <f aca="false">G33+F34</f>
        <v>0.656886824858534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392036.181535236</v>
      </c>
      <c r="E35" s="45" t="n">
        <f aca="false">L35+D35/$K$2</f>
        <v>301.626154679341</v>
      </c>
      <c r="F35" s="117" t="n">
        <f aca="false">IF($K$9=0,0,E35/$K$9)</f>
        <v>0.0229493600191779</v>
      </c>
      <c r="G35" s="117" t="n">
        <f aca="false">G34+F35</f>
        <v>0.679836184877712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389865.766599619</v>
      </c>
      <c r="E36" s="45" t="n">
        <f aca="false">L36+D36/$K$2</f>
        <v>302.729454460669</v>
      </c>
      <c r="F36" s="117" t="n">
        <f aca="false">IF($K$9=0,0,E36/$K$9)</f>
        <v>0.0230333050733384</v>
      </c>
      <c r="G36" s="117" t="n">
        <f aca="false">G35+F36</f>
        <v>0.70286948995105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2.77318113902605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386328.293670164</v>
      </c>
      <c r="E37" s="45" t="n">
        <f aca="false">L37+D37/$K$2</f>
        <v>297.234600151541</v>
      </c>
      <c r="F37" s="117" t="n">
        <f aca="false">IF($K$9=0,0,E37/$K$9)</f>
        <v>0.0226152266413563</v>
      </c>
      <c r="G37" s="117" t="n">
        <f aca="false">G36+F37</f>
        <v>0.725484716592407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386328.293670164</v>
      </c>
      <c r="E38" s="45" t="n">
        <f aca="false">L38+D38/$K$2</f>
        <v>297.234600151541</v>
      </c>
      <c r="F38" s="117" t="n">
        <f aca="false">IF($K$9=0,0,E38/$K$9)</f>
        <v>0.0226152266413563</v>
      </c>
      <c r="G38" s="117" t="n">
        <f aca="false">G37+F38</f>
        <v>0.748099943233763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368405.863909597</v>
      </c>
      <c r="E39" s="45" t="n">
        <f aca="false">L39+D39/$K$2</f>
        <v>283.799995621898</v>
      </c>
      <c r="F39" s="117" t="n">
        <f aca="false">IF($K$9=0,0,E39/$K$9)</f>
        <v>0.021593048785481</v>
      </c>
      <c r="G39" s="117" t="n">
        <f aca="false">G38+F39</f>
        <v>0.769692992019244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0.354616531588577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472746.187948613</v>
      </c>
      <c r="E40" s="45" t="n">
        <f aca="false">L40+D40/$K$2</f>
        <v>363.723098852398</v>
      </c>
      <c r="F40" s="117" t="n">
        <f aca="false">IF($K$9=0,0,E40/$K$9)</f>
        <v>0.027674033612001</v>
      </c>
      <c r="G40" s="117" t="n">
        <f aca="false">G39+F40</f>
        <v>0.797367025631245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470933.284549724</v>
      </c>
      <c r="E41" s="45" t="n">
        <f aca="false">L41+D41/$K$2</f>
        <v>363.774514134131</v>
      </c>
      <c r="F41" s="117" t="n">
        <f aca="false">IF($K$9=0,0,E41/$K$9)</f>
        <v>0.0276779455665603</v>
      </c>
      <c r="G41" s="117" t="n">
        <f aca="false">G40+F41</f>
        <v>0.825044971197805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1.44623317550714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341270.989993066</v>
      </c>
      <c r="E42" s="45" t="n">
        <f aca="false">L42+D42/$K$2</f>
        <v>262.568255848519</v>
      </c>
      <c r="F42" s="117" t="n">
        <f aca="false">IF($K$9=0,0,E42/$K$9)</f>
        <v>0.0199776224295976</v>
      </c>
      <c r="G42" s="117" t="n">
        <f aca="false">G41+F42</f>
        <v>0.845022593627403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325385.948741019</v>
      </c>
      <c r="E43" s="45" t="n">
        <f aca="false">L43+D43/$K$2</f>
        <v>250.346567811934</v>
      </c>
      <c r="F43" s="117" t="n">
        <f aca="false">IF($K$9=0,0,E43/$K$9)</f>
        <v>0.0190477298641075</v>
      </c>
      <c r="G43" s="117" t="n">
        <f aca="false">G42+F43</f>
        <v>0.86407032349151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325385.948741019</v>
      </c>
      <c r="E44" s="45" t="n">
        <f aca="false">L44+D44/$K$2</f>
        <v>250.346567811934</v>
      </c>
      <c r="F44" s="117" t="n">
        <f aca="false">IF($K$9=0,0,E44/$K$9)</f>
        <v>0.0190477298641075</v>
      </c>
      <c r="G44" s="117" t="n">
        <f aca="false">G43+F44</f>
        <v>0.883118053355618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140192.580882674</v>
      </c>
      <c r="E45" s="45" t="n">
        <f aca="false">L45+D45/$K$2</f>
        <v>107.861853262166</v>
      </c>
      <c r="F45" s="117" t="n">
        <f aca="false">IF($K$9=0,0,E45/$K$9)</f>
        <v>0.00820671703845027</v>
      </c>
      <c r="G45" s="117" t="n">
        <f aca="false">G44+F45</f>
        <v>0.891324770394068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140192.580882674</v>
      </c>
      <c r="E46" s="45" t="n">
        <f aca="false">L46+D46/$K$2</f>
        <v>107.861853262166</v>
      </c>
      <c r="F46" s="117" t="n">
        <f aca="false">IF($K$9=0,0,E46/$K$9)</f>
        <v>0.00820671703845027</v>
      </c>
      <c r="G46" s="117" t="n">
        <f aca="false">G45+F46</f>
        <v>0.899531487432518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103388.422688466</v>
      </c>
      <c r="E47" s="45" t="n">
        <f aca="false">L47+D47/$K$2</f>
        <v>79.5453426052753</v>
      </c>
      <c r="F47" s="117" t="n">
        <f aca="false">IF($K$9=0,0,E47/$K$9)</f>
        <v>0.00605224274147585</v>
      </c>
      <c r="G47" s="117" t="n">
        <f aca="false">G46+F47</f>
        <v>0.905583730173994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103388.422688466</v>
      </c>
      <c r="E48" s="45" t="n">
        <f aca="false">L48+D48/$K$2</f>
        <v>79.5453426052753</v>
      </c>
      <c r="F48" s="117" t="n">
        <f aca="false">IF($K$9=0,0,E48/$K$9)</f>
        <v>0.00605224274147585</v>
      </c>
      <c r="G48" s="117" t="n">
        <f aca="false">G47+F48</f>
        <v>0.91163597291547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103388.422688466</v>
      </c>
      <c r="E49" s="45" t="n">
        <f aca="false">L49+D49/$K$2</f>
        <v>79.5453426052753</v>
      </c>
      <c r="F49" s="117" t="n">
        <f aca="false">IF($K$9=0,0,E49/$K$9)</f>
        <v>0.00605224274147585</v>
      </c>
      <c r="G49" s="117" t="n">
        <f aca="false">G48+F49</f>
        <v>0.917688215656946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103388.422688466</v>
      </c>
      <c r="E50" s="45" t="n">
        <f aca="false">L50+D50/$K$2</f>
        <v>79.5453426052753</v>
      </c>
      <c r="F50" s="117" t="n">
        <f aca="false">IF($K$9=0,0,E50/$K$9)</f>
        <v>0.00605224274147585</v>
      </c>
      <c r="G50" s="117" t="n">
        <f aca="false">G49+F50</f>
        <v>0.923740458398422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103388.422688466</v>
      </c>
      <c r="E51" s="45" t="n">
        <f aca="false">L51+D51/$K$2</f>
        <v>79.5453426052753</v>
      </c>
      <c r="F51" s="117" t="n">
        <f aca="false">IF($K$9=0,0,E51/$K$9)</f>
        <v>0.00605224274147585</v>
      </c>
      <c r="G51" s="117" t="n">
        <f aca="false">G50+F51</f>
        <v>0.929792701139898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141718.097819252</v>
      </c>
      <c r="E52" s="45" t="n">
        <f aca="false">L52+D52/$K$2</f>
        <v>109.035560764561</v>
      </c>
      <c r="F52" s="117" t="n">
        <f aca="false">IF($K$9=0,0,E52/$K$9)</f>
        <v>0.00829601909535679</v>
      </c>
      <c r="G52" s="117" t="n">
        <f aca="false">G51+F52</f>
        <v>0.938088720235255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141718.097819252</v>
      </c>
      <c r="E53" s="45" t="n">
        <f aca="false">L53+D53/$K$2</f>
        <v>109.035560764561</v>
      </c>
      <c r="F53" s="117" t="n">
        <f aca="false">IF($K$9=0,0,E53/$K$9)</f>
        <v>0.00829601909535679</v>
      </c>
      <c r="G53" s="117" t="n">
        <f aca="false">G52+F53</f>
        <v>0.946384739330611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0.946384739330611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0.946384739330611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915891.425611806</v>
      </c>
      <c r="E56" s="45" t="n">
        <f aca="false">L56+D56/$K$2</f>
        <v>704.67171608812</v>
      </c>
      <c r="F56" s="117" t="n">
        <f aca="false">IF($K$9=0,0,E56/$K$9)</f>
        <v>0.0536152606693886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7553326.8</v>
      </c>
      <c r="D78" s="61" t="n">
        <f aca="false">SUM(D5:D76)</f>
        <v>9116802.40810071</v>
      </c>
      <c r="E78" s="61" t="n">
        <f aca="false">SUM(E5:E76)</f>
        <v>13143.1183452298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6128.80134377822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0.00541285775504287</v>
      </c>
      <c r="G5" s="117" t="n">
        <f aca="false">F5</f>
        <v>0.00541285775504287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0.00139592235102981</v>
      </c>
      <c r="G6" s="117" t="n">
        <f aca="false">G5+F6</f>
        <v>0.00680878010607268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0.000459890266464122</v>
      </c>
      <c r="G7" s="117" t="n">
        <f aca="false">G6+F7</f>
        <v>0.00726867037253681</v>
      </c>
      <c r="H7" s="139"/>
      <c r="I7" s="42" t="s">
        <v>3278</v>
      </c>
      <c r="J7" s="45" t="n">
        <f aca="false">C78+D78</f>
        <v>4731555.27964409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0.00162529093284778</v>
      </c>
      <c r="G8" s="117" t="n">
        <f aca="false">G7+F8</f>
        <v>0.00889396130538459</v>
      </c>
      <c r="H8" s="139"/>
      <c r="I8" s="42" t="s">
        <v>3279</v>
      </c>
      <c r="K8" s="66" t="n">
        <f aca="false">SUM(L5:L76)</f>
        <v>1736.0651678483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0.00194411472089238</v>
      </c>
      <c r="G9" s="117" t="n">
        <f aca="false">G8+F9</f>
        <v>0.010838076026277</v>
      </c>
      <c r="H9" s="139"/>
      <c r="I9" s="42" t="s">
        <v>3280</v>
      </c>
      <c r="J9" s="45" t="n">
        <f aca="false">C78+D78</f>
        <v>4731555.27964409</v>
      </c>
      <c r="K9" s="45" t="n">
        <f aca="false">E78</f>
        <v>3691.51831135224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0.00472181416514715</v>
      </c>
      <c r="G10" s="117" t="n">
        <f aca="false">G9+F10</f>
        <v>0.0155598901914241</v>
      </c>
      <c r="H10" s="139"/>
      <c r="I10" s="42" t="s">
        <v>3281</v>
      </c>
      <c r="K10" s="52" t="n">
        <f aca="false">IF(K6-K8&gt;0,(K6-K8)*'VALOR POR PL'!$G$65,K6-K8)</f>
        <v>1955.45314350394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0.00632201227010273</v>
      </c>
      <c r="G11" s="117" t="n">
        <f aca="false">G10+F11</f>
        <v>0.0218819024615269</v>
      </c>
      <c r="H11" s="139"/>
      <c r="I11" s="42" t="s">
        <v>3282</v>
      </c>
      <c r="K11" s="56" t="n">
        <f aca="false">SUMPRODUCT((B5:B76&gt;'VALOR POR PL'!$P$5)*H5:H76)</f>
        <v>2647926.27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0.00688542826483731</v>
      </c>
      <c r="G12" s="117" t="n">
        <f aca="false">G11+F12</f>
        <v>0.0287673307263642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0.00535853730470136</v>
      </c>
      <c r="G13" s="117" t="n">
        <f aca="false">G12+F13</f>
        <v>0.0341258680310655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0.0064029490929917</v>
      </c>
      <c r="G14" s="117" t="n">
        <f aca="false">G13+F14</f>
        <v>0.0405288171240572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0.00821321786619548</v>
      </c>
      <c r="G15" s="117" t="n">
        <f aca="false">G14+F15</f>
        <v>0.0487420349902527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0.0107218459225291</v>
      </c>
      <c r="G16" s="117" t="n">
        <f aca="false">G15+F16</f>
        <v>0.0594638809127818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0.0103848978657961</v>
      </c>
      <c r="G17" s="117" t="n">
        <f aca="false">G16+F17</f>
        <v>0.0698487787785779</v>
      </c>
      <c r="H17" s="139"/>
      <c r="I17" s="42" t="s">
        <v>3289</v>
      </c>
      <c r="K17" s="45" t="n">
        <f aca="false">SUM(P5:P76)</f>
        <v>2647926.27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0.0127730199761638</v>
      </c>
      <c r="G18" s="117" t="n">
        <f aca="false">G17+F18</f>
        <v>0.0826217987547417</v>
      </c>
      <c r="H18" s="139"/>
      <c r="I18" s="42" t="s">
        <v>3290</v>
      </c>
      <c r="K18" s="45" t="n">
        <f aca="false">MAX(0,K10)*$K$2</f>
        <v>2541584.57964409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0.0674564302739143</v>
      </c>
      <c r="G19" s="117" t="n">
        <f aca="false">G18+F19</f>
        <v>0.150078229028656</v>
      </c>
      <c r="H19" s="139"/>
      <c r="I19" s="42" t="s">
        <v>3291</v>
      </c>
      <c r="K19" s="143" t="n">
        <f aca="false">IF(AND(K16="PREVISÃO INFORMADA",K11&gt;0),K18/K11-1,"")</f>
        <v>-0.0401603668352544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0.042217688724933</v>
      </c>
      <c r="G20" s="117" t="n">
        <f aca="false">G19+F20</f>
        <v>0.192295917753589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0.0640858813822149</v>
      </c>
      <c r="G21" s="117" t="n">
        <f aca="false">G20+F21</f>
        <v>0.256381799135804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0.0326529292376494</v>
      </c>
      <c r="G22" s="117" t="n">
        <f aca="false">G21+F22</f>
        <v>0.289034728373453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0.0325032881355103</v>
      </c>
      <c r="G23" s="117" t="n">
        <f aca="false">G22+F23</f>
        <v>0.321538016508964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0.0289903385876817</v>
      </c>
      <c r="G24" s="117" t="n">
        <f aca="false">G23+F24</f>
        <v>0.350528355096645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0.0492908862628858</v>
      </c>
      <c r="G25" s="117" t="n">
        <f aca="false">G24+F25</f>
        <v>0.399819241359531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0</v>
      </c>
      <c r="E26" s="45" t="n">
        <f aca="false">L26+D26/$K$2</f>
        <v>120.641558093837</v>
      </c>
      <c r="F26" s="117" t="n">
        <f aca="false">IF($K$9=0,0,E26/$K$9)</f>
        <v>0.0326807421550199</v>
      </c>
      <c r="G26" s="117" t="n">
        <f aca="false">G25+F26</f>
        <v>0.432499983514551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120.641558093837</v>
      </c>
      <c r="M26" s="140" t="n">
        <f aca="false">'CP RESUMO'!Y15</f>
        <v>0</v>
      </c>
      <c r="N26" s="141" t="n">
        <f aca="false">MAX(0,M26-M25)</f>
        <v>0</v>
      </c>
      <c r="O26" s="140" t="n">
        <f aca="false">IF(B26&lt;='VALOR POR PL'!$P$5,'CP RESUMO'!Y57,"")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137710.06</v>
      </c>
      <c r="D27" s="45" t="n">
        <f aca="false">IF(B27&lt;='VALOR POR PL'!$P$5,0,IF($K$17&gt;0,$K$18*P27/$K$17,0))</f>
        <v>162777.120536405</v>
      </c>
      <c r="E27" s="45" t="n">
        <f aca="false">L27+D27/$K$2</f>
        <v>231.18986732475</v>
      </c>
      <c r="F27" s="117" t="n">
        <f aca="false">IF($K$9=0,0,E27/$K$9)</f>
        <v>0.0626273115356871</v>
      </c>
      <c r="G27" s="117" t="n">
        <f aca="false">G26+F27</f>
        <v>0.495127295050238</v>
      </c>
      <c r="H27" s="139" t="n">
        <v>169587.83</v>
      </c>
      <c r="L27" s="45" t="n">
        <f aca="false">C27/IF(B27&lt;='VALOR POR PL'!$P$5,IFERROR(INDEX('"INCC-FGV"'!$B$2:$B$800,MATCH(B27,'"INCC-FGV"'!$A$2:$A$800,0)),$K$2),$K$2)</f>
        <v>105.95184275033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24257.24</v>
      </c>
      <c r="D28" s="45" t="n">
        <f aca="false">IF(B28&lt;='VALOR POR PL'!$P$5,0,IF($K$17&gt;0,$K$18*P28/$K$17,0))</f>
        <v>132813.825904694</v>
      </c>
      <c r="E28" s="45" t="n">
        <f aca="false">L28+D28/$K$2</f>
        <v>120.84788050605</v>
      </c>
      <c r="F28" s="117" t="n">
        <f aca="false">IF($K$9=0,0,E28/$K$9)</f>
        <v>0.0327366330906217</v>
      </c>
      <c r="G28" s="117" t="n">
        <f aca="false">G27+F28</f>
        <v>0.52786392814086</v>
      </c>
      <c r="H28" s="139" t="n">
        <v>138370.85</v>
      </c>
      <c r="L28" s="45" t="n">
        <f aca="false">C28/IF(B28&lt;='VALOR POR PL'!$P$5,IFERROR(INDEX('"INCC-FGV"'!$B$2:$B$800,MATCH(B28,'"INCC-FGV"'!$A$2:$A$800,0)),$K$2),$K$2)</f>
        <v>18.6631192959834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160717.842193828</v>
      </c>
      <c r="E29" s="45" t="n">
        <f aca="false">L29+D29/$K$2</f>
        <v>123.653649873458</v>
      </c>
      <c r="F29" s="117" t="n">
        <f aca="false">IF($K$9=0,0,E29/$K$9)</f>
        <v>0.0334966914543525</v>
      </c>
      <c r="G29" s="117" t="n">
        <f aca="false">G28+F29</f>
        <v>0.561360619595212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140081.405261542</v>
      </c>
      <c r="E30" s="45" t="n">
        <f aca="false">L30+D30/$K$2</f>
        <v>109.836948610988</v>
      </c>
      <c r="F30" s="117" t="n">
        <f aca="false">IF($K$9=0,0,E30/$K$9)</f>
        <v>0.0297538680150156</v>
      </c>
      <c r="G30" s="117" t="n">
        <f aca="false">G29+F30</f>
        <v>0.591114487610228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2.06063203312657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121818.862906792</v>
      </c>
      <c r="E31" s="45" t="n">
        <f aca="false">L31+D31/$K$2</f>
        <v>93.7254185113599</v>
      </c>
      <c r="F31" s="117" t="n">
        <f aca="false">IF($K$9=0,0,E31/$K$9)</f>
        <v>0.0253893955295125</v>
      </c>
      <c r="G31" s="117" t="n">
        <f aca="false">G30+F31</f>
        <v>0.616503883139741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3394.21</v>
      </c>
      <c r="D32" s="45" t="n">
        <f aca="false">IF(B32&lt;='VALOR POR PL'!$P$5,0,IF($K$17&gt;0,$K$18*P32/$K$17,0))</f>
        <v>141047.64702506</v>
      </c>
      <c r="E32" s="45" t="n">
        <f aca="false">L32+D32/$K$2</f>
        <v>111.131176052678</v>
      </c>
      <c r="F32" s="117" t="n">
        <f aca="false">IF($K$9=0,0,E32/$K$9)</f>
        <v>0.0301044629010576</v>
      </c>
      <c r="G32" s="117" t="n">
        <f aca="false">G31+F32</f>
        <v>0.646608346040798</v>
      </c>
      <c r="H32" s="139" t="n">
        <v>146949.18</v>
      </c>
      <c r="L32" s="45" t="n">
        <f aca="false">C32/IF(B32&lt;='VALOR POR PL'!$P$5,IFERROR(INDEX('"INCC-FGV"'!$B$2:$B$800,MATCH(B32,'"INCC-FGV"'!$A$2:$A$800,0)),$K$2),$K$2)</f>
        <v>2.61144904142514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120635.054293624</v>
      </c>
      <c r="E33" s="45" t="n">
        <f aca="false">L33+D33/$K$2</f>
        <v>92.8146157419122</v>
      </c>
      <c r="F33" s="117" t="n">
        <f aca="false">IF($K$9=0,0,E33/$K$9)</f>
        <v>0.0251426670312014</v>
      </c>
      <c r="G33" s="117" t="n">
        <f aca="false">G32+F33</f>
        <v>0.671751013072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113442.208050615</v>
      </c>
      <c r="E34" s="45" t="n">
        <f aca="false">L34+D34/$K$2</f>
        <v>87.2805587959876</v>
      </c>
      <c r="F34" s="117" t="n">
        <f aca="false">IF($K$9=0,0,E34/$K$9)</f>
        <v>0.0236435394421803</v>
      </c>
      <c r="G34" s="117" t="n">
        <f aca="false">G33+F34</f>
        <v>0.69539455251418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94079.0367853068</v>
      </c>
      <c r="E35" s="45" t="n">
        <f aca="false">L35+D35/$K$2</f>
        <v>72.3828550476224</v>
      </c>
      <c r="F35" s="117" t="n">
        <f aca="false">IF($K$9=0,0,E35/$K$9)</f>
        <v>0.0196078818910444</v>
      </c>
      <c r="G35" s="117" t="n">
        <f aca="false">G34+F35</f>
        <v>0.715002434405224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77588.9918875365</v>
      </c>
      <c r="E36" s="45" t="n">
        <f aca="false">L36+D36/$K$2</f>
        <v>59.6956872114131</v>
      </c>
      <c r="F36" s="117" t="n">
        <f aca="false">IF($K$9=0,0,E36/$K$9)</f>
        <v>0.0161710391704778</v>
      </c>
      <c r="G36" s="117" t="n">
        <f aca="false">G35+F36</f>
        <v>0.731173473575702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88755.1326856173</v>
      </c>
      <c r="E37" s="45" t="n">
        <f aca="false">L37+D37/$K$2</f>
        <v>68.2867312786824</v>
      </c>
      <c r="F37" s="117" t="n">
        <f aca="false">IF($K$9=0,0,E37/$K$9)</f>
        <v>0.0184982778139514</v>
      </c>
      <c r="G37" s="117" t="n">
        <f aca="false">G36+F37</f>
        <v>0.749671751389654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107644.642288751</v>
      </c>
      <c r="E38" s="45" t="n">
        <f aca="false">L38+D38/$K$2</f>
        <v>82.820007577466</v>
      </c>
      <c r="F38" s="117" t="n">
        <f aca="false">IF($K$9=0,0,E38/$K$9)</f>
        <v>0.0224352151586994</v>
      </c>
      <c r="G38" s="117" t="n">
        <f aca="false">G37+F38</f>
        <v>0.772106966548353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49612.8724451589</v>
      </c>
      <c r="E39" s="45" t="n">
        <f aca="false">L39+D39/$K$2</f>
        <v>39.3270144729946</v>
      </c>
      <c r="F39" s="117" t="n">
        <f aca="false">IF($K$9=0,0,E39/$K$9)</f>
        <v>0.0106533440053799</v>
      </c>
      <c r="G39" s="117" t="n">
        <f aca="false">G38+F39</f>
        <v>0.782760310553733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1.15569089865527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56062.994780026</v>
      </c>
      <c r="E40" s="45" t="n">
        <f aca="false">L40+D40/$K$2</f>
        <v>43.1339410283164</v>
      </c>
      <c r="F40" s="117" t="n">
        <f aca="false">IF($K$9=0,0,E40/$K$9)</f>
        <v>0.011684607088544</v>
      </c>
      <c r="G40" s="117" t="n">
        <f aca="false">G39+F40</f>
        <v>0.794444917642277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3424</v>
      </c>
      <c r="D41" s="45" t="n">
        <f aca="false">IF(B41&lt;='VALOR POR PL'!$P$5,0,IF($K$17&gt;0,$K$18*P41/$K$17,0))</f>
        <v>44544.9191820491</v>
      </c>
      <c r="E41" s="45" t="n">
        <f aca="false">L41+D41/$K$2</f>
        <v>36.9064931209802</v>
      </c>
      <c r="F41" s="117" t="n">
        <f aca="false">IF($K$9=0,0,E41/$K$9)</f>
        <v>0.00999764595708074</v>
      </c>
      <c r="G41" s="117" t="n">
        <f aca="false">G40+F41</f>
        <v>0.804442563599358</v>
      </c>
      <c r="H41" s="139" t="n">
        <v>46408.71</v>
      </c>
      <c r="L41" s="45" t="n">
        <f aca="false">C41/IF(B41&lt;='VALOR POR PL'!$P$5,IFERROR(INDEX('"INCC-FGV"'!$B$2:$B$800,MATCH(B41,'"INCC-FGV"'!$A$2:$A$800,0)),$K$2),$K$2)</f>
        <v>2.63436897476576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47008.5011749077</v>
      </c>
      <c r="E42" s="45" t="n">
        <f aca="false">L42+D42/$K$2</f>
        <v>36.1675633894324</v>
      </c>
      <c r="F42" s="117" t="n">
        <f aca="false">IF($K$9=0,0,E42/$K$9)</f>
        <v>0.00979747636039327</v>
      </c>
      <c r="G42" s="117" t="n">
        <f aca="false">G41+F42</f>
        <v>0.814240039959751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47062.2809895539</v>
      </c>
      <c r="E43" s="45" t="n">
        <f aca="false">L43+D43/$K$2</f>
        <v>36.2089406894245</v>
      </c>
      <c r="F43" s="117" t="n">
        <f aca="false">IF($K$9=0,0,E43/$K$9)</f>
        <v>0.00980868510880033</v>
      </c>
      <c r="G43" s="117" t="n">
        <f aca="false">G42+F43</f>
        <v>0.824048725068551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36044.6753747054</v>
      </c>
      <c r="E44" s="45" t="n">
        <f aca="false">L44+D44/$K$2</f>
        <v>27.7321771356972</v>
      </c>
      <c r="F44" s="117" t="n">
        <f aca="false">IF($K$9=0,0,E44/$K$9)</f>
        <v>0.00751240405618865</v>
      </c>
      <c r="G44" s="117" t="n">
        <f aca="false">G43+F44</f>
        <v>0.83156112912474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36044.6753747054</v>
      </c>
      <c r="E45" s="45" t="n">
        <f aca="false">L45+D45/$K$2</f>
        <v>27.7321771356972</v>
      </c>
      <c r="F45" s="117" t="n">
        <f aca="false">IF($K$9=0,0,E45/$K$9)</f>
        <v>0.00751240405618865</v>
      </c>
      <c r="G45" s="117" t="n">
        <f aca="false">G44+F45</f>
        <v>0.839073533180929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15264.1473166886</v>
      </c>
      <c r="E46" s="45" t="n">
        <f aca="false">L46+D46/$K$2</f>
        <v>17.638798559013</v>
      </c>
      <c r="F46" s="117" t="n">
        <f aca="false">IF($K$9=0,0,E46/$K$9)</f>
        <v>0.00477819614351357</v>
      </c>
      <c r="G46" s="117" t="n">
        <f aca="false">G45+F46</f>
        <v>0.843851729324442</v>
      </c>
      <c r="H46" s="139" t="n">
        <v>15902.81</v>
      </c>
      <c r="L46" s="45" t="n">
        <f aca="false">C46/IF(B46&lt;='VALOR POR PL'!$P$5,IFERROR(INDEX('"INCC-FGV"'!$B$2:$B$800,MATCH(B46,'"INCC-FGV"'!$A$2:$A$800,0)),$K$2),$K$2)</f>
        <v>5.89481604810801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14928.203445081</v>
      </c>
      <c r="E47" s="45" t="n">
        <f aca="false">L47+D47/$K$2</f>
        <v>11.4855128518437</v>
      </c>
      <c r="F47" s="117" t="n">
        <f aca="false">IF($K$9=0,0,E47/$K$9)</f>
        <v>0.00311132490296016</v>
      </c>
      <c r="G47" s="117" t="n">
        <f aca="false">G46+F47</f>
        <v>0.846963054227402</v>
      </c>
      <c r="H47" s="139" t="n">
        <v>15552.81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6238.8520332112</v>
      </c>
      <c r="E48" s="45" t="n">
        <f aca="false">L48+D48/$K$2</f>
        <v>4.80006957781714</v>
      </c>
      <c r="F48" s="117" t="n">
        <f aca="false">IF($K$9=0,0,E48/$K$9)</f>
        <v>0.00130029683533083</v>
      </c>
      <c r="G48" s="117" t="n">
        <f aca="false">G47+F48</f>
        <v>0.848263351062733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6238.8520332112</v>
      </c>
      <c r="E49" s="45" t="n">
        <f aca="false">L49+D49/$K$2</f>
        <v>4.80006957781714</v>
      </c>
      <c r="F49" s="117" t="n">
        <f aca="false">IF($K$9=0,0,E49/$K$9)</f>
        <v>0.00130029683533083</v>
      </c>
      <c r="G49" s="117" t="n">
        <f aca="false">G48+F49</f>
        <v>0.849563647898064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4319.17276688171</v>
      </c>
      <c r="E50" s="45" t="n">
        <f aca="false">L50+D50/$K$2</f>
        <v>3.32310009746681</v>
      </c>
      <c r="F50" s="117" t="n">
        <f aca="false">IF($K$9=0,0,E50/$K$9)</f>
        <v>0.000900198730491879</v>
      </c>
      <c r="G50" s="117" t="n">
        <f aca="false">G49+F50</f>
        <v>0.850463846628556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0.850463846628556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716812.662908141</v>
      </c>
      <c r="E52" s="45" t="n">
        <f aca="false">L52+D52/$K$2</f>
        <v>551.503808377463</v>
      </c>
      <c r="F52" s="117" t="n">
        <f aca="false">IF($K$9=0,0,E52/$K$9)</f>
        <v>0.149397554572997</v>
      </c>
      <c r="G52" s="117" t="n">
        <f aca="false">G51+F52</f>
        <v>0.999861401201553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0.999861401201553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0.999861401201553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0.999861401201553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0.999861401201553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0.999861401201553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0.999861401201553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665</v>
      </c>
      <c r="D59" s="45" t="n">
        <f aca="false">IF(B59&lt;='VALOR POR PL'!$P$5,0,IF($K$17&gt;0,$K$18*P59/$K$17,0))</f>
        <v>0</v>
      </c>
      <c r="E59" s="45" t="n">
        <f aca="false">L59+D59/$K$2</f>
        <v>0.511640002400477</v>
      </c>
      <c r="F59" s="117" t="n">
        <f aca="false">IF($K$9=0,0,E59/$K$9)</f>
        <v>0.00013859879844753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0.511640002400477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2189970.7</v>
      </c>
      <c r="D78" s="61" t="n">
        <f aca="false">SUM(D5:D76)</f>
        <v>2541584.57964409</v>
      </c>
      <c r="E78" s="61" t="n">
        <f aca="false">SUM(E5:E76)</f>
        <v>3691.51831135224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1736.0651678483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0.884507374504591</v>
      </c>
      <c r="G5" s="117" t="n">
        <f aca="false">F5</f>
        <v>0.884507374504591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0.00261608584759238</v>
      </c>
      <c r="G6" s="117" t="n">
        <f aca="false">G5+F6</f>
        <v>0.887123460352183</v>
      </c>
      <c r="H6" s="139"/>
      <c r="I6" s="42" t="s">
        <v>3277</v>
      </c>
      <c r="K6" s="52" t="n">
        <f aca="false">'VALOR POR PL'!H22</f>
        <v>490.435234237934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0.0026057019631478</v>
      </c>
      <c r="G7" s="117" t="n">
        <f aca="false">G6+F7</f>
        <v>0.889729162315331</v>
      </c>
      <c r="H7" s="139"/>
      <c r="I7" s="42" t="s">
        <v>3278</v>
      </c>
      <c r="J7" s="45" t="n">
        <f aca="false">C78+D78</f>
        <v>560150.21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0.00558677455116977</v>
      </c>
      <c r="G8" s="117" t="n">
        <f aca="false">G7+F8</f>
        <v>0.895315936866501</v>
      </c>
      <c r="H8" s="139"/>
      <c r="I8" s="42" t="s">
        <v>3279</v>
      </c>
      <c r="K8" s="66" t="n">
        <f aca="false">SUM(L5:L76)</f>
        <v>490.435234237934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0.000122705744626372</v>
      </c>
      <c r="G9" s="117" t="n">
        <f aca="false">G8+F9</f>
        <v>0.895438642611127</v>
      </c>
      <c r="H9" s="139"/>
      <c r="I9" s="42" t="s">
        <v>3280</v>
      </c>
      <c r="J9" s="45" t="n">
        <f aca="false">C78+D78</f>
        <v>560150.21</v>
      </c>
      <c r="K9" s="45" t="n">
        <f aca="false">E78</f>
        <v>490.435234237934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0.00263098109568095</v>
      </c>
      <c r="G10" s="117" t="n">
        <f aca="false">G9+F10</f>
        <v>0.898069623706808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0.00024274094203109</v>
      </c>
      <c r="G11" s="117" t="n">
        <f aca="false">G10+F11</f>
        <v>0.898312364648839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0.0025267088776136</v>
      </c>
      <c r="G12" s="117" t="n">
        <f aca="false">G11+F12</f>
        <v>0.900839073526453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0.0030165129342278</v>
      </c>
      <c r="G13" s="117" t="n">
        <f aca="false">G12+F13</f>
        <v>0.90385558646068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0.00301146126813241</v>
      </c>
      <c r="G14" s="117" t="n">
        <f aca="false">G13+F14</f>
        <v>0.906867047728813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0.0030025699437419</v>
      </c>
      <c r="G15" s="117" t="n">
        <f aca="false">G14+F15</f>
        <v>0.909869617672555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0.00299454191112068</v>
      </c>
      <c r="G16" s="117" t="n">
        <f aca="false">G15+F16</f>
        <v>0.912864159583675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0.00298837805967831</v>
      </c>
      <c r="G17" s="117" t="n">
        <f aca="false">G16+F17</f>
        <v>0.915852537643354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0.00296693821857454</v>
      </c>
      <c r="G18" s="117" t="n">
        <f aca="false">G17+F18</f>
        <v>0.918819475861928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0.00295869859042788</v>
      </c>
      <c r="G19" s="117" t="n">
        <f aca="false">G18+F19</f>
        <v>0.921778174452356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0.00299001977800189</v>
      </c>
      <c r="G20" s="117" t="n">
        <f aca="false">G19+F20</f>
        <v>0.924768194230358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0.00748881000832151</v>
      </c>
      <c r="G21" s="117" t="n">
        <f aca="false">G20+F21</f>
        <v>0.932257004238679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0.00288931080179058</v>
      </c>
      <c r="G22" s="117" t="n">
        <f aca="false">G21+F22</f>
        <v>0.93514631504047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0.00286591588599191</v>
      </c>
      <c r="G23" s="117" t="n">
        <f aca="false">G22+F23</f>
        <v>0.938012230926462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0.00284858823340371</v>
      </c>
      <c r="G24" s="117" t="n">
        <f aca="false">G23+F24</f>
        <v>0.940860819159866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0.0165638937770538</v>
      </c>
      <c r="G25" s="117" t="n">
        <f aca="false">G24+F25</f>
        <v>0.957424712936919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2610.9</v>
      </c>
      <c r="D26" s="45" t="n">
        <f aca="false">IF(B26&lt;='VALOR POR PL'!$P$5,0,IF($K$17&gt;0,$K$18*P26/$K$17,0))</f>
        <v>0</v>
      </c>
      <c r="E26" s="45" t="n">
        <f aca="false">L26+D26/$K$2</f>
        <v>2.00878328160512</v>
      </c>
      <c r="F26" s="117" t="n">
        <f aca="false">IF($K$9=0,0,E26/$K$9)</f>
        <v>0.00409591958605193</v>
      </c>
      <c r="G26" s="117" t="n">
        <f aca="false">G25+F26</f>
        <v>0.961520632522971</v>
      </c>
      <c r="H26" s="139"/>
      <c r="L26" s="45" t="n">
        <f aca="false">C26/IF(B26&lt;='VALOR POR PL'!$P$5,IFERROR(INDEX('"INCC-FGV"'!$B$2:$B$800,MATCH(B26,'"INCC-FGV"'!$A$2:$A$800,0)),$K$2),$K$2)</f>
        <v>2.00878328160512</v>
      </c>
      <c r="M26" s="140" t="n">
        <f aca="false">'CP RESUMO'!Y16</f>
        <v>90</v>
      </c>
      <c r="N26" s="141" t="n">
        <f aca="false">MAX(0,M26-M25)</f>
        <v>0</v>
      </c>
      <c r="O26" s="140" t="n">
        <f aca="false">IF(B26&lt;='VALOR POR PL'!$P$5,'CP RESUMO'!Y58,"")</f>
        <v>90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0.162770765274955</v>
      </c>
      <c r="F27" s="117" t="n">
        <f aca="false">IF($K$9=0,0,E27/$K$9)</f>
        <v>0.000331890439168542</v>
      </c>
      <c r="G27" s="117" t="n">
        <f aca="false">G26+F27</f>
        <v>0.96185252296214</v>
      </c>
      <c r="H27" s="139"/>
      <c r="L27" s="45" t="n">
        <f aca="false">C27/IF(B27&lt;='VALOR POR PL'!$P$5,IFERROR(INDEX('"INCC-FGV"'!$B$2:$B$800,MATCH(B27,'"INCC-FGV"'!$A$2:$A$800,0)),$K$2),$K$2)</f>
        <v>0.162770765274955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0.96185252296214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0.96185252296214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0.96185252296214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0.96185252296214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18.1950725605543</v>
      </c>
      <c r="F32" s="117" t="n">
        <f aca="false">IF($K$9=0,0,E32/$K$9)</f>
        <v>0.0370998478297075</v>
      </c>
      <c r="G32" s="117" t="n">
        <f aca="false">G31+F32</f>
        <v>0.998952370791848</v>
      </c>
      <c r="H32" s="139"/>
      <c r="L32" s="45" t="n">
        <f aca="false">C32/IF(B32&lt;='VALOR POR PL'!$P$5,IFERROR(INDEX('"INCC-FGV"'!$B$2:$B$800,MATCH(B32,'"INCC-FGV"'!$A$2:$A$800,0)),$K$2),$K$2)</f>
        <v>18.1950725605543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0.998952370791848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0.998952370791848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0.998952370791848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0.998952370791848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0.998952370791848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0.998952370791848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0.513794276094794</v>
      </c>
      <c r="F39" s="117" t="n">
        <f aca="false">IF($K$9=0,0,E39/$K$9)</f>
        <v>0.00104762920815254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0.513794276094794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560150.21</v>
      </c>
      <c r="D78" s="61" t="n">
        <f aca="false">SUM(D5:D76)</f>
        <v>0</v>
      </c>
      <c r="E78" s="61" t="n">
        <f aca="false">SUM(E5:E76)</f>
        <v>490.435234237934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490.435234237934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0.401233651316295</v>
      </c>
      <c r="G5" s="117" t="n">
        <f aca="false">F5</f>
        <v>0.401233651316295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0.32024132133737</v>
      </c>
      <c r="G6" s="117" t="n">
        <f aca="false">G5+F6</f>
        <v>0.721474972653665</v>
      </c>
      <c r="H6" s="139"/>
      <c r="I6" s="42" t="s">
        <v>3277</v>
      </c>
      <c r="K6" s="52" t="n">
        <f aca="false">'VALOR POR PL'!H23</f>
        <v>1071.59912092387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0.0811236691669667</v>
      </c>
      <c r="G7" s="117" t="n">
        <f aca="false">G6+F7</f>
        <v>0.802598641820632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0.049968576636022</v>
      </c>
      <c r="G8" s="117" t="n">
        <f aca="false">G7+F8</f>
        <v>0.852567218456653</v>
      </c>
      <c r="H8" s="139"/>
      <c r="I8" s="42" t="s">
        <v>3279</v>
      </c>
      <c r="K8" s="66" t="n">
        <f aca="false">SUM(L5:L76)</f>
        <v>1071.59912092387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0.0706782011720366</v>
      </c>
      <c r="G9" s="117" t="n">
        <f aca="false">G8+F9</f>
        <v>0.92324541962869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1071.59912092387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0.023548278313696</v>
      </c>
      <c r="G10" s="117" t="n">
        <f aca="false">G9+F10</f>
        <v>0.946793697942386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0.0042816017353386</v>
      </c>
      <c r="G11" s="117" t="n">
        <f aca="false">G10+F11</f>
        <v>0.951075299677725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0.0203715535227005</v>
      </c>
      <c r="G12" s="117" t="n">
        <f aca="false">G11+F12</f>
        <v>0.971446853200425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0.0171729160872353</v>
      </c>
      <c r="G13" s="117" t="n">
        <f aca="false">G12+F13</f>
        <v>0.98861976928766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0.98861976928766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0.00262822665024783</v>
      </c>
      <c r="G15" s="117" t="n">
        <f aca="false">G14+F15</f>
        <v>0.991247995937908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0.000918632341107629</v>
      </c>
      <c r="G16" s="117" t="n">
        <f aca="false">G15+F16</f>
        <v>0.992166628279016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0.000276795865474585</v>
      </c>
      <c r="G17" s="117" t="n">
        <f aca="false">G16+F17</f>
        <v>0.992443424144491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0.00279696083879687</v>
      </c>
      <c r="G18" s="117" t="n">
        <f aca="false">G17+F18</f>
        <v>0.995240384983287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0.995240384983287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0.995240384983287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0.995240384983287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0.995240384983287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0.995240384983287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0.995240384983287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0.00235279834480169</v>
      </c>
      <c r="G25" s="117" t="n">
        <f aca="false">G24+F25</f>
        <v>0.997593183328089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0.997593183328089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n">
        <f aca="false">IF(B26&lt;='VALOR POR PL'!$P$5,'CP RESUMO'!Y59,"")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2.579142629845</v>
      </c>
      <c r="F27" s="117" t="n">
        <f aca="false">IF($K$9=0,0,E27/$K$9)</f>
        <v>0.00240681667191124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2.579142629845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1071.59912092387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1071.59912092387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0.665052209776682</v>
      </c>
      <c r="G5" s="117" t="n">
        <f aca="false">F5</f>
        <v>0.665052209776682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0.00041752666848199</v>
      </c>
      <c r="G6" s="117" t="n">
        <f aca="false">G5+F6</f>
        <v>0.665469736445164</v>
      </c>
      <c r="H6" s="139"/>
      <c r="I6" s="42" t="s">
        <v>3277</v>
      </c>
      <c r="K6" s="52" t="n">
        <f aca="false">'VALOR POR PL'!H24</f>
        <v>2036.80478821908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0.0130682810579585</v>
      </c>
      <c r="G7" s="117" t="n">
        <f aca="false">G6+F7</f>
        <v>0.678538017503122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0.149767523330666</v>
      </c>
      <c r="G8" s="117" t="n">
        <f aca="false">G7+F8</f>
        <v>0.828305540833788</v>
      </c>
      <c r="H8" s="139"/>
      <c r="I8" s="42" t="s">
        <v>3279</v>
      </c>
      <c r="K8" s="66" t="n">
        <f aca="false">SUM(L5:L76)</f>
        <v>2036.80478821908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0.0109353303843089</v>
      </c>
      <c r="G9" s="117" t="n">
        <f aca="false">G8+F9</f>
        <v>0.839240871218097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2036.80478821908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6.55511909077856E-005</v>
      </c>
      <c r="G10" s="117" t="n">
        <f aca="false">G9+F10</f>
        <v>0.839306422409005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0.131762754909351</v>
      </c>
      <c r="G11" s="117" t="n">
        <f aca="false">G10+F11</f>
        <v>0.971069177318356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0.000570871597068637</v>
      </c>
      <c r="G12" s="117" t="n">
        <f aca="false">G11+F12</f>
        <v>0.971640048915424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0.00168370286829004</v>
      </c>
      <c r="G13" s="117" t="n">
        <f aca="false">G12+F13</f>
        <v>0.973323751783714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0.00213549281397644</v>
      </c>
      <c r="G14" s="117" t="n">
        <f aca="false">G13+F14</f>
        <v>0.975459244597691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0.00127751507917792</v>
      </c>
      <c r="G15" s="117" t="n">
        <f aca="false">G14+F15</f>
        <v>0.976736759676869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0.976736759676869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0.00640961217353881</v>
      </c>
      <c r="G17" s="117" t="n">
        <f aca="false">G16+F17</f>
        <v>0.983146371850408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0.00442354986856345</v>
      </c>
      <c r="G18" s="117" t="n">
        <f aca="false">G17+F18</f>
        <v>0.987569921718971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0.987569921718971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0.987569921718971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0.00409490680906451</v>
      </c>
      <c r="G21" s="117" t="n">
        <f aca="false">G20+F21</f>
        <v>0.991664828528036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0.000255158335256362</v>
      </c>
      <c r="G22" s="117" t="n">
        <f aca="false">G21+F22</f>
        <v>0.991919986863292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0.00670726673687715</v>
      </c>
      <c r="G23" s="117" t="n">
        <f aca="false">G22+F23</f>
        <v>0.998627253600169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0.998627253600169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0.998627253600169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0.998627253600169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n">
        <f aca="false">IF(B26&lt;='VALOR POR PL'!$P$5,'CP RESUMO'!Y60,"")</f>
        <v>89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2.79601644018582</v>
      </c>
      <c r="F27" s="117" t="n">
        <f aca="false">IF($K$9=0,0,E27/$K$9)</f>
        <v>0.00137274639983077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2.79601644018582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2036.80478821908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2036.80478821908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0.139523792159038</v>
      </c>
      <c r="G6" s="117" t="n">
        <f aca="false">G5+F6</f>
        <v>0.139523792159038</v>
      </c>
      <c r="H6" s="139"/>
      <c r="I6" s="42" t="s">
        <v>3277</v>
      </c>
      <c r="K6" s="52" t="n">
        <f aca="false">'VALOR POR PL'!H25</f>
        <v>3672.55605922266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0.00908997951642011</v>
      </c>
      <c r="G7" s="117" t="n">
        <f aca="false">G6+F7</f>
        <v>0.148613771675458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0.0926703358197134</v>
      </c>
      <c r="G8" s="117" t="n">
        <f aca="false">G7+F8</f>
        <v>0.241284107495172</v>
      </c>
      <c r="H8" s="139"/>
      <c r="I8" s="42" t="s">
        <v>3279</v>
      </c>
      <c r="K8" s="66" t="n">
        <f aca="false">SUM(L5:L76)</f>
        <v>3672.55605922266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0.157932004872976</v>
      </c>
      <c r="G9" s="117" t="n">
        <f aca="false">G8+F9</f>
        <v>0.399216112368148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3672.55605922266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0.304659309632565</v>
      </c>
      <c r="G10" s="117" t="n">
        <f aca="false">G9+F10</f>
        <v>0.703875422000713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0.234096453520539</v>
      </c>
      <c r="G11" s="117" t="n">
        <f aca="false">G10+F11</f>
        <v>0.937971875521253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0.024454002295243</v>
      </c>
      <c r="G12" s="117" t="n">
        <f aca="false">G11+F12</f>
        <v>0.962425877816496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0.02629619505297</v>
      </c>
      <c r="G13" s="117" t="n">
        <f aca="false">G12+F13</f>
        <v>0.988722072869466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0.00216091377310001</v>
      </c>
      <c r="G14" s="117" t="n">
        <f aca="false">G13+F14</f>
        <v>0.990882986642566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0.000414334857640875</v>
      </c>
      <c r="G15" s="117" t="n">
        <f aca="false">G14+F15</f>
        <v>0.991297321500207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0.991297321500207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0.00580776352236572</v>
      </c>
      <c r="G17" s="117" t="n">
        <f aca="false">G16+F17</f>
        <v>0.997105085022572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0.997105085022572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0.997105085022572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9.66936500829378E-005</v>
      </c>
      <c r="G20" s="117" t="n">
        <f aca="false">G19+F20</f>
        <v>0.997201778672655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5.18163881873087E-005</v>
      </c>
      <c r="G21" s="117" t="n">
        <f aca="false">G20+F21</f>
        <v>0.997253595060842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1.95641517487262E-006</v>
      </c>
      <c r="G22" s="117" t="n">
        <f aca="false">G21+F22</f>
        <v>0.997255551476017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0.997255551476017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0.997255551476017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9.82595142110366E-006</v>
      </c>
      <c r="G25" s="117" t="n">
        <f aca="false">G24+F25</f>
        <v>0.997265377427438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3.80418575378806</v>
      </c>
      <c r="F26" s="117" t="n">
        <f aca="false">IF($K$9=0,0,E26/$K$9)</f>
        <v>0.00103584143916193</v>
      </c>
      <c r="G26" s="117" t="n">
        <f aca="false">G25+F26</f>
        <v>0.9983012188666</v>
      </c>
      <c r="H26" s="139"/>
      <c r="L26" s="45" t="n">
        <f aca="false">C26/IF(B26&lt;='VALOR POR PL'!$P$5,IFERROR(INDEX('"INCC-FGV"'!$B$2:$B$800,MATCH(B26,'"INCC-FGV"'!$A$2:$A$800,0)),$K$2),$K$2)</f>
        <v>3.80418575378806</v>
      </c>
      <c r="M26" s="140" t="n">
        <f aca="false">'CP RESUMO'!Y19</f>
        <v>100</v>
      </c>
      <c r="N26" s="141" t="n">
        <f aca="false">MAX(0,M26-M25)</f>
        <v>0</v>
      </c>
      <c r="O26" s="140" t="n">
        <f aca="false">IF(B26&lt;='VALOR POR PL'!$P$5,'CP RESUMO'!Y61,"")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3.27735042800802</v>
      </c>
      <c r="F27" s="117" t="n">
        <f aca="false">IF($K$9=0,0,E27/$K$9)</f>
        <v>0.000892389489815361</v>
      </c>
      <c r="G27" s="117" t="n">
        <f aca="false">G26+F27</f>
        <v>0.999193608356416</v>
      </c>
      <c r="H27" s="139"/>
      <c r="L27" s="45" t="n">
        <f aca="false">C27/IF(B27&lt;='VALOR POR PL'!$P$5,IFERROR(INDEX('"INCC-FGV"'!$B$2:$B$800,MATCH(B27,'"INCC-FGV"'!$A$2:$A$800,0)),$K$2),$K$2)</f>
        <v>3.27735042800802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2.96151851675179</v>
      </c>
      <c r="F28" s="117" t="n">
        <f aca="false">IF($K$9=0,0,E28/$K$9)</f>
        <v>0.000806391643584231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2.96151851675179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3672.55605922266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3672.55605922266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3373746.56983561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0.000343471064610706</v>
      </c>
      <c r="G8" s="117" t="n">
        <f aca="false">G7+F8</f>
        <v>0.000343471064610706</v>
      </c>
      <c r="H8" s="139"/>
      <c r="I8" s="42" t="s">
        <v>3279</v>
      </c>
      <c r="K8" s="66" t="n">
        <f aca="false">SUM(L5:L76)</f>
        <v>2055.78312009674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0.0305525987621748</v>
      </c>
      <c r="G9" s="117" t="n">
        <f aca="false">G8+F9</f>
        <v>0.0308960698267856</v>
      </c>
      <c r="H9" s="139"/>
      <c r="I9" s="42" t="s">
        <v>3280</v>
      </c>
      <c r="J9" s="45" t="n">
        <f aca="false">C78+D78</f>
        <v>3373746.56983561</v>
      </c>
      <c r="K9" s="45" t="n">
        <f aca="false">E78</f>
        <v>2723.26909026282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0.0509527714509846</v>
      </c>
      <c r="G10" s="117" t="n">
        <f aca="false">G9+F10</f>
        <v>0.0818488412777702</v>
      </c>
      <c r="H10" s="139"/>
      <c r="I10" s="42" t="s">
        <v>3281</v>
      </c>
      <c r="K10" s="52" t="n">
        <f aca="false">IF(K6-K8&gt;0,(K6-K8)*'VALOR POR PL'!$G$65,K6-K8)</f>
        <v>667.485970166084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0.136380092110934</v>
      </c>
      <c r="G11" s="117" t="n">
        <f aca="false">G10+F11</f>
        <v>0.218228933388704</v>
      </c>
      <c r="H11" s="139"/>
      <c r="I11" s="42" t="s">
        <v>3282</v>
      </c>
      <c r="K11" s="56" t="n">
        <f aca="false">SUMPRODUCT((B5:B76&gt;'VALOR POR PL'!$P$5)*H5:H76)</f>
        <v>728195.47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0.158649860520995</v>
      </c>
      <c r="G12" s="117" t="n">
        <f aca="false">G11+F12</f>
        <v>0.376878793909699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0.123419634809952</v>
      </c>
      <c r="G13" s="117" t="n">
        <f aca="false">G12+F13</f>
        <v>0.500298428719651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0.0954268987664284</v>
      </c>
      <c r="G14" s="117" t="n">
        <f aca="false">G13+F14</f>
        <v>0.59572532748608</v>
      </c>
      <c r="H14" s="139"/>
      <c r="I14" s="42" t="s">
        <v>3285</v>
      </c>
      <c r="K14" s="58" t="n">
        <f aca="false">IFERROR(INDEX('CP RESUMO'!$D$62:$BW$62,MATCH('VALOR POR PL'!$P$5,'CP RESUMO'!$D$4:$BW$4,0))/100,0)</f>
        <v>0.9186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0.0287772428231582</v>
      </c>
      <c r="G15" s="117" t="n">
        <f aca="false">G14+F15</f>
        <v>0.624502570309238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0.0337578329647526</v>
      </c>
      <c r="G16" s="117" t="n">
        <f aca="false">G15+F16</f>
        <v>0.658260403273991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0.00431967180620458</v>
      </c>
      <c r="G17" s="117" t="n">
        <f aca="false">G16+F17</f>
        <v>0.662580075080195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0.00583288873237454</v>
      </c>
      <c r="G18" s="117" t="n">
        <f aca="false">G17+F18</f>
        <v>0.66841296381257</v>
      </c>
      <c r="H18" s="139"/>
      <c r="I18" s="42" t="s">
        <v>3290</v>
      </c>
      <c r="K18" s="45" t="n">
        <f aca="false">MAX(0,K10)*$K$2</f>
        <v>867559.549835606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0.000730722462951227</v>
      </c>
      <c r="G19" s="117" t="n">
        <f aca="false">G18+F19</f>
        <v>0.669143686275521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0.00191673591265954</v>
      </c>
      <c r="G20" s="117" t="n">
        <f aca="false">G19+F20</f>
        <v>0.67106042218818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0.00179178560044004</v>
      </c>
      <c r="G21" s="117" t="n">
        <f aca="false">G20+F21</f>
        <v>0.67285220778862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0.000111647509245026</v>
      </c>
      <c r="G22" s="117" t="n">
        <f aca="false">G21+F22</f>
        <v>0.672963855297865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0.672963855297865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0.0245435039472549</v>
      </c>
      <c r="G24" s="117" t="n">
        <f aca="false">G23+F24</f>
        <v>0.69750735924512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0.0296910191126551</v>
      </c>
      <c r="G25" s="117" t="n">
        <f aca="false">G24+F25</f>
        <v>0.727198378357776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21.1683857257825</v>
      </c>
      <c r="F26" s="117" t="n">
        <f aca="false">IF($K$9=0,0,E26/$K$9)</f>
        <v>0.00777315242238495</v>
      </c>
      <c r="G26" s="117" t="n">
        <f aca="false">G25+F26</f>
        <v>0.73497153078016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21.1683857257825</v>
      </c>
      <c r="M26" s="140" t="n">
        <f aca="false">'CP RESUMO'!Y20</f>
        <v>91.86</v>
      </c>
      <c r="N26" s="141" t="n">
        <f aca="false">MAX(0,M26-M25)</f>
        <v>0</v>
      </c>
      <c r="O26" s="140" t="n">
        <f aca="false">IF(B26&lt;='VALOR POR PL'!$P$5,'CP RESUMO'!Y62,"")</f>
        <v>91.86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46.1348790760012</v>
      </c>
      <c r="F27" s="117" t="n">
        <f aca="false">IF($K$9=0,0,E27/$K$9)</f>
        <v>0.0169409917077085</v>
      </c>
      <c r="G27" s="117" t="n">
        <f aca="false">G26+F27</f>
        <v>0.751912522487869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46.1348790760012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1.79831074167027</v>
      </c>
      <c r="F28" s="117" t="n">
        <f aca="false">IF($K$9=0,0,E28/$K$9)</f>
        <v>0.000660349999234456</v>
      </c>
      <c r="G28" s="117" t="n">
        <f aca="false">G27+F28</f>
        <v>0.752572872487103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1.79831074167027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0.752572872487103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0.752572872487103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0.752572872487103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3.93043388610971</v>
      </c>
      <c r="F32" s="117" t="n">
        <f aca="false">IF($K$9=0,0,E32/$K$9)</f>
        <v>0.00144327782376085</v>
      </c>
      <c r="G32" s="117" t="n">
        <f aca="false">G31+F32</f>
        <v>0.754016150310864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3.93043388610971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78869.0499850545</v>
      </c>
      <c r="E33" s="45" t="n">
        <f aca="false">L33+D33/$K$2</f>
        <v>60.6805427423708</v>
      </c>
      <c r="F33" s="117" t="n">
        <f aca="false">IF($K$9=0,0,E33/$K$9)</f>
        <v>0.0222822426763984</v>
      </c>
      <c r="G33" s="117" t="n">
        <f aca="false">G32+F33</f>
        <v>0.776298392987263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263252.09927444</v>
      </c>
      <c r="E34" s="45" t="n">
        <f aca="false">L34+D34/$K$2</f>
        <v>202.541811586023</v>
      </c>
      <c r="F34" s="117" t="n">
        <f aca="false">IF($K$9=0,0,E34/$K$9)</f>
        <v>0.0743745127171681</v>
      </c>
      <c r="G34" s="117" t="n">
        <f aca="false">G33+F34</f>
        <v>0.850672905704431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288831.250620946</v>
      </c>
      <c r="E35" s="45" t="n">
        <f aca="false">L35+D35/$K$2</f>
        <v>222.221987610576</v>
      </c>
      <c r="F35" s="117" t="n">
        <f aca="false">IF($K$9=0,0,E35/$K$9)</f>
        <v>0.0816011860176219</v>
      </c>
      <c r="G35" s="117" t="n">
        <f aca="false">G34+F35</f>
        <v>0.932274091722053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236607.149955165</v>
      </c>
      <c r="E36" s="45" t="n">
        <f aca="false">L36+D36/$K$2</f>
        <v>182.041628227114</v>
      </c>
      <c r="F36" s="117" t="n">
        <f aca="false">IF($K$9=0,0,E36/$K$9)</f>
        <v>0.0668467280291956</v>
      </c>
      <c r="G36" s="117" t="n">
        <f aca="false">G35+F36</f>
        <v>0.999120819751248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0.999120819751248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2.39424439619555</v>
      </c>
      <c r="F38" s="117" t="n">
        <f aca="false">IF($K$9=0,0,E38/$K$9)</f>
        <v>0.000879180248751873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2.39424439619555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867559.549835606</v>
      </c>
      <c r="E78" s="61" t="n">
        <f aca="false">SUM(E5:E76)</f>
        <v>2723.26909026282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2055.78312009674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21256432.6160136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11644.529330469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21256432.6160136</v>
      </c>
      <c r="K9" s="45" t="n">
        <f aca="false">E78</f>
        <v>16738.9460039423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0.00405486665976436</v>
      </c>
      <c r="G10" s="117" t="n">
        <f aca="false">G9+F10</f>
        <v>0.00405486665976436</v>
      </c>
      <c r="H10" s="139"/>
      <c r="I10" s="42" t="s">
        <v>3281</v>
      </c>
      <c r="K10" s="52" t="n">
        <f aca="false">IF(K6-K8&gt;0,(K6-K8)*'VALOR POR PL'!$G$65,K6-K8)</f>
        <v>5094.41667347332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0.00818668854165802</v>
      </c>
      <c r="G11" s="117" t="n">
        <f aca="false">G10+F11</f>
        <v>0.0122415552014224</v>
      </c>
      <c r="H11" s="139"/>
      <c r="I11" s="42" t="s">
        <v>3282</v>
      </c>
      <c r="K11" s="56" t="n">
        <f aca="false">SUMPRODUCT((B5:B76&gt;'VALOR POR PL'!$P$5)*H5:H76)</f>
        <v>7256566.37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0.0193277678258447</v>
      </c>
      <c r="G12" s="117" t="n">
        <f aca="false">G11+F12</f>
        <v>0.031569323027267</v>
      </c>
      <c r="H12" s="139"/>
      <c r="I12" s="42" t="s">
        <v>3283</v>
      </c>
      <c r="K12" s="140" t="n">
        <f aca="false">SUMPRODUCT((B5:B76&gt;'VALOR POR PL'!$P$5)*N5:N76)</f>
        <v>28.19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0.0314800104272624</v>
      </c>
      <c r="G13" s="117" t="n">
        <f aca="false">G12+F13</f>
        <v>0.0630493334545294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0.0320001349368711</v>
      </c>
      <c r="G14" s="117" t="n">
        <f aca="false">G13+F14</f>
        <v>0.0950494683914005</v>
      </c>
      <c r="H14" s="139"/>
      <c r="I14" s="42" t="s">
        <v>3285</v>
      </c>
      <c r="K14" s="58" t="n">
        <f aca="false">IFERROR(INDEX('CP RESUMO'!$D$63:$BW$63,MATCH('VALOR POR PL'!$P$5,'CP RESUMO'!$D$4:$BW$4,0))/100,0)</f>
        <v>0.6981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0.0236610052030027</v>
      </c>
      <c r="G15" s="117" t="n">
        <f aca="false">G14+F15</f>
        <v>0.118710473594403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0.0417457158702249</v>
      </c>
      <c r="G16" s="117" t="n">
        <f aca="false">G15+F16</f>
        <v>0.160456189464628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0.0353429275907727</v>
      </c>
      <c r="G17" s="117" t="n">
        <f aca="false">G16+F17</f>
        <v>0.195799117055401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0.0755348897055025</v>
      </c>
      <c r="G18" s="117" t="n">
        <f aca="false">G17+F18</f>
        <v>0.271334006760903</v>
      </c>
      <c r="H18" s="139"/>
      <c r="I18" s="42" t="s">
        <v>3290</v>
      </c>
      <c r="K18" s="45" t="n">
        <f aca="false">MAX(0,K10)*$K$2</f>
        <v>6621427.31601356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0.0451392395746873</v>
      </c>
      <c r="G19" s="117" t="n">
        <f aca="false">G18+F19</f>
        <v>0.316473246335591</v>
      </c>
      <c r="H19" s="139"/>
      <c r="I19" s="42" t="s">
        <v>3291</v>
      </c>
      <c r="K19" s="143" t="n">
        <f aca="false">IF(AND(K16="PREVISÃO INFORMADA",K11&gt;0),K18/K11-1,"")</f>
        <v>-0.0875261138122051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0.0479219643938133</v>
      </c>
      <c r="G20" s="117" t="n">
        <f aca="false">G19+F20</f>
        <v>0.364395210729404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0.035323536245479</v>
      </c>
      <c r="G21" s="117" t="n">
        <f aca="false">G20+F21</f>
        <v>0.399718746974883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0.0369079592863863</v>
      </c>
      <c r="G22" s="117" t="n">
        <f aca="false">G21+F22</f>
        <v>0.436626706261269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0.0373852689869017</v>
      </c>
      <c r="G23" s="117" t="n">
        <f aca="false">G22+F23</f>
        <v>0.474011975248171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0.0825668212588462</v>
      </c>
      <c r="G24" s="117" t="n">
        <f aca="false">G23+F24</f>
        <v>0.556578796507017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0.0527967077012257</v>
      </c>
      <c r="G25" s="117" t="n">
        <f aca="false">G24+F25</f>
        <v>0.609375504208243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985.83280374105</v>
      </c>
      <c r="F26" s="117" t="n">
        <f aca="false">IF($K$9=0,0,E26/$K$9)</f>
        <v>0.0588945566530217</v>
      </c>
      <c r="G26" s="117" t="n">
        <f aca="false">G25+F26</f>
        <v>0.668270060861265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985.83280374105</v>
      </c>
      <c r="M26" s="140" t="n">
        <f aca="false">'CP RESUMO'!Y21</f>
        <v>71.81</v>
      </c>
      <c r="N26" s="141" t="n">
        <f aca="false">MAX(0,M26-M25)</f>
        <v>4.82000000000001</v>
      </c>
      <c r="O26" s="140" t="n">
        <f aca="false">IF(B26&lt;='VALOR POR PL'!$P$5,'CP RESUMO'!Y63,"")</f>
        <v>69.81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249325.49</v>
      </c>
      <c r="D27" s="45" t="n">
        <f aca="false">IF(B27&lt;='VALOR POR PL'!$P$5,0,IF($K$17&gt;0,$K$18*P27/$K$17,0))</f>
        <v>614779.600184887</v>
      </c>
      <c r="E27" s="45" t="n">
        <f aca="false">L27+D27/$K$2</f>
        <v>664.828166039789</v>
      </c>
      <c r="F27" s="117" t="n">
        <f aca="false">IF($K$9=0,0,E27/$K$9)</f>
        <v>0.0397174449265331</v>
      </c>
      <c r="G27" s="117" t="n">
        <f aca="false">G26+F27</f>
        <v>0.707987505787798</v>
      </c>
      <c r="H27" s="139" t="n">
        <v>673750.35</v>
      </c>
      <c r="L27" s="45" t="n">
        <f aca="false">C27/IF(B27&lt;='VALOR POR PL'!$P$5,IFERROR(INDEX('"INCC-FGV"'!$B$2:$B$800,MATCH(B27,'"INCC-FGV"'!$A$2:$A$800,0)),$K$2),$K$2)</f>
        <v>191.826908724962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252299.71</v>
      </c>
      <c r="D28" s="45" t="n">
        <f aca="false">IF(B28&lt;='VALOR POR PL'!$P$5,0,IF($K$17&gt;0,$K$18*P28/$K$17,0))</f>
        <v>997118.276150781</v>
      </c>
      <c r="E28" s="45" t="n">
        <f aca="false">L28+D28/$K$2</f>
        <v>961.281535990052</v>
      </c>
      <c r="F28" s="117" t="n">
        <f aca="false">IF($K$9=0,0,E28/$K$9)</f>
        <v>0.0574278413804343</v>
      </c>
      <c r="G28" s="117" t="n">
        <f aca="false">G27+F28</f>
        <v>0.765415347168232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194.115224406074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10018.51</v>
      </c>
      <c r="D29" s="45" t="n">
        <f aca="false">IF(B29&lt;='VALOR POR PL'!$P$5,0,IF($K$17&gt;0,$K$18*P29/$K$17,0))</f>
        <v>807141.79702977</v>
      </c>
      <c r="E29" s="45" t="n">
        <f aca="false">L29+D29/$K$2</f>
        <v>628.709626241031</v>
      </c>
      <c r="F29" s="117" t="n">
        <f aca="false">IF($K$9=0,0,E29/$K$9)</f>
        <v>0.0375596902034907</v>
      </c>
      <c r="G29" s="117" t="n">
        <f aca="false">G28+F29</f>
        <v>0.802975037371723</v>
      </c>
      <c r="H29" s="139" t="n">
        <v>884564.27</v>
      </c>
      <c r="L29" s="45" t="n">
        <f aca="false">C29/IF(B29&lt;='VALOR POR PL'!$P$5,IFERROR(INDEX('"INCC-FGV"'!$B$2:$B$800,MATCH(B29,'"INCC-FGV"'!$A$2:$A$800,0)),$K$2),$K$2)</f>
        <v>7.70807591044992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878260.78732205</v>
      </c>
      <c r="E30" s="45" t="n">
        <f aca="false">L30+D30/$K$2</f>
        <v>675.719325313831</v>
      </c>
      <c r="F30" s="117" t="n">
        <f aca="false">IF($K$9=0,0,E30/$K$9)</f>
        <v>0.04036809277924</v>
      </c>
      <c r="G30" s="117" t="n">
        <f aca="false">G29+F30</f>
        <v>0.843343130150963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976111.001226584</v>
      </c>
      <c r="E31" s="45" t="n">
        <f aca="false">L31+D31/$K$2</f>
        <v>778.481930434335</v>
      </c>
      <c r="F31" s="117" t="n">
        <f aca="false">IF($K$9=0,0,E31/$K$9)</f>
        <v>0.0465072251413554</v>
      </c>
      <c r="G31" s="117" t="n">
        <f aca="false">G30+F31</f>
        <v>0.889850355292318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27.4782687641086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820950.866582215</v>
      </c>
      <c r="E32" s="45" t="n">
        <f aca="false">L32+D32/$K$2</f>
        <v>632.186485150295</v>
      </c>
      <c r="F32" s="117" t="n">
        <f aca="false">IF($K$9=0,0,E32/$K$9)</f>
        <v>0.0377674009463562</v>
      </c>
      <c r="G32" s="117" t="n">
        <f aca="false">G31+F32</f>
        <v>0.927617756238674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0.560465076915265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586889.662483519</v>
      </c>
      <c r="E33" s="45" t="n">
        <f aca="false">L33+D33/$K$2</f>
        <v>457.467583938596</v>
      </c>
      <c r="F33" s="117" t="n">
        <f aca="false">IF($K$9=0,0,E33/$K$9)</f>
        <v>0.0273295334025724</v>
      </c>
      <c r="G33" s="117" t="n">
        <f aca="false">G32+F33</f>
        <v>0.954947289641247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5.92438345456252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369147.269111749</v>
      </c>
      <c r="E34" s="45" t="n">
        <f aca="false">L34+D34/$K$2</f>
        <v>284.015803991676</v>
      </c>
      <c r="F34" s="117" t="n">
        <f aca="false">IF($K$9=0,0,E34/$K$9)</f>
        <v>0.0169673648463163</v>
      </c>
      <c r="G34" s="117" t="n">
        <f aca="false">G33+F34</f>
        <v>0.971914654487563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0.971914654487563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0.971914654487563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355657.063558833</v>
      </c>
      <c r="E37" s="45" t="n">
        <f aca="false">L37+D37/$K$2</f>
        <v>273.636662936824</v>
      </c>
      <c r="F37" s="117" t="n">
        <f aca="false">IF($K$9=0,0,E37/$K$9)</f>
        <v>0.0163473054320372</v>
      </c>
      <c r="G37" s="117" t="n">
        <f aca="false">G36+F37</f>
        <v>0.9882619599196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5.36402609133197</v>
      </c>
      <c r="F38" s="117" t="n">
        <f aca="false">IF($K$9=0,0,E38/$K$9)</f>
        <v>0.000320451842670898</v>
      </c>
      <c r="G38" s="117" t="n">
        <f aca="false">G37+F38</f>
        <v>0.988582411762271</v>
      </c>
      <c r="H38" s="139"/>
      <c r="L38" s="45" t="n">
        <f aca="false">C38/IF(B38&lt;='VALOR POR PL'!$P$5,IFERROR(INDEX('"INCC-FGV"'!$B$2:$B$800,MATCH(B38,'"INCC-FGV"'!$A$2:$A$800,0)),$K$2),$K$2)</f>
        <v>5.36402609133197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4.00117869546418</v>
      </c>
      <c r="F39" s="117" t="n">
        <f aca="false">IF($K$9=0,0,E39/$K$9)</f>
        <v>0.000239034088198972</v>
      </c>
      <c r="G39" s="117" t="n">
        <f aca="false">G38+F39</f>
        <v>0.98882144585047</v>
      </c>
      <c r="H39" s="139"/>
      <c r="L39" s="45" t="n">
        <f aca="false">C39/IF(B39&lt;='VALOR POR PL'!$P$5,IFERROR(INDEX('"INCC-FGV"'!$B$2:$B$800,MATCH(B39,'"INCC-FGV"'!$A$2:$A$800,0)),$K$2),$K$2)</f>
        <v>4.00117869546418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0.98882144585047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9.22475383576125</v>
      </c>
      <c r="F41" s="117" t="n">
        <f aca="false">IF($K$9=0,0,E41/$K$9)</f>
        <v>0.000551095262126342</v>
      </c>
      <c r="G41" s="117" t="n">
        <f aca="false">G40+F41</f>
        <v>0.989372541112596</v>
      </c>
      <c r="H41" s="139"/>
      <c r="L41" s="45" t="n">
        <f aca="false">C41/IF(B41&lt;='VALOR POR PL'!$P$5,IFERROR(INDEX('"INCC-FGV"'!$B$2:$B$800,MATCH(B41,'"INCC-FGV"'!$A$2:$A$800,0)),$K$2),$K$2)</f>
        <v>9.22475383576125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12.1895807014007</v>
      </c>
      <c r="F42" s="117" t="n">
        <f aca="false">IF($K$9=0,0,E42/$K$9)</f>
        <v>0.000728216740679485</v>
      </c>
      <c r="G42" s="117" t="n">
        <f aca="false">G41+F42</f>
        <v>0.990100757853276</v>
      </c>
      <c r="H42" s="139"/>
      <c r="L42" s="45" t="n">
        <f aca="false">C42/IF(B42&lt;='VALOR POR PL'!$P$5,IFERROR(INDEX('"INCC-FGV"'!$B$2:$B$800,MATCH(B42,'"INCC-FGV"'!$A$2:$A$800,0)),$K$2),$K$2)</f>
        <v>12.1895807014007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0.990100757853276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215370.992363173</v>
      </c>
      <c r="E44" s="45" t="n">
        <f aca="false">L44+D44/$K$2</f>
        <v>165.702879773965</v>
      </c>
      <c r="F44" s="117" t="n">
        <f aca="false">IF($K$9=0,0,E44/$K$9)</f>
        <v>0.00989924214672412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14635005.3</v>
      </c>
      <c r="D78" s="61" t="n">
        <f aca="false">SUM(D5:D76)</f>
        <v>6621427.31601356</v>
      </c>
      <c r="E78" s="61" t="n">
        <f aca="false">SUM(E5:E76)</f>
        <v>16738.9460039423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11644.529330469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2.72848410531878E-012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3632739.89597375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1226.84558289192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3632739.89597375</v>
      </c>
      <c r="K9" s="45" t="n">
        <f aca="false">E78</f>
        <v>2806.3135434362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1579.46796054429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2217858.51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62.35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0.3577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0.00359751133288228</v>
      </c>
      <c r="G17" s="117" t="n">
        <f aca="false">G16+F17</f>
        <v>0.00359751133288228</v>
      </c>
      <c r="H17" s="139"/>
      <c r="I17" s="42" t="s">
        <v>3289</v>
      </c>
      <c r="K17" s="45" t="n">
        <f aca="false">SUM(P5:P76)</f>
        <v>62.35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0.00501929868570634</v>
      </c>
      <c r="G18" s="117" t="n">
        <f aca="false">G17+F18</f>
        <v>0.00861681001858862</v>
      </c>
      <c r="H18" s="139"/>
      <c r="I18" s="42" t="s">
        <v>3290</v>
      </c>
      <c r="K18" s="45" t="n">
        <f aca="false">MAX(0,K10)*$K$2</f>
        <v>2052900.84597375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0.0172277054304353</v>
      </c>
      <c r="G19" s="117" t="n">
        <f aca="false">G18+F19</f>
        <v>0.0258445154490239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0.0199635144788419</v>
      </c>
      <c r="G20" s="117" t="n">
        <f aca="false">G19+F20</f>
        <v>0.0458080299278658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0.018406341253861</v>
      </c>
      <c r="G21" s="117" t="n">
        <f aca="false">G20+F21</f>
        <v>0.0642143711817268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0.0192116050121884</v>
      </c>
      <c r="G22" s="117" t="n">
        <f aca="false">G21+F22</f>
        <v>0.0834259761939152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0.0255702681590338</v>
      </c>
      <c r="G23" s="117" t="n">
        <f aca="false">G22+F23</f>
        <v>0.108996244352949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0.044886719931715</v>
      </c>
      <c r="G24" s="117" t="n">
        <f aca="false">G23+F24</f>
        <v>0.153882964284664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0.11187738555196</v>
      </c>
      <c r="G25" s="117" t="n">
        <f aca="false">G24+F25</f>
        <v>0.265760349836624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0</v>
      </c>
      <c r="E26" s="45" t="n">
        <f aca="false">L26+D26/$K$2</f>
        <v>189.731592885357</v>
      </c>
      <c r="F26" s="117" t="n">
        <f aca="false">IF($K$9=0,0,E26/$K$9)</f>
        <v>0.0676088362717444</v>
      </c>
      <c r="G26" s="117" t="n">
        <f aca="false">G25+F26</f>
        <v>0.333369186108369</v>
      </c>
      <c r="H26" s="139" t="n">
        <v>121053.01</v>
      </c>
      <c r="L26" s="45" t="n">
        <f aca="false">C26/IF(B26&lt;='VALOR POR PL'!$P$5,IFERROR(INDEX('"INCC-FGV"'!$B$2:$B$800,MATCH(B26,'"INCC-FGV"'!$A$2:$A$800,0)),$K$2),$K$2)</f>
        <v>189.731592885357</v>
      </c>
      <c r="M26" s="140" t="n">
        <f aca="false">'CP RESUMO'!Y22</f>
        <v>37.65</v>
      </c>
      <c r="N26" s="141" t="n">
        <f aca="false">MAX(0,M26-M25)</f>
        <v>6.48</v>
      </c>
      <c r="O26" s="140" t="n">
        <f aca="false">IF(B26&lt;='VALOR POR PL'!$P$5,'CP RESUMO'!Y64,"")</f>
        <v>35.77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213283.42</v>
      </c>
      <c r="D27" s="45" t="n">
        <f aca="false">IF(B27&lt;='VALOR POR PL'!$P$5,0,IF($K$17&gt;0,$K$18*P27/$K$17,0))</f>
        <v>38852.012802711</v>
      </c>
      <c r="E27" s="45" t="n">
        <f aca="false">L27+D27/$K$2</f>
        <v>193.988832247254</v>
      </c>
      <c r="F27" s="117" t="n">
        <f aca="false">IF($K$9=0,0,E27/$K$9)</f>
        <v>0.0691258582637647</v>
      </c>
      <c r="G27" s="117" t="n">
        <f aca="false">G26+F27</f>
        <v>0.402495044372133</v>
      </c>
      <c r="H27" s="139" t="n">
        <v>43464.14</v>
      </c>
      <c r="L27" s="45" t="n">
        <f aca="false">C27/IF(B27&lt;='VALOR POR PL'!$P$5,IFERROR(INDEX('"INCC-FGV"'!$B$2:$B$800,MATCH(B27,'"INCC-FGV"'!$A$2:$A$800,0)),$K$2),$K$2)</f>
        <v>164.096736121476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118159.85</v>
      </c>
      <c r="D28" s="45" t="n">
        <f aca="false">IF(B28&lt;='VALOR POR PL'!$P$5,0,IF($K$17&gt;0,$K$18*P28/$K$17,0))</f>
        <v>110958.714529776</v>
      </c>
      <c r="E28" s="45" t="n">
        <f aca="false">L28+D28/$K$2</f>
        <v>176.280034445126</v>
      </c>
      <c r="F28" s="117" t="n">
        <f aca="false">IF($K$9=0,0,E28/$K$9)</f>
        <v>0.062815516412068</v>
      </c>
      <c r="G28" s="117" t="n">
        <f aca="false">G27+F28</f>
        <v>0.465310560784201</v>
      </c>
      <c r="H28" s="139" t="n">
        <v>126800.33</v>
      </c>
      <c r="L28" s="45" t="n">
        <f aca="false">C28/IF(B28&lt;='VALOR POR PL'!$P$5,IFERROR(INDEX('"INCC-FGV"'!$B$2:$B$800,MATCH(B28,'"INCC-FGV"'!$A$2:$A$800,0)),$K$2),$K$2)</f>
        <v>90.9102344926916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90215.6907452779</v>
      </c>
      <c r="E29" s="45" t="n">
        <f aca="false">L29+D29/$K$2</f>
        <v>80.9153360784509</v>
      </c>
      <c r="F29" s="117" t="n">
        <f aca="false">IF($K$9=0,0,E29/$K$9)</f>
        <v>0.0288333198789233</v>
      </c>
      <c r="G29" s="117" t="n">
        <f aca="false">G28+F29</f>
        <v>0.494143880663125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11.5048755830003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213686.070414911</v>
      </c>
      <c r="E30" s="45" t="n">
        <f aca="false">L30+D30/$K$2</f>
        <v>176.16947087569</v>
      </c>
      <c r="F30" s="117" t="n">
        <f aca="false">IF($K$9=0,0,E30/$K$9)</f>
        <v>0.0627761182593938</v>
      </c>
      <c r="G30" s="117" t="n">
        <f aca="false">G29+F30</f>
        <v>0.556919998922518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11.7629421839103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211052.035648625</v>
      </c>
      <c r="E31" s="45" t="n">
        <f aca="false">L31+D31/$K$2</f>
        <v>164.764411435981</v>
      </c>
      <c r="F31" s="117" t="n">
        <f aca="false">IF($K$9=0,0,E31/$K$9)</f>
        <v>0.0587120465642034</v>
      </c>
      <c r="G31" s="117" t="n">
        <f aca="false">G30+F31</f>
        <v>0.615632045486722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2.38446553239027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8884.21</v>
      </c>
      <c r="D32" s="45" t="n">
        <f aca="false">IF(B32&lt;='VALOR POR PL'!$P$5,0,IF($K$17&gt;0,$K$18*P32/$K$17,0))</f>
        <v>278549.17653469</v>
      </c>
      <c r="E32" s="45" t="n">
        <f aca="false">L32+D32/$K$2</f>
        <v>221.146494100129</v>
      </c>
      <c r="F32" s="117" t="n">
        <f aca="false">IF($K$9=0,0,E32/$K$9)</f>
        <v>0.0788032023782152</v>
      </c>
      <c r="G32" s="117" t="n">
        <f aca="false">G31+F32</f>
        <v>0.694435247864937</v>
      </c>
      <c r="H32" s="139" t="n">
        <v>313229.16</v>
      </c>
      <c r="L32" s="45" t="n">
        <f aca="false">C32/IF(B32&lt;='VALOR POR PL'!$P$5,IFERROR(INDEX('"INCC-FGV"'!$B$2:$B$800,MATCH(B32,'"INCC-FGV"'!$A$2:$A$800,0)),$K$2),$K$2)</f>
        <v>6.83536424921254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264720.494011692</v>
      </c>
      <c r="E33" s="45" t="n">
        <f aca="false">L33+D33/$K$2</f>
        <v>203.671570212928</v>
      </c>
      <c r="F33" s="117" t="n">
        <f aca="false">IF($K$9=0,0,E33/$K$9)</f>
        <v>0.0725761990100158</v>
      </c>
      <c r="G33" s="117" t="n">
        <f aca="false">G32+F33</f>
        <v>0.767011446874953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232124.313778909</v>
      </c>
      <c r="E34" s="45" t="n">
        <f aca="false">L34+D34/$K$2</f>
        <v>178.592608209098</v>
      </c>
      <c r="F34" s="117" t="n">
        <f aca="false">IF($K$9=0,0,E34/$K$9)</f>
        <v>0.0636395774901257</v>
      </c>
      <c r="G34" s="117" t="n">
        <f aca="false">G33+F34</f>
        <v>0.830651024365079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242989.707189836</v>
      </c>
      <c r="E35" s="45" t="n">
        <f aca="false">L35+D35/$K$2</f>
        <v>186.952262210374</v>
      </c>
      <c r="F35" s="117" t="n">
        <f aca="false">IF($K$9=0,0,E35/$K$9)</f>
        <v>0.066618451330089</v>
      </c>
      <c r="G35" s="117" t="n">
        <f aca="false">G34+F35</f>
        <v>0.897269475695168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142567.131725202</v>
      </c>
      <c r="E36" s="45" t="n">
        <f aca="false">L36+D36/$K$2</f>
        <v>109.688793410694</v>
      </c>
      <c r="F36" s="117" t="n">
        <f aca="false">IF($K$9=0,0,E36/$K$9)</f>
        <v>0.0390864355364885</v>
      </c>
      <c r="G36" s="117" t="n">
        <f aca="false">G35+F36</f>
        <v>0.936355911231656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48071.1344847105</v>
      </c>
      <c r="E37" s="45" t="n">
        <f aca="false">L37+D37/$K$2</f>
        <v>36.9851358844374</v>
      </c>
      <c r="F37" s="117" t="n">
        <f aca="false">IF($K$9=0,0,E37/$K$9)</f>
        <v>0.0131792600192318</v>
      </c>
      <c r="G37" s="117" t="n">
        <f aca="false">G36+F37</f>
        <v>0.949535171250888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17121.2259808556</v>
      </c>
      <c r="E38" s="45" t="n">
        <f aca="false">L38+D38/$K$2</f>
        <v>13.1727881232241</v>
      </c>
      <c r="F38" s="117" t="n">
        <f aca="false">IF($K$9=0,0,E38/$K$9)</f>
        <v>0.00469398302054824</v>
      </c>
      <c r="G38" s="117" t="n">
        <f aca="false">G37+F38</f>
        <v>0.954229154271436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6585.08691571382</v>
      </c>
      <c r="E39" s="45" t="n">
        <f aca="false">L39+D39/$K$2</f>
        <v>5.06645697047093</v>
      </c>
      <c r="F39" s="117" t="n">
        <f aca="false">IF($K$9=0,0,E39/$K$9)</f>
        <v>0.00180537808482629</v>
      </c>
      <c r="G39" s="117" t="n">
        <f aca="false">G38+F39</f>
        <v>0.956034532356263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9219.12168199926</v>
      </c>
      <c r="E40" s="45" t="n">
        <f aca="false">L40+D40/$K$2</f>
        <v>7.09303975865922</v>
      </c>
      <c r="F40" s="117" t="n">
        <f aca="false">IF($K$9=0,0,E40/$K$9)</f>
        <v>0.00252752931875678</v>
      </c>
      <c r="G40" s="117" t="n">
        <f aca="false">G39+F40</f>
        <v>0.958562061675019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4938.81518678502</v>
      </c>
      <c r="E41" s="45" t="n">
        <f aca="false">L41+D41/$K$2</f>
        <v>4.95432569447245</v>
      </c>
      <c r="F41" s="117" t="n">
        <f aca="false">IF($K$9=0,0,E41/$K$9)</f>
        <v>0.00176542129658331</v>
      </c>
      <c r="G41" s="117" t="n">
        <f aca="false">G40+F41</f>
        <v>0.960327482971603</v>
      </c>
      <c r="H41" s="139"/>
      <c r="L41" s="45" t="n">
        <f aca="false">C41/IF(B41&lt;='VALOR POR PL'!$P$5,IFERROR(INDEX('"INCC-FGV"'!$B$2:$B$800,MATCH(B41,'"INCC-FGV"'!$A$2:$A$800,0)),$K$2),$K$2)</f>
        <v>1.15448296661953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5926.57822414258</v>
      </c>
      <c r="E42" s="45" t="n">
        <f aca="false">L42+D42/$K$2</f>
        <v>4.55981127342394</v>
      </c>
      <c r="F42" s="117" t="n">
        <f aca="false">IF($K$9=0,0,E42/$K$9)</f>
        <v>0.0016248402763437</v>
      </c>
      <c r="G42" s="117" t="n">
        <f aca="false">G41+F42</f>
        <v>0.961952323247946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81325.8234090645</v>
      </c>
      <c r="E43" s="45" t="n">
        <f aca="false">L43+D43/$K$2</f>
        <v>62.570743585315</v>
      </c>
      <c r="F43" s="117" t="n">
        <f aca="false">IF($K$9=0,0,E43/$K$9)</f>
        <v>0.0222964193476043</v>
      </c>
      <c r="G43" s="117" t="n">
        <f aca="false">G42+F43</f>
        <v>0.984248742595551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53997.7127088526</v>
      </c>
      <c r="E44" s="45" t="n">
        <f aca="false">L44+D44/$K$2</f>
        <v>41.544947157861</v>
      </c>
      <c r="F44" s="117" t="n">
        <f aca="false">IF($K$9=0,0,E44/$K$9)</f>
        <v>0.0148041002955753</v>
      </c>
      <c r="G44" s="117" t="n">
        <f aca="false">G43+F44</f>
        <v>0.999052842891126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0.999052842891126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0.999052842891126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3454.74</v>
      </c>
      <c r="D47" s="45" t="n">
        <f aca="false">IF(B47&lt;='VALOR POR PL'!$P$5,0,IF($K$17&gt;0,$K$18*P47/$K$17,0))</f>
        <v>0</v>
      </c>
      <c r="E47" s="45" t="n">
        <f aca="false">L47+D47/$K$2</f>
        <v>2.65801982239552</v>
      </c>
      <c r="F47" s="117" t="n">
        <f aca="false">IF($K$9=0,0,E47/$K$9)</f>
        <v>0.000947157108874191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2.65801982239552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1579839.05</v>
      </c>
      <c r="D78" s="61" t="n">
        <f aca="false">SUM(D5:D76)</f>
        <v>2052900.84597375</v>
      </c>
      <c r="E78" s="61" t="n">
        <f aca="false">SUM(E5:E76)</f>
        <v>2806.3135434362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1226.84558289192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3297578.18602072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233.026834346583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3297578.18602072</v>
      </c>
      <c r="K9" s="45" t="n">
        <f aca="false">E78</f>
        <v>2537.10596391285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2304.07912956627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3206265.01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2994708.41602072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0.000689897298502861</v>
      </c>
      <c r="G25" s="117" t="n">
        <f aca="false">G24+F25</f>
        <v>0.000689897298502861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79.7093730909673</v>
      </c>
      <c r="F26" s="117" t="n">
        <f aca="false">IF($K$9=0,0,E26/$K$9)</f>
        <v>0.0314174394860653</v>
      </c>
      <c r="G26" s="117" t="n">
        <f aca="false">G25+F26</f>
        <v>0.0321073367845681</v>
      </c>
      <c r="H26" s="139" t="n">
        <v>47730</v>
      </c>
      <c r="L26" s="45" t="n">
        <f aca="false">C26/IF(B26&lt;='VALOR POR PL'!$P$5,IFERROR(INDEX('"INCC-FGV"'!$B$2:$B$800,MATCH(B26,'"INCC-FGV"'!$A$2:$A$800,0)),$K$2),$K$2)</f>
        <v>79.7093730909673</v>
      </c>
      <c r="M26" s="140" t="n">
        <f aca="false">'CP RESUMO'!Y23</f>
        <v>0</v>
      </c>
      <c r="N26" s="141" t="n">
        <f aca="false">MAX(0,M26-M25)</f>
        <v>0</v>
      </c>
      <c r="O26" s="140" t="n">
        <f aca="false">IF(B26&lt;='VALOR POR PL'!$P$5,'CP RESUMO'!Y65,"")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94067.38</v>
      </c>
      <c r="D27" s="45" t="n">
        <f aca="false">IF(B27&lt;='VALOR POR PL'!$P$5,0,IF($K$17&gt;0,$K$18*P27/$K$17,0))</f>
        <v>0</v>
      </c>
      <c r="E27" s="45" t="n">
        <f aca="false">L27+D27/$K$2</f>
        <v>72.3738865097843</v>
      </c>
      <c r="F27" s="117" t="n">
        <f aca="false">IF($K$9=0,0,E27/$K$9)</f>
        <v>0.0285261583628008</v>
      </c>
      <c r="G27" s="117" t="n">
        <f aca="false">G26+F27</f>
        <v>0.0606334951473689</v>
      </c>
      <c r="H27" s="139" t="n">
        <v>126000</v>
      </c>
      <c r="L27" s="45" t="n">
        <f aca="false">C27/IF(B27&lt;='VALOR POR PL'!$P$5,IFERROR(INDEX('"INCC-FGV"'!$B$2:$B$800,MATCH(B27,'"INCC-FGV"'!$A$2:$A$800,0)),$K$2),$K$2)</f>
        <v>72.3738865097843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95000.51</v>
      </c>
      <c r="D28" s="45" t="n">
        <f aca="false">IF(B28&lt;='VALOR POR PL'!$P$5,0,IF($K$17&gt;0,$K$18*P28/$K$17,0))</f>
        <v>32941.7925762279</v>
      </c>
      <c r="E28" s="45" t="n">
        <f aca="false">L28+D28/$K$2</f>
        <v>98.4366917251485</v>
      </c>
      <c r="F28" s="117" t="n">
        <f aca="false">IF($K$9=0,0,E28/$K$9)</f>
        <v>0.0387988097956045</v>
      </c>
      <c r="G28" s="117" t="n">
        <f aca="false">G27+F28</f>
        <v>0.0994323049429734</v>
      </c>
      <c r="H28" s="139" t="n">
        <v>194009.08</v>
      </c>
      <c r="L28" s="45" t="n">
        <f aca="false">C28/IF(B28&lt;='VALOR POR PL'!$P$5,IFERROR(INDEX('"INCC-FGV"'!$B$2:$B$800,MATCH(B28,'"INCC-FGV"'!$A$2:$A$800,0)),$K$2),$K$2)</f>
        <v>73.0918212999195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5635</v>
      </c>
      <c r="D29" s="45" t="n">
        <f aca="false">IF(B29&lt;='VALOR POR PL'!$P$5,0,IF($K$17&gt;0,$K$18*P29/$K$17,0))</f>
        <v>82953.4231237739</v>
      </c>
      <c r="E29" s="45" t="n">
        <f aca="false">L29+D29/$K$2</f>
        <v>68.1584676988002</v>
      </c>
      <c r="F29" s="117" t="n">
        <f aca="false">IF($K$9=0,0,E29/$K$9)</f>
        <v>0.0268646515629496</v>
      </c>
      <c r="G29" s="117" t="n">
        <f aca="false">G28+F29</f>
        <v>0.126296956505923</v>
      </c>
      <c r="H29" s="139" t="n">
        <v>170582.96</v>
      </c>
      <c r="L29" s="45" t="n">
        <f aca="false">C29/IF(B29&lt;='VALOR POR PL'!$P$5,IFERROR(INDEX('"INCC-FGV"'!$B$2:$B$800,MATCH(B29,'"INCC-FGV"'!$A$2:$A$800,0)),$K$2),$K$2)</f>
        <v>4.33547580981456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159617.958573904</v>
      </c>
      <c r="E30" s="45" t="n">
        <f aca="false">L30+D30/$K$2</f>
        <v>122.807417605882</v>
      </c>
      <c r="F30" s="117" t="n">
        <f aca="false">IF($K$9=0,0,E30/$K$9)</f>
        <v>0.0484045283691984</v>
      </c>
      <c r="G30" s="117" t="n">
        <f aca="false">G29+F30</f>
        <v>0.174701484875121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196452.872090959</v>
      </c>
      <c r="E31" s="45" t="n">
        <f aca="false">L31+D31/$K$2</f>
        <v>151.147590899547</v>
      </c>
      <c r="F31" s="117" t="n">
        <f aca="false">IF($K$9=0,0,E31/$K$9)</f>
        <v>0.0595748041467057</v>
      </c>
      <c r="G31" s="117" t="n">
        <f aca="false">G30+F31</f>
        <v>0.234276289021827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2295.26</v>
      </c>
      <c r="D32" s="45" t="n">
        <f aca="false">IF(B32&lt;='VALOR POR PL'!$P$5,0,IF($K$17&gt;0,$K$18*P32/$K$17,0))</f>
        <v>138654.999661759</v>
      </c>
      <c r="E32" s="45" t="n">
        <f aca="false">L32+D32/$K$2</f>
        <v>108.444798784497</v>
      </c>
      <c r="F32" s="117" t="n">
        <f aca="false">IF($K$9=0,0,E32/$K$9)</f>
        <v>0.0427435039478004</v>
      </c>
      <c r="G32" s="117" t="n">
        <f aca="false">G31+F32</f>
        <v>0.277019792969628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1.76593508557852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219212.656052717</v>
      </c>
      <c r="E33" s="45" t="n">
        <f aca="false">L33+D33/$K$2</f>
        <v>168.658592284251</v>
      </c>
      <c r="F33" s="117" t="n">
        <f aca="false">IF($K$9=0,0,E33/$K$9)</f>
        <v>0.0664767631637021</v>
      </c>
      <c r="G33" s="117" t="n">
        <f aca="false">G32+F33</f>
        <v>0.34349655613333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280304.707739539</v>
      </c>
      <c r="E34" s="45" t="n">
        <f aca="false">L34+D34/$K$2</f>
        <v>215.661806527403</v>
      </c>
      <c r="F34" s="117" t="n">
        <f aca="false">IF($K$9=0,0,E34/$K$9)</f>
        <v>0.085003074209324</v>
      </c>
      <c r="G34" s="117" t="n">
        <f aca="false">G33+F34</f>
        <v>0.428499630342654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377932.202101815</v>
      </c>
      <c r="E35" s="45" t="n">
        <f aca="false">L35+D35/$K$2</f>
        <v>290.774786151263</v>
      </c>
      <c r="F35" s="117" t="n">
        <f aca="false">IF($K$9=0,0,E35/$K$9)</f>
        <v>0.11460884578223</v>
      </c>
      <c r="G35" s="117" t="n">
        <f aca="false">G34+F35</f>
        <v>0.543108476124883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326423.217346259</v>
      </c>
      <c r="E36" s="45" t="n">
        <f aca="false">L36+D36/$K$2</f>
        <v>251.144625122723</v>
      </c>
      <c r="F36" s="117" t="n">
        <f aca="false">IF($K$9=0,0,E36/$K$9)</f>
        <v>0.0989886227437642</v>
      </c>
      <c r="G36" s="117" t="n">
        <f aca="false">G35+F36</f>
        <v>0.642097098868647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160216.900257108</v>
      </c>
      <c r="E37" s="45" t="n">
        <f aca="false">L37+D37/$K$2</f>
        <v>123.268233431795</v>
      </c>
      <c r="F37" s="117" t="n">
        <f aca="false">IF($K$9=0,0,E37/$K$9)</f>
        <v>0.0485861588696456</v>
      </c>
      <c r="G37" s="117" t="n">
        <f aca="false">G36+F37</f>
        <v>0.690683257738293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306059.200117318</v>
      </c>
      <c r="E38" s="45" t="n">
        <f aca="false">L38+D38/$K$2</f>
        <v>235.476887041673</v>
      </c>
      <c r="F38" s="117" t="n">
        <f aca="false">IF($K$9=0,0,E38/$K$9)</f>
        <v>0.0928131857285568</v>
      </c>
      <c r="G38" s="117" t="n">
        <f aca="false">G37+F38</f>
        <v>0.78349644346685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248560.79852972</v>
      </c>
      <c r="E39" s="45" t="n">
        <f aca="false">L39+D39/$K$2</f>
        <v>191.238567754</v>
      </c>
      <c r="F39" s="117" t="n">
        <f aca="false">IF($K$9=0,0,E39/$K$9)</f>
        <v>0.0753766576856185</v>
      </c>
      <c r="G39" s="117" t="n">
        <f aca="false">G38+F39</f>
        <v>0.858873101152468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168003.142138762</v>
      </c>
      <c r="E40" s="45" t="n">
        <f aca="false">L40+D40/$K$2</f>
        <v>129.258839168668</v>
      </c>
      <c r="F40" s="117" t="n">
        <f aca="false">IF($K$9=0,0,E40/$K$9)</f>
        <v>0.0509473553754602</v>
      </c>
      <c r="G40" s="117" t="n">
        <f aca="false">G39+F40</f>
        <v>0.909820456527929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113499.448967185</v>
      </c>
      <c r="E41" s="45" t="n">
        <f aca="false">L41+D41/$K$2</f>
        <v>87.3245990105617</v>
      </c>
      <c r="F41" s="117" t="n">
        <f aca="false">IF($K$9=0,0,E41/$K$9)</f>
        <v>0.0344189798347584</v>
      </c>
      <c r="G41" s="117" t="n">
        <f aca="false">G40+F41</f>
        <v>0.944239436362687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167104.729613956</v>
      </c>
      <c r="E42" s="45" t="n">
        <f aca="false">L42+D42/$K$2</f>
        <v>128.567615429798</v>
      </c>
      <c r="F42" s="117" t="n">
        <f aca="false">IF($K$9=0,0,E42/$K$9)</f>
        <v>0.0506749096247893</v>
      </c>
      <c r="G42" s="117" t="n">
        <f aca="false">G41+F42</f>
        <v>0.994914345987476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16770.3671297161</v>
      </c>
      <c r="E43" s="45" t="n">
        <f aca="false">L43+D43/$K$2</f>
        <v>12.9028431255712</v>
      </c>
      <c r="F43" s="117" t="n">
        <f aca="false">IF($K$9=0,0,E43/$K$9)</f>
        <v>0.00508565401252368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302869.77</v>
      </c>
      <c r="D78" s="61" t="n">
        <f aca="false">SUM(D5:D76)</f>
        <v>2994708.41602072</v>
      </c>
      <c r="E78" s="61" t="n">
        <f aca="false">SUM(E5:E76)</f>
        <v>2537.10596391285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233.026834346583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9342671.95705853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0.000129689746090398</v>
      </c>
      <c r="G8" s="117" t="n">
        <f aca="false">G7+F8</f>
        <v>0.000129689746090398</v>
      </c>
      <c r="H8" s="139"/>
      <c r="I8" s="42" t="s">
        <v>3279</v>
      </c>
      <c r="K8" s="66" t="n">
        <f aca="false">SUM(L5:L76)</f>
        <v>1005.85028299458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0.000129024469452358</v>
      </c>
      <c r="G9" s="117" t="n">
        <f aca="false">G8+F9</f>
        <v>0.000258714215542756</v>
      </c>
      <c r="H9" s="139"/>
      <c r="I9" s="42" t="s">
        <v>3280</v>
      </c>
      <c r="J9" s="45" t="n">
        <f aca="false">C78+D78</f>
        <v>9342671.95705853</v>
      </c>
      <c r="K9" s="45" t="n">
        <f aca="false">E78</f>
        <v>7202.70254833534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0.000258714215542756</v>
      </c>
      <c r="H10" s="139"/>
      <c r="I10" s="42" t="s">
        <v>3281</v>
      </c>
      <c r="K10" s="52" t="n">
        <f aca="false">IF(K6-K8&gt;0,(K6-K8)*'VALOR POR PL'!$G$65,K6-K8)</f>
        <v>6196.85226534076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5.90297828018875E-005</v>
      </c>
      <c r="G11" s="117" t="n">
        <f aca="false">G10+F11</f>
        <v>0.000317743998344643</v>
      </c>
      <c r="H11" s="139"/>
      <c r="I11" s="42" t="s">
        <v>3282</v>
      </c>
      <c r="K11" s="56" t="n">
        <f aca="false">SUMPRODUCT((B5:B76&gt;'VALOR POR PL'!$P$5)*H5:H76)</f>
        <v>8181893.3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0.000317743998344643</v>
      </c>
      <c r="H12" s="139"/>
      <c r="I12" s="42" t="s">
        <v>3283</v>
      </c>
      <c r="K12" s="140" t="n">
        <f aca="false">SUMPRODUCT((B5:B76&gt;'VALOR POR PL'!$P$5)*N5:N76)</f>
        <v>89.85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0.000209589209095741</v>
      </c>
      <c r="G13" s="117" t="n">
        <f aca="false">G12+F13</f>
        <v>0.000527333207440384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0.00916484803338204</v>
      </c>
      <c r="G14" s="117" t="n">
        <f aca="false">G13+F14</f>
        <v>0.00969218124082242</v>
      </c>
      <c r="H14" s="139"/>
      <c r="I14" s="42" t="s">
        <v>3285</v>
      </c>
      <c r="K14" s="58" t="n">
        <f aca="false">IFERROR(INDEX('CP RESUMO'!$D$66:$BW$66,MATCH('VALOR POR PL'!$P$5,'CP RESUMO'!$D$4:$BW$4,0))/100,0)</f>
        <v>0.0919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3.06669493247747E-005</v>
      </c>
      <c r="G15" s="117" t="n">
        <f aca="false">G14+F15</f>
        <v>0.0097228481901472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5.91309119862251E-005</v>
      </c>
      <c r="G16" s="117" t="n">
        <f aca="false">G15+F16</f>
        <v>0.00978197910213342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0.00978197910213342</v>
      </c>
      <c r="H17" s="139"/>
      <c r="I17" s="42" t="s">
        <v>3289</v>
      </c>
      <c r="K17" s="45" t="n">
        <f aca="false">SUM(P5:P76)</f>
        <v>89.85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0.000320417423922874</v>
      </c>
      <c r="G18" s="117" t="n">
        <f aca="false">G17+F18</f>
        <v>0.0101023965260563</v>
      </c>
      <c r="H18" s="139"/>
      <c r="I18" s="42" t="s">
        <v>3290</v>
      </c>
      <c r="K18" s="45" t="n">
        <f aca="false">MAX(0,K10)*$K$2</f>
        <v>8054309.15705853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0.00331776626720682</v>
      </c>
      <c r="G19" s="117" t="n">
        <f aca="false">G18+F19</f>
        <v>0.0134201627932631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0.00743766351401045</v>
      </c>
      <c r="G20" s="117" t="n">
        <f aca="false">G19+F20</f>
        <v>0.0208578263072736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0.00987704076230954</v>
      </c>
      <c r="G21" s="117" t="n">
        <f aca="false">G20+F21</f>
        <v>0.0307348670695831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0.016097266996437</v>
      </c>
      <c r="G22" s="117" t="n">
        <f aca="false">G21+F22</f>
        <v>0.0468321340660201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0.00979373414725011</v>
      </c>
      <c r="G23" s="117" t="n">
        <f aca="false">G22+F23</f>
        <v>0.0566258682132702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0.0121835919208498</v>
      </c>
      <c r="G24" s="117" t="n">
        <f aca="false">G23+F24</f>
        <v>0.0688094601341201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0.012789282529304</v>
      </c>
      <c r="G25" s="117" t="n">
        <f aca="false">G24+F25</f>
        <v>0.0815987426634241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0</v>
      </c>
      <c r="E26" s="45" t="n">
        <f aca="false">L26+D26/$K$2</f>
        <v>144.037585920898</v>
      </c>
      <c r="F26" s="117" t="n">
        <f aca="false">IF($K$9=0,0,E26/$K$9)</f>
        <v>0.0199977140461239</v>
      </c>
      <c r="G26" s="117" t="n">
        <f aca="false">G25+F26</f>
        <v>0.101596456709548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144.037585920898</v>
      </c>
      <c r="M26" s="140" t="n">
        <f aca="false">'CP RESUMO'!Y24</f>
        <v>10.15</v>
      </c>
      <c r="N26" s="141" t="n">
        <f aca="false">MAX(0,M26-M25)</f>
        <v>2.09</v>
      </c>
      <c r="O26" s="140" t="n">
        <f aca="false">IF(B26&lt;='VALOR POR PL'!$P$5,'CP RESUMO'!Y66,"")</f>
        <v>9.19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159680.94</v>
      </c>
      <c r="D27" s="45" t="n">
        <f aca="false">IF(B27&lt;='VALOR POR PL'!$P$5,0,IF($K$17&gt;0,$K$18*P27/$K$17,0))</f>
        <v>120119.913972826</v>
      </c>
      <c r="E27" s="45" t="n">
        <f aca="false">L27+D27/$K$2</f>
        <v>215.274149771898</v>
      </c>
      <c r="F27" s="117" t="n">
        <f aca="false">IF($K$9=0,0,E27/$K$9)</f>
        <v>0.0298879689015689</v>
      </c>
      <c r="G27" s="117" t="n">
        <f aca="false">G26+F27</f>
        <v>0.131484425611117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122.855874473549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110190.41</v>
      </c>
      <c r="D28" s="45" t="n">
        <f aca="false">IF(B28&lt;='VALOR POR PL'!$P$5,0,IF($K$17&gt;0,$K$18*P28/$K$17,0))</f>
        <v>116534.24489901</v>
      </c>
      <c r="E28" s="45" t="n">
        <f aca="false">L28+D28/$K$2</f>
        <v>174.438199965078</v>
      </c>
      <c r="F28" s="117" t="n">
        <f aca="false">IF($K$9=0,0,E28/$K$9)</f>
        <v>0.024218437287181</v>
      </c>
      <c r="G28" s="117" t="n">
        <f aca="false">G27+F28</f>
        <v>0.155702862898298</v>
      </c>
      <c r="H28" s="139" t="n">
        <v>165179.61</v>
      </c>
      <c r="L28" s="45" t="n">
        <f aca="false">C28/IF(B28&lt;='VALOR POR PL'!$P$5,IFERROR(INDEX('"INCC-FGV"'!$B$2:$B$800,MATCH(B28,'"INCC-FGV"'!$A$2:$A$800,0)),$K$2),$K$2)</f>
        <v>84.7786791532473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77683.53</v>
      </c>
      <c r="D29" s="45" t="n">
        <f aca="false">IF(B29&lt;='VALOR POR PL'!$P$5,0,IF($K$17&gt;0,$K$18*P29/$K$17,0))</f>
        <v>41235.1943488807</v>
      </c>
      <c r="E29" s="45" t="n">
        <f aca="false">L29+D29/$K$2</f>
        <v>91.494099866651</v>
      </c>
      <c r="F29" s="117" t="n">
        <f aca="false">IF($K$9=0,0,E29/$K$9)</f>
        <v>0.0127027458447242</v>
      </c>
      <c r="G29" s="117" t="n">
        <f aca="false">G28+F29</f>
        <v>0.168405608743022</v>
      </c>
      <c r="H29" s="139" t="n">
        <v>131060.6</v>
      </c>
      <c r="L29" s="45" t="n">
        <f aca="false">C29/IF(B29&lt;='VALOR POR PL'!$P$5,IFERROR(INDEX('"INCC-FGV"'!$B$2:$B$800,MATCH(B29,'"INCC-FGV"'!$A$2:$A$800,0)),$K$2),$K$2)</f>
        <v>59.7684232716955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82470.3886977613</v>
      </c>
      <c r="E30" s="45" t="n">
        <f aca="false">L30+D30/$K$2</f>
        <v>65.1209153030073</v>
      </c>
      <c r="F30" s="117" t="n">
        <f aca="false">IF($K$9=0,0,E30/$K$9)</f>
        <v>0.00904117792814556</v>
      </c>
      <c r="G30" s="117" t="n">
        <f aca="false">G29+F30</f>
        <v>0.177446786671168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1.66956211309629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143426.762952628</v>
      </c>
      <c r="E31" s="45" t="n">
        <f aca="false">L31+D31/$K$2</f>
        <v>110.350179460715</v>
      </c>
      <c r="F31" s="117" t="n">
        <f aca="false">IF($K$9=0,0,E31/$K$9)</f>
        <v>0.0153206631427836</v>
      </c>
      <c r="G31" s="117" t="n">
        <f aca="false">G30+F31</f>
        <v>0.192767449813951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195418.964522956</v>
      </c>
      <c r="E32" s="45" t="n">
        <f aca="false">L32+D32/$K$2</f>
        <v>150.352119515224</v>
      </c>
      <c r="F32" s="117" t="n">
        <f aca="false">IF($K$9=0,0,E32/$K$9)</f>
        <v>0.0208744035320426</v>
      </c>
      <c r="G32" s="117" t="n">
        <f aca="false">G31+F32</f>
        <v>0.213641853345994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225000.734381936</v>
      </c>
      <c r="E33" s="45" t="n">
        <f aca="false">L33+D33/$K$2</f>
        <v>173.111844028996</v>
      </c>
      <c r="F33" s="117" t="n">
        <f aca="false">IF($K$9=0,0,E33/$K$9)</f>
        <v>0.0240342903052418</v>
      </c>
      <c r="G33" s="117" t="n">
        <f aca="false">G32+F33</f>
        <v>0.237676143651236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184661.957301509</v>
      </c>
      <c r="E34" s="45" t="n">
        <f aca="false">L34+D34/$K$2</f>
        <v>142.07585605567</v>
      </c>
      <c r="F34" s="117" t="n">
        <f aca="false">IF($K$9=0,0,E34/$K$9)</f>
        <v>0.0197253537963339</v>
      </c>
      <c r="G34" s="117" t="n">
        <f aca="false">G33+F34</f>
        <v>0.257401497447569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168526.446469338</v>
      </c>
      <c r="E35" s="45" t="n">
        <f aca="false">L35+D35/$K$2</f>
        <v>129.66146086634</v>
      </c>
      <c r="F35" s="117" t="n">
        <f aca="false">IF($K$9=0,0,E35/$K$9)</f>
        <v>0.0180017791927707</v>
      </c>
      <c r="G35" s="117" t="n">
        <f aca="false">G34+F35</f>
        <v>0.27540327664034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369323.914603018</v>
      </c>
      <c r="E36" s="45" t="n">
        <f aca="false">L36+D36/$K$2</f>
        <v>284.151712111341</v>
      </c>
      <c r="F36" s="117" t="n">
        <f aca="false">IF($K$9=0,0,E36/$K$9)</f>
        <v>0.0394507075926678</v>
      </c>
      <c r="G36" s="117" t="n">
        <f aca="false">G35+F36</f>
        <v>0.314853984233008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347809.900160124</v>
      </c>
      <c r="E37" s="45" t="n">
        <f aca="false">L37+D37/$K$2</f>
        <v>267.599185192233</v>
      </c>
      <c r="F37" s="117" t="n">
        <f aca="false">IF($K$9=0,0,E37/$K$9)</f>
        <v>0.0371526081212502</v>
      </c>
      <c r="G37" s="117" t="n">
        <f aca="false">G36+F37</f>
        <v>0.352006592354258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641834.764213012</v>
      </c>
      <c r="E38" s="45" t="n">
        <f aca="false">L38+D38/$K$2</f>
        <v>493.817053086699</v>
      </c>
      <c r="F38" s="117" t="n">
        <f aca="false">IF($K$9=0,0,E38/$K$9)</f>
        <v>0.0685599675639566</v>
      </c>
      <c r="G38" s="117" t="n">
        <f aca="false">G37+F38</f>
        <v>0.420566559918215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709066.059347056</v>
      </c>
      <c r="E39" s="45" t="n">
        <f aca="false">L39+D39/$K$2</f>
        <v>545.543699708908</v>
      </c>
      <c r="F39" s="117" t="n">
        <f aca="false">IF($K$9=0,0,E39/$K$9)</f>
        <v>0.0757415284121364</v>
      </c>
      <c r="G39" s="117" t="n">
        <f aca="false">G38+F39</f>
        <v>0.496308088330351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548607.368293804</v>
      </c>
      <c r="E40" s="45" t="n">
        <f aca="false">L40+D40/$K$2</f>
        <v>427.098122776523</v>
      </c>
      <c r="F40" s="117" t="n">
        <f aca="false">IF($K$9=0,0,E40/$K$9)</f>
        <v>0.0592969263842823</v>
      </c>
      <c r="G40" s="117" t="n">
        <f aca="false">G39+F40</f>
        <v>0.555605014714633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5.00868633928887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340638.562012492</v>
      </c>
      <c r="E41" s="45" t="n">
        <f aca="false">L41+D41/$K$2</f>
        <v>262.081676219197</v>
      </c>
      <c r="F41" s="117" t="n">
        <f aca="false">IF($K$9=0,0,E41/$K$9)</f>
        <v>0.036386574964111</v>
      </c>
      <c r="G41" s="117" t="n">
        <f aca="false">G40+F41</f>
        <v>0.591991589678744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519025.598434824</v>
      </c>
      <c r="E42" s="45" t="n">
        <f aca="false">L42+D42/$K$2</f>
        <v>399.329711923461</v>
      </c>
      <c r="F42" s="117" t="n">
        <f aca="false">IF($K$9=0,0,E42/$K$9)</f>
        <v>0.0554416497479481</v>
      </c>
      <c r="G42" s="117" t="n">
        <f aca="false">G41+F42</f>
        <v>0.647433239426693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721615.901105412</v>
      </c>
      <c r="E43" s="45" t="n">
        <f aca="false">L43+D43/$K$2</f>
        <v>555.199340411721</v>
      </c>
      <c r="F43" s="117" t="n">
        <f aca="false">IF($K$9=0,0,E43/$K$9)</f>
        <v>0.07708208643713</v>
      </c>
      <c r="G43" s="117" t="n">
        <f aca="false">G42+F43</f>
        <v>0.724515325863823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786157.944434094</v>
      </c>
      <c r="E44" s="45" t="n">
        <f aca="false">L44+D44/$K$2</f>
        <v>604.856921169043</v>
      </c>
      <c r="F44" s="117" t="n">
        <f aca="false">IF($K$9=0,0,E44/$K$9)</f>
        <v>0.0839763848513825</v>
      </c>
      <c r="G44" s="117" t="n">
        <f aca="false">G43+F44</f>
        <v>0.808491710715205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292232.029515981</v>
      </c>
      <c r="E45" s="45" t="n">
        <f aca="false">L45+D45/$K$2</f>
        <v>224.838490651207</v>
      </c>
      <c r="F45" s="117" t="n">
        <f aca="false">IF($K$9=0,0,E45/$K$9)</f>
        <v>0.0312158511534216</v>
      </c>
      <c r="G45" s="117" t="n">
        <f aca="false">G44+F45</f>
        <v>0.839707561868627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186454.791838417</v>
      </c>
      <c r="E46" s="45" t="n">
        <f aca="false">L46+D46/$K$2</f>
        <v>143.455233298929</v>
      </c>
      <c r="F46" s="117" t="n">
        <f aca="false">IF($K$9=0,0,E46/$K$9)</f>
        <v>0.0199168620856187</v>
      </c>
      <c r="G46" s="117" t="n">
        <f aca="false">G45+F46</f>
        <v>0.859624423954245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302092.619468973</v>
      </c>
      <c r="E47" s="45" t="n">
        <f aca="false">L47+D47/$K$2</f>
        <v>232.42506548913</v>
      </c>
      <c r="F47" s="117" t="n">
        <f aca="false">IF($K$9=0,0,E47/$K$9)</f>
        <v>0.0322691467444879</v>
      </c>
      <c r="G47" s="117" t="n">
        <f aca="false">G46+F47</f>
        <v>0.891893570698733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270718.015073087</v>
      </c>
      <c r="E48" s="45" t="n">
        <f aca="false">L48+D48/$K$2</f>
        <v>208.2859637321</v>
      </c>
      <c r="F48" s="117" t="n">
        <f aca="false">IF($K$9=0,0,E48/$K$9)</f>
        <v>0.0289177516820041</v>
      </c>
      <c r="G48" s="117" t="n">
        <f aca="false">G47+F48</f>
        <v>0.920811322380737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189144.043643779</v>
      </c>
      <c r="E49" s="45" t="n">
        <f aca="false">L49+D49/$K$2</f>
        <v>145.524299163818</v>
      </c>
      <c r="F49" s="117" t="n">
        <f aca="false">IF($K$9=0,0,E49/$K$9)</f>
        <v>0.0202041245195459</v>
      </c>
      <c r="G49" s="117" t="n">
        <f aca="false">G48+F49</f>
        <v>0.941015446900283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149701.683831806</v>
      </c>
      <c r="E50" s="45" t="n">
        <f aca="false">L50+D50/$K$2</f>
        <v>115.177999812121</v>
      </c>
      <c r="F50" s="117" t="n">
        <f aca="false">IF($K$9=0,0,E50/$K$9)</f>
        <v>0.0159909421552804</v>
      </c>
      <c r="G50" s="117" t="n">
        <f aca="false">G49+F50</f>
        <v>0.957006389055564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164044.360127068</v>
      </c>
      <c r="E51" s="45" t="n">
        <f aca="false">L51+D51/$K$2</f>
        <v>126.213017758192</v>
      </c>
      <c r="F51" s="117" t="n">
        <f aca="false">IF($K$9=0,0,E51/$K$9)</f>
        <v>0.0175230084695587</v>
      </c>
      <c r="G51" s="117" t="n">
        <f aca="false">G50+F51</f>
        <v>0.974529397525122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84263.2232346689</v>
      </c>
      <c r="E52" s="45" t="n">
        <f aca="false">L52+D52/$K$2</f>
        <v>64.8307304331698</v>
      </c>
      <c r="F52" s="117" t="n">
        <f aca="false">IF($K$9=0,0,E52/$K$9)</f>
        <v>0.00900088959638534</v>
      </c>
      <c r="G52" s="117" t="n">
        <f aca="false">G51+F52</f>
        <v>0.983530287121508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108466.489482925</v>
      </c>
      <c r="E53" s="45" t="n">
        <f aca="false">L53+D53/$K$2</f>
        <v>83.4523232171651</v>
      </c>
      <c r="F53" s="117" t="n">
        <f aca="false">IF($K$9=0,0,E53/$K$9)</f>
        <v>0.01158625150173</v>
      </c>
      <c r="G53" s="117" t="n">
        <f aca="false">G52+F53</f>
        <v>0.995116538623238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45717.2806911507</v>
      </c>
      <c r="E54" s="45" t="n">
        <f aca="false">L54+D54/$K$2</f>
        <v>35.1741197031032</v>
      </c>
      <c r="F54" s="117" t="n">
        <f aca="false">IF($K$9=0,0,E54/$K$9)</f>
        <v>0.00488346137676232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1288362.8</v>
      </c>
      <c r="D78" s="61" t="n">
        <f aca="false">SUM(D5:D76)</f>
        <v>8054309.15705853</v>
      </c>
      <c r="E78" s="61" t="n">
        <f aca="false">SUM(E5:E76)</f>
        <v>7202.70254833534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1005.85028299458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0.00224851285738292</v>
      </c>
      <c r="G5" s="117" t="n">
        <f aca="false">F5</f>
        <v>0.00224851285738292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0.0010929604182662</v>
      </c>
      <c r="G6" s="117" t="n">
        <f aca="false">G5+F6</f>
        <v>0.00334147327564912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0.00168387022825701</v>
      </c>
      <c r="G7" s="117" t="n">
        <f aca="false">G6+F7</f>
        <v>0.00502534350390613</v>
      </c>
      <c r="H7" s="139"/>
      <c r="I7" s="42" t="s">
        <v>3278</v>
      </c>
      <c r="J7" s="45" t="n">
        <f aca="false">C78+D78</f>
        <v>5613678.13702726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0.000121525336077601</v>
      </c>
      <c r="G8" s="117" t="n">
        <f aca="false">G7+F8</f>
        <v>0.00514686883998373</v>
      </c>
      <c r="H8" s="139"/>
      <c r="I8" s="42" t="s">
        <v>3279</v>
      </c>
      <c r="K8" s="66" t="n">
        <f aca="false">SUM(L5:L76)</f>
        <v>542.075248820621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0.00167155302268426</v>
      </c>
      <c r="G9" s="117" t="n">
        <f aca="false">G8+F9</f>
        <v>0.00681842186266799</v>
      </c>
      <c r="H9" s="139"/>
      <c r="I9" s="42" t="s">
        <v>3280</v>
      </c>
      <c r="J9" s="45" t="n">
        <f aca="false">C78+D78</f>
        <v>5613678.13702726</v>
      </c>
      <c r="K9" s="45" t="n">
        <f aca="false">E78</f>
        <v>4330.26355621337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0.000773976708331757</v>
      </c>
      <c r="G10" s="117" t="n">
        <f aca="false">G9+F10</f>
        <v>0.00759239857099974</v>
      </c>
      <c r="H10" s="139"/>
      <c r="I10" s="42" t="s">
        <v>3281</v>
      </c>
      <c r="K10" s="52" t="n">
        <f aca="false">IF(K6-K8&gt;0,(K6-K8)*'VALOR POR PL'!$G$65,K6-K8)</f>
        <v>3788.18830739274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0.00759239857099974</v>
      </c>
      <c r="H11" s="139"/>
      <c r="I11" s="42" t="s">
        <v>3282</v>
      </c>
      <c r="K11" s="56" t="n">
        <f aca="false">SUMPRODUCT((B5:B76&gt;'VALOR POR PL'!$P$5)*H5:H76)</f>
        <v>4107470.91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0.000807259769896978</v>
      </c>
      <c r="G12" s="117" t="n">
        <f aca="false">G11+F12</f>
        <v>0.00839965834089672</v>
      </c>
      <c r="H12" s="139"/>
      <c r="I12" s="42" t="s">
        <v>3283</v>
      </c>
      <c r="K12" s="140" t="n">
        <f aca="false">SUMPRODUCT((B5:B76&gt;'VALOR POR PL'!$P$5)*N5:N76)</f>
        <v>91.79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0.000407523157217539</v>
      </c>
      <c r="G13" s="117" t="n">
        <f aca="false">G12+F13</f>
        <v>0.00880718149811426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0.00184254057586437</v>
      </c>
      <c r="G14" s="117" t="n">
        <f aca="false">G13+F14</f>
        <v>0.0106497220739786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0.00305515440434154</v>
      </c>
      <c r="G15" s="117" t="n">
        <f aca="false">G14+F15</f>
        <v>0.0137048764783202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0.000151300641555038</v>
      </c>
      <c r="G16" s="117" t="n">
        <f aca="false">G15+F16</f>
        <v>0.0138561771198752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0.00197823881850593</v>
      </c>
      <c r="G17" s="117" t="n">
        <f aca="false">G16+F17</f>
        <v>0.0158344159383811</v>
      </c>
      <c r="H17" s="139"/>
      <c r="I17" s="42" t="s">
        <v>3289</v>
      </c>
      <c r="K17" s="45" t="n">
        <f aca="false">SUM(P5:P76)</f>
        <v>91.79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0.00300770891347371</v>
      </c>
      <c r="G18" s="117" t="n">
        <f aca="false">G17+F18</f>
        <v>0.0188421248518549</v>
      </c>
      <c r="H18" s="139"/>
      <c r="I18" s="42" t="s">
        <v>3290</v>
      </c>
      <c r="K18" s="45" t="n">
        <f aca="false">MAX(0,K10)*$K$2</f>
        <v>4923667.44702726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0.00232202463962443</v>
      </c>
      <c r="G19" s="117" t="n">
        <f aca="false">G18+F19</f>
        <v>0.0211641494914793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0.000138463669581377</v>
      </c>
      <c r="G20" s="117" t="n">
        <f aca="false">G19+F20</f>
        <v>0.0213026131610607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0.00149008039559314</v>
      </c>
      <c r="G21" s="117" t="n">
        <f aca="false">G20+F21</f>
        <v>0.0227926935566538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0.0202235651926591</v>
      </c>
      <c r="G22" s="117" t="n">
        <f aca="false">G21+F22</f>
        <v>0.0430162587493129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0.0298215816070219</v>
      </c>
      <c r="G23" s="117" t="n">
        <f aca="false">G22+F23</f>
        <v>0.0728378403563348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0.0146239479073622</v>
      </c>
      <c r="G24" s="117" t="n">
        <f aca="false">G23+F24</f>
        <v>0.087461788263697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0.0132770994385407</v>
      </c>
      <c r="G25" s="117" t="n">
        <f aca="false">G24+F25</f>
        <v>0.100738887702238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0</v>
      </c>
      <c r="E26" s="45" t="n">
        <f aca="false">L26+D26/$K$2</f>
        <v>53.9348424533484</v>
      </c>
      <c r="F26" s="117" t="n">
        <f aca="false">IF($K$9=0,0,E26/$K$9)</f>
        <v>0.0124553255831181</v>
      </c>
      <c r="G26" s="117" t="n">
        <f aca="false">G25+F26</f>
        <v>0.113194213285356</v>
      </c>
      <c r="H26" s="139" t="n">
        <v>129965.83</v>
      </c>
      <c r="L26" s="45" t="n">
        <f aca="false">C26/IF(B26&lt;='VALOR POR PL'!$P$5,IFERROR(INDEX('"INCC-FGV"'!$B$2:$B$800,MATCH(B26,'"INCC-FGV"'!$A$2:$A$800,0)),$K$2),$K$2)</f>
        <v>53.9348424533484</v>
      </c>
      <c r="M26" s="140" t="n">
        <f aca="false">'CP RESUMO'!Y25</f>
        <v>8.21</v>
      </c>
      <c r="N26" s="141" t="n">
        <f aca="false">MAX(0,M26-M25)</f>
        <v>6.7</v>
      </c>
      <c r="O26" s="140" t="n">
        <f aca="false">IF(B26&lt;='VALOR POR PL'!$P$5,'CP RESUMO'!Y67,"")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205979.769000814</v>
      </c>
      <c r="E27" s="45" t="n">
        <f aca="false">L27+D27/$K$2</f>
        <v>195.629354903368</v>
      </c>
      <c r="F27" s="117" t="n">
        <f aca="false">IF($K$9=0,0,E27/$K$9)</f>
        <v>0.0451772397600755</v>
      </c>
      <c r="G27" s="117" t="n">
        <f aca="false">G26+F27</f>
        <v>0.158371453045431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37.1519270747579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359928.190102984</v>
      </c>
      <c r="E28" s="45" t="n">
        <f aca="false">L28+D28/$K$2</f>
        <v>277.364092337544</v>
      </c>
      <c r="F28" s="117" t="n">
        <f aca="false">IF($K$9=0,0,E28/$K$9)</f>
        <v>0.0640524736513007</v>
      </c>
      <c r="G28" s="117" t="n">
        <f aca="false">G27+F28</f>
        <v>0.222423926696732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0.441295272446378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100844.261906648</v>
      </c>
      <c r="E29" s="45" t="n">
        <f aca="false">L29+D29/$K$2</f>
        <v>78.6011007620345</v>
      </c>
      <c r="F29" s="117" t="n">
        <f aca="false">IF($K$9=0,0,E29/$K$9)</f>
        <v>0.0181515743191317</v>
      </c>
      <c r="G29" s="117" t="n">
        <f aca="false">G28+F29</f>
        <v>0.240575501015864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1.01319338761077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177550.269633514</v>
      </c>
      <c r="E30" s="45" t="n">
        <f aca="false">L30+D30/$K$2</f>
        <v>138.219946445921</v>
      </c>
      <c r="F30" s="117" t="n">
        <f aca="false">IF($K$9=0,0,E30/$K$9)</f>
        <v>0.031919522830797</v>
      </c>
      <c r="G30" s="117" t="n">
        <f aca="false">G29+F30</f>
        <v>0.272495023846661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1.61570527073835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308433.247852781</v>
      </c>
      <c r="E31" s="45" t="n">
        <f aca="false">L31+D31/$K$2</f>
        <v>237.303440107945</v>
      </c>
      <c r="F31" s="117" t="n">
        <f aca="false">IF($K$9=0,0,E31/$K$9)</f>
        <v>0.0548011540238574</v>
      </c>
      <c r="G31" s="117" t="n">
        <f aca="false">G30+F31</f>
        <v>0.327296177870518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406059.075868792</v>
      </c>
      <c r="E32" s="45" t="n">
        <f aca="false">L32+D32/$K$2</f>
        <v>313.513563360107</v>
      </c>
      <c r="F32" s="117" t="n">
        <f aca="false">IF($K$9=0,0,E32/$K$9)</f>
        <v>0.0724005731499311</v>
      </c>
      <c r="G32" s="117" t="n">
        <f aca="false">G31+F32</f>
        <v>0.399696751020449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1.09842568755953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480619.461001898</v>
      </c>
      <c r="E33" s="45" t="n">
        <f aca="false">L33+D33/$K$2</f>
        <v>369.780664933424</v>
      </c>
      <c r="F33" s="117" t="n">
        <f aca="false">IF($K$9=0,0,E33/$K$9)</f>
        <v>0.0853944939223934</v>
      </c>
      <c r="G33" s="117" t="n">
        <f aca="false">G32+F33</f>
        <v>0.485091244942843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529968.780658344</v>
      </c>
      <c r="E34" s="45" t="n">
        <f aca="false">L34+D34/$K$2</f>
        <v>408.128906089319</v>
      </c>
      <c r="F34" s="117" t="n">
        <f aca="false">IF($K$9=0,0,E34/$K$9)</f>
        <v>0.0942503616214553</v>
      </c>
      <c r="G34" s="117" t="n">
        <f aca="false">G33+F34</f>
        <v>0.579341606564298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0.379690738623511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726293.247987244</v>
      </c>
      <c r="E35" s="45" t="n">
        <f aca="false">L35+D35/$K$2</f>
        <v>558.79801374984</v>
      </c>
      <c r="F35" s="117" t="n">
        <f aca="false">IF($K$9=0,0,E35/$K$9)</f>
        <v>0.129044804431831</v>
      </c>
      <c r="G35" s="117" t="n">
        <f aca="false">G34+F35</f>
        <v>0.708386410996129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946219.563847487</v>
      </c>
      <c r="E36" s="45" t="n">
        <f aca="false">L36+D36/$K$2</f>
        <v>728.005684087679</v>
      </c>
      <c r="F36" s="117" t="n">
        <f aca="false">IF($K$9=0,0,E36/$K$9)</f>
        <v>0.168120409909712</v>
      </c>
      <c r="G36" s="117" t="n">
        <f aca="false">G35+F36</f>
        <v>0.876506820905841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462918.074603391</v>
      </c>
      <c r="E37" s="45" t="n">
        <f aca="false">L37+D37/$K$2</f>
        <v>356.161510979403</v>
      </c>
      <c r="F37" s="117" t="n">
        <f aca="false">IF($K$9=0,0,E37/$K$9)</f>
        <v>0.0822493842131981</v>
      </c>
      <c r="G37" s="117" t="n">
        <f aca="false">G36+F37</f>
        <v>0.958756205119039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191496.816492944</v>
      </c>
      <c r="E38" s="45" t="n">
        <f aca="false">L38+D38/$K$2</f>
        <v>147.334483684411</v>
      </c>
      <c r="F38" s="117" t="n">
        <f aca="false">IF($K$9=0,0,E38/$K$9)</f>
        <v>0.0340243686722036</v>
      </c>
      <c r="G38" s="117" t="n">
        <f aca="false">G37+F38</f>
        <v>0.992780573791243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22529.0372344641</v>
      </c>
      <c r="E39" s="45" t="n">
        <f aca="false">L39+D39/$K$2</f>
        <v>17.3334686687543</v>
      </c>
      <c r="F39" s="117" t="n">
        <f aca="false">IF($K$9=0,0,E39/$K$9)</f>
        <v>0.00400286690261221</v>
      </c>
      <c r="G39" s="117" t="n">
        <f aca="false">G38+F39</f>
        <v>0.996783440693855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4827.65083595675</v>
      </c>
      <c r="E40" s="45" t="n">
        <f aca="false">L40+D40/$K$2</f>
        <v>3.71431471473319</v>
      </c>
      <c r="F40" s="117" t="n">
        <f aca="false">IF($K$9=0,0,E40/$K$9)</f>
        <v>0.000857757193416931</v>
      </c>
      <c r="G40" s="117" t="n">
        <f aca="false">G39+F40</f>
        <v>0.997641197887272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9.82274943796538</v>
      </c>
      <c r="F41" s="117" t="n">
        <f aca="false">IF($K$9=0,0,E41/$K$9)</f>
        <v>0.00226839528598</v>
      </c>
      <c r="G41" s="117" t="n">
        <f aca="false">G40+F41</f>
        <v>0.999909593173252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9.82274943796538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0.999909593173252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0.999909593173252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0.999909593173252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0.999909593173252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0.999909593173252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0.999909593173252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0.999909593173252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0.391485387099901</v>
      </c>
      <c r="F49" s="117" t="n">
        <f aca="false">IF($K$9=0,0,E49/$K$9)</f>
        <v>9.04068267480326E-005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0.391485387099901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4923667.44702726</v>
      </c>
      <c r="E78" s="61" t="n">
        <f aca="false">SUM(E5:E76)</f>
        <v>4330.26355621337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542.075248820621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778060.027585041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25.3896542544597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778060.027585041</v>
      </c>
      <c r="K9" s="45" t="n">
        <f aca="false">E78</f>
        <v>598.626517866654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573.236863612194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478410.4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97.66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97.66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745060.027585041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n">
        <f aca="false">IF(B26&lt;='VALOR POR PL'!$P$5,'CP RESUMO'!Y68,"")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72324.0739453839</v>
      </c>
      <c r="E27" s="45" t="n">
        <f aca="false">L27+D27/$K$2</f>
        <v>64.1073258734301</v>
      </c>
      <c r="F27" s="117" t="n">
        <f aca="false">IF($K$9=0,0,E27/$K$9)</f>
        <v>0.107090688367585</v>
      </c>
      <c r="G27" s="117" t="n">
        <f aca="false">G26+F27</f>
        <v>0.107090688367585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8.46237945684605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20064.5901346371</v>
      </c>
      <c r="E28" s="45" t="n">
        <f aca="false">L28+D28/$K$2</f>
        <v>23.8997355895532</v>
      </c>
      <c r="F28" s="117" t="n">
        <f aca="false">IF($K$9=0,0,E28/$K$9)</f>
        <v>0.0399242848023598</v>
      </c>
      <c r="G28" s="117" t="n">
        <f aca="false">G27+F28</f>
        <v>0.147014973169944</v>
      </c>
      <c r="H28" s="139"/>
      <c r="L28" s="45" t="n">
        <f aca="false">C28/IF(B28&lt;='VALOR POR PL'!$P$5,IFERROR(INDEX('"INCC-FGV"'!$B$2:$B$800,MATCH(B28,'"INCC-FGV"'!$A$2:$A$800,0)),$K$2),$K$2)</f>
        <v>8.46237176301143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20064.5901346371</v>
      </c>
      <c r="E29" s="45" t="n">
        <f aca="false">L29+D29/$K$2</f>
        <v>23.902266861144</v>
      </c>
      <c r="F29" s="117" t="n">
        <f aca="false">IF($K$9=0,0,E29/$K$9)</f>
        <v>0.0399285132678809</v>
      </c>
      <c r="G29" s="117" t="n">
        <f aca="false">G28+F29</f>
        <v>0.186943486437825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8.46490303460225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29295.827420915</v>
      </c>
      <c r="E30" s="45" t="n">
        <f aca="false">L30+D30/$K$2</f>
        <v>22.5397251307683</v>
      </c>
      <c r="F30" s="117" t="n">
        <f aca="false">IF($K$9=0,0,E30/$K$9)</f>
        <v>0.037652400049189</v>
      </c>
      <c r="G30" s="117" t="n">
        <f aca="false">G29+F30</f>
        <v>0.224595886487014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53480.1432866182</v>
      </c>
      <c r="E31" s="45" t="n">
        <f aca="false">L31+D31/$K$2</f>
        <v>41.1467378038243</v>
      </c>
      <c r="F31" s="117" t="n">
        <f aca="false">IF($K$9=0,0,E31/$K$9)</f>
        <v>0.0687352407147955</v>
      </c>
      <c r="G31" s="117" t="n">
        <f aca="false">G30+F31</f>
        <v>0.29333112720181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33415.5531519812</v>
      </c>
      <c r="E32" s="45" t="n">
        <f aca="false">L32+D32/$K$2</f>
        <v>25.7093739772825</v>
      </c>
      <c r="F32" s="117" t="n">
        <f aca="false">IF($K$9=0,0,E32/$K$9)</f>
        <v>0.0429472688061062</v>
      </c>
      <c r="G32" s="117" t="n">
        <f aca="false">G31+F32</f>
        <v>0.336278396007916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60193.7704039113</v>
      </c>
      <c r="E33" s="45" t="n">
        <f aca="false">L33+D33/$K$2</f>
        <v>46.3120914796254</v>
      </c>
      <c r="F33" s="117" t="n">
        <f aca="false">IF($K$9=0,0,E33/$K$9)</f>
        <v>0.077363915726068</v>
      </c>
      <c r="G33" s="117" t="n">
        <f aca="false">G32+F33</f>
        <v>0.413642311733984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47834.5932107127</v>
      </c>
      <c r="E34" s="45" t="n">
        <f aca="false">L34+D34/$K$2</f>
        <v>36.8031449400825</v>
      </c>
      <c r="F34" s="117" t="n">
        <f aca="false">IF($K$9=0,0,E34/$K$9)</f>
        <v>0.0614793094553164</v>
      </c>
      <c r="G34" s="117" t="n">
        <f aca="false">G33+F34</f>
        <v>0.4751216211893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76062.3435902402</v>
      </c>
      <c r="E35" s="45" t="n">
        <f aca="false">L35+D35/$K$2</f>
        <v>58.5211092587915</v>
      </c>
      <c r="F35" s="117" t="n">
        <f aca="false">IF($K$9=0,0,E35/$K$9)</f>
        <v>0.0977589657527121</v>
      </c>
      <c r="G35" s="117" t="n">
        <f aca="false">G34+F35</f>
        <v>0.572880586942013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63245.4190935899</v>
      </c>
      <c r="E36" s="45" t="n">
        <f aca="false">L36+D36/$K$2</f>
        <v>48.6599795140804</v>
      </c>
      <c r="F36" s="117" t="n">
        <f aca="false">IF($K$9=0,0,E36/$K$9)</f>
        <v>0.0812860407311919</v>
      </c>
      <c r="G36" s="117" t="n">
        <f aca="false">G35+F36</f>
        <v>0.654166627673204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52717.2311141985</v>
      </c>
      <c r="E37" s="45" t="n">
        <f aca="false">L37+D37/$K$2</f>
        <v>40.5597657952105</v>
      </c>
      <c r="F37" s="117" t="n">
        <f aca="false">IF($K$9=0,0,E37/$K$9)</f>
        <v>0.0677547094635145</v>
      </c>
      <c r="G37" s="117" t="n">
        <f aca="false">G36+F37</f>
        <v>0.721921337136719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15410.8258828771</v>
      </c>
      <c r="E38" s="45" t="n">
        <f aca="false">L38+D38/$K$2</f>
        <v>11.8568345739979</v>
      </c>
      <c r="F38" s="117" t="n">
        <f aca="false">IF($K$9=0,0,E38/$K$9)</f>
        <v>0.0198067312758754</v>
      </c>
      <c r="G38" s="117" t="n">
        <f aca="false">G37+F38</f>
        <v>0.741728068412594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6179.58859659927</v>
      </c>
      <c r="E39" s="45" t="n">
        <f aca="false">L39+D39/$K$2</f>
        <v>4.75447326977144</v>
      </c>
      <c r="F39" s="117" t="n">
        <f aca="false">IF($K$9=0,0,E39/$K$9)</f>
        <v>0.00794230313537583</v>
      </c>
      <c r="G39" s="117" t="n">
        <f aca="false">G38+F39</f>
        <v>0.74967037154797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15792.281969087</v>
      </c>
      <c r="E40" s="45" t="n">
        <f aca="false">L40+D40/$K$2</f>
        <v>12.1503205783048</v>
      </c>
      <c r="F40" s="117" t="n">
        <f aca="false">IF($K$9=0,0,E40/$K$9)</f>
        <v>0.020296996901516</v>
      </c>
      <c r="G40" s="117" t="n">
        <f aca="false">G39+F40</f>
        <v>0.769967368449486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1602.11556208124</v>
      </c>
      <c r="E41" s="45" t="n">
        <f aca="false">L41+D41/$K$2</f>
        <v>1.23264121808885</v>
      </c>
      <c r="F41" s="117" t="n">
        <f aca="false">IF($K$9=0,0,E41/$K$9)</f>
        <v>0.00205911562768996</v>
      </c>
      <c r="G41" s="117" t="n">
        <f aca="false">G40+F41</f>
        <v>0.772026484077176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29372.1186381569</v>
      </c>
      <c r="E42" s="45" t="n">
        <f aca="false">L42+D42/$K$2</f>
        <v>22.5984223316296</v>
      </c>
      <c r="F42" s="117" t="n">
        <f aca="false">IF($K$9=0,0,E42/$K$9)</f>
        <v>0.037750453174317</v>
      </c>
      <c r="G42" s="117" t="n">
        <f aca="false">G41+F42</f>
        <v>0.809776937251493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23268.8212587997</v>
      </c>
      <c r="E43" s="45" t="n">
        <f aca="false">L43+D43/$K$2</f>
        <v>17.9026462627196</v>
      </c>
      <c r="F43" s="117" t="n">
        <f aca="false">IF($K$9=0,0,E43/$K$9)</f>
        <v>0.0299062031640695</v>
      </c>
      <c r="G43" s="117" t="n">
        <f aca="false">G42+F43</f>
        <v>0.839683140415563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12816.9244966502</v>
      </c>
      <c r="E44" s="45" t="n">
        <f aca="false">L44+D44/$K$2</f>
        <v>9.86112974471106</v>
      </c>
      <c r="F44" s="117" t="n">
        <f aca="false">IF($K$9=0,0,E44/$K$9)</f>
        <v>0.0164729250215201</v>
      </c>
      <c r="G44" s="117" t="n">
        <f aca="false">G43+F44</f>
        <v>0.856156065437083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8086.86902764842</v>
      </c>
      <c r="E45" s="45" t="n">
        <f aca="false">L45+D45/$K$2</f>
        <v>6.22190329130583</v>
      </c>
      <c r="F45" s="117" t="n">
        <f aca="false">IF($K$9=0,0,E45/$K$9)</f>
        <v>0.0103936312635782</v>
      </c>
      <c r="G45" s="117" t="n">
        <f aca="false">G44+F45</f>
        <v>0.866549696700661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8010.57781040642</v>
      </c>
      <c r="E46" s="45" t="n">
        <f aca="false">L46+D46/$K$2</f>
        <v>6.16320609044443</v>
      </c>
      <c r="F46" s="117" t="n">
        <f aca="false">IF($K$9=0,0,E46/$K$9)</f>
        <v>0.0102955781384501</v>
      </c>
      <c r="G46" s="117" t="n">
        <f aca="false">G45+F46</f>
        <v>0.876845274839111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19072.8043104915</v>
      </c>
      <c r="E47" s="45" t="n">
        <f aca="false">L47+D47/$K$2</f>
        <v>14.6743002153439</v>
      </c>
      <c r="F47" s="117" t="n">
        <f aca="false">IF($K$9=0,0,E47/$K$9)</f>
        <v>0.0245132812820241</v>
      </c>
      <c r="G47" s="117" t="n">
        <f aca="false">G46+F47</f>
        <v>0.901358556121135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18157.3097035879</v>
      </c>
      <c r="E48" s="45" t="n">
        <f aca="false">L48+D48/$K$2</f>
        <v>13.9699338050074</v>
      </c>
      <c r="F48" s="117" t="n">
        <f aca="false">IF($K$9=0,0,E48/$K$9)</f>
        <v>0.0233366437804869</v>
      </c>
      <c r="G48" s="117" t="n">
        <f aca="false">G47+F48</f>
        <v>0.924695199901622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9307.52850351996</v>
      </c>
      <c r="E49" s="45" t="n">
        <f aca="false">L49+D49/$K$2</f>
        <v>7.1610585050879</v>
      </c>
      <c r="F49" s="117" t="n">
        <f aca="false">IF($K$9=0,0,E49/$K$9)</f>
        <v>0.0119624812656279</v>
      </c>
      <c r="G49" s="117" t="n">
        <f aca="false">G48+F49</f>
        <v>0.93665768116725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8010.57781040642</v>
      </c>
      <c r="E50" s="45" t="n">
        <f aca="false">L50+D50/$K$2</f>
        <v>6.16320609044443</v>
      </c>
      <c r="F50" s="117" t="n">
        <f aca="false">IF($K$9=0,0,E50/$K$9)</f>
        <v>0.0102955781384501</v>
      </c>
      <c r="G50" s="117" t="n">
        <f aca="false">G49+F50</f>
        <v>0.9469532593057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9917.85824145557</v>
      </c>
      <c r="E51" s="45" t="n">
        <f aca="false">L51+D51/$K$2</f>
        <v>7.63063611197882</v>
      </c>
      <c r="F51" s="117" t="n">
        <f aca="false">IF($K$9=0,0,E51/$K$9)</f>
        <v>0.0127469062666525</v>
      </c>
      <c r="G51" s="117" t="n">
        <f aca="false">G50+F51</f>
        <v>0.959700165572353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6866.20955177699</v>
      </c>
      <c r="E52" s="45" t="n">
        <f aca="false">L52+D52/$K$2</f>
        <v>5.28274807752384</v>
      </c>
      <c r="F52" s="117" t="n">
        <f aca="false">IF($K$9=0,0,E52/$K$9)</f>
        <v>0.00882478126152873</v>
      </c>
      <c r="G52" s="117" t="n">
        <f aca="false">G51+F52</f>
        <v>0.968524946833881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8620.90754834213</v>
      </c>
      <c r="E53" s="45" t="n">
        <f aca="false">L53+D53/$K$2</f>
        <v>6.63278369733542</v>
      </c>
      <c r="F53" s="117" t="n">
        <f aca="false">IF($K$9=0,0,E53/$K$9)</f>
        <v>0.0110800031394748</v>
      </c>
      <c r="G53" s="117" t="n">
        <f aca="false">G52+F53</f>
        <v>0.979604949973356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13961.2927552798</v>
      </c>
      <c r="E54" s="45" t="n">
        <f aca="false">L54+D54/$K$2</f>
        <v>10.7415877576317</v>
      </c>
      <c r="F54" s="117" t="n">
        <f aca="false">IF($K$9=0,0,E54/$K$9)</f>
        <v>0.0179437218984416</v>
      </c>
      <c r="G54" s="117" t="n">
        <f aca="false">G53+F54</f>
        <v>0.997548671871798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1907.28043104915</v>
      </c>
      <c r="E55" s="45" t="n">
        <f aca="false">L55+D55/$K$2</f>
        <v>1.46743002153439</v>
      </c>
      <c r="F55" s="117" t="n">
        <f aca="false">IF($K$9=0,0,E55/$K$9)</f>
        <v>0.00245132812820241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745060.027585041</v>
      </c>
      <c r="E78" s="61" t="n">
        <f aca="false">SUM(E5:E76)</f>
        <v>598.626517866654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25.3896542544597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5565837.63157763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5565837.63157763</v>
      </c>
      <c r="K9" s="45" t="n">
        <f aca="false">E78</f>
        <v>4282.26342733991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4282.26342733991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5083711.57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99.75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99.75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5565837.63157763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n">
        <f aca="false">IF(B26&lt;='VALOR POR PL'!$P$5,'CP RESUMO'!Y69,"")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35710.6374356861</v>
      </c>
      <c r="E27" s="45" t="n">
        <f aca="false">L27+D27/$K$2</f>
        <v>27.4751738696496</v>
      </c>
      <c r="F27" s="117" t="n">
        <f aca="false">IF($K$9=0,0,E27/$K$9)</f>
        <v>0.00641604010025063</v>
      </c>
      <c r="G27" s="117" t="n">
        <f aca="false">G26+F27</f>
        <v>0.00641604010025063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11717.5529085845</v>
      </c>
      <c r="E28" s="45" t="n">
        <f aca="false">L28+D28/$K$2</f>
        <v>9.01529142597877</v>
      </c>
      <c r="F28" s="117" t="n">
        <f aca="false">IF($K$9=0,0,E28/$K$9)</f>
        <v>0.00210526315789474</v>
      </c>
      <c r="G28" s="117" t="n">
        <f aca="false">G27+F28</f>
        <v>0.00852130325814537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109921.805856721</v>
      </c>
      <c r="E29" s="45" t="n">
        <f aca="false">L29+D29/$K$2</f>
        <v>84.572019567515</v>
      </c>
      <c r="F29" s="117" t="n">
        <f aca="false">IF($K$9=0,0,E29/$K$9)</f>
        <v>0.019749373433584</v>
      </c>
      <c r="G29" s="117" t="n">
        <f aca="false">G28+F29</f>
        <v>0.0282706766917293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165719.676849981</v>
      </c>
      <c r="E30" s="45" t="n">
        <f aca="false">L30+D30/$K$2</f>
        <v>127.501978738842</v>
      </c>
      <c r="F30" s="117" t="n">
        <f aca="false">IF($K$9=0,0,E30/$K$9)</f>
        <v>0.0297744360902256</v>
      </c>
      <c r="G30" s="117" t="n">
        <f aca="false">G29+F30</f>
        <v>0.0580451127819549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241604.781400813</v>
      </c>
      <c r="E31" s="45" t="n">
        <f aca="false">L31+D31/$K$2</f>
        <v>185.886723211848</v>
      </c>
      <c r="F31" s="117" t="n">
        <f aca="false">IF($K$9=0,0,E31/$K$9)</f>
        <v>0.0434085213032581</v>
      </c>
      <c r="G31" s="117" t="n">
        <f aca="false">G30+F31</f>
        <v>0.101453634085213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419042.011159379</v>
      </c>
      <c r="E32" s="45" t="n">
        <f aca="false">L32+D32/$K$2</f>
        <v>322.403993376669</v>
      </c>
      <c r="F32" s="117" t="n">
        <f aca="false">IF($K$9=0,0,E32/$K$9)</f>
        <v>0.0752882205513785</v>
      </c>
      <c r="G32" s="117" t="n">
        <f aca="false">G31+F32</f>
        <v>0.176741854636591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455868.60601493</v>
      </c>
      <c r="E33" s="45" t="n">
        <f aca="false">L33+D33/$K$2</f>
        <v>350.737766429745</v>
      </c>
      <c r="F33" s="117" t="n">
        <f aca="false">IF($K$9=0,0,E33/$K$9)</f>
        <v>0.0819047619047619</v>
      </c>
      <c r="G33" s="117" t="n">
        <f aca="false">G32+F33</f>
        <v>0.258646616541353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431875.521487828</v>
      </c>
      <c r="E34" s="45" t="n">
        <f aca="false">L34+D34/$K$2</f>
        <v>332.277883986074</v>
      </c>
      <c r="F34" s="117" t="n">
        <f aca="false">IF($K$9=0,0,E34/$K$9)</f>
        <v>0.077593984962406</v>
      </c>
      <c r="G34" s="117" t="n">
        <f aca="false">G33+F34</f>
        <v>0.336240601503759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583645.730589494</v>
      </c>
      <c r="E35" s="45" t="n">
        <f aca="false">L35+D35/$K$2</f>
        <v>449.047372932085</v>
      </c>
      <c r="F35" s="117" t="n">
        <f aca="false">IF($K$9=0,0,E35/$K$9)</f>
        <v>0.104862155388471</v>
      </c>
      <c r="G35" s="117" t="n">
        <f aca="false">G34+F35</f>
        <v>0.441102756892231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709748.91903426</v>
      </c>
      <c r="E36" s="45" t="n">
        <f aca="false">L36+D36/$K$2</f>
        <v>546.069080659285</v>
      </c>
      <c r="F36" s="117" t="n">
        <f aca="false">IF($K$9=0,0,E36/$K$9)</f>
        <v>0.127518796992481</v>
      </c>
      <c r="G36" s="117" t="n">
        <f aca="false">G35+F36</f>
        <v>0.568621553884712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217611.696873712</v>
      </c>
      <c r="E37" s="45" t="n">
        <f aca="false">L37+D37/$K$2</f>
        <v>167.426840768177</v>
      </c>
      <c r="F37" s="117" t="n">
        <f aca="false">IF($K$9=0,0,E37/$K$9)</f>
        <v>0.0390977443609023</v>
      </c>
      <c r="G37" s="117" t="n">
        <f aca="false">G36+F37</f>
        <v>0.607719298245614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225423.398812768</v>
      </c>
      <c r="E38" s="45" t="n">
        <f aca="false">L38+D38/$K$2</f>
        <v>173.437035052163</v>
      </c>
      <c r="F38" s="117" t="n">
        <f aca="false">IF($K$9=0,0,E38/$K$9)</f>
        <v>0.0405012531328321</v>
      </c>
      <c r="G38" s="117" t="n">
        <f aca="false">G37+F38</f>
        <v>0.648220551378446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303540.418203331</v>
      </c>
      <c r="E39" s="45" t="n">
        <f aca="false">L39+D39/$K$2</f>
        <v>233.538977892021</v>
      </c>
      <c r="F39" s="117" t="n">
        <f aca="false">IF($K$9=0,0,E39/$K$9)</f>
        <v>0.0545363408521303</v>
      </c>
      <c r="G39" s="117" t="n">
        <f aca="false">G38+F39</f>
        <v>0.702756892230576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216495.739453847</v>
      </c>
      <c r="E40" s="45" t="n">
        <f aca="false">L40+D40/$K$2</f>
        <v>166.568241584751</v>
      </c>
      <c r="F40" s="117" t="n">
        <f aca="false">IF($K$9=0,0,E40/$K$9)</f>
        <v>0.0388972431077695</v>
      </c>
      <c r="G40" s="117" t="n">
        <f aca="false">G39+F40</f>
        <v>0.741654135338346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643907.431262214</v>
      </c>
      <c r="E41" s="45" t="n">
        <f aca="false">L41+D41/$K$2</f>
        <v>495.411728837118</v>
      </c>
      <c r="F41" s="117" t="n">
        <f aca="false">IF($K$9=0,0,E41/$K$9)</f>
        <v>0.115689223057644</v>
      </c>
      <c r="G41" s="117" t="n">
        <f aca="false">G40+F41</f>
        <v>0.85734335839599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488231.37119102</v>
      </c>
      <c r="E42" s="45" t="n">
        <f aca="false">L42+D42/$K$2</f>
        <v>375.637142749115</v>
      </c>
      <c r="F42" s="117" t="n">
        <f aca="false">IF($K$9=0,0,E42/$K$9)</f>
        <v>0.087719298245614</v>
      </c>
      <c r="G42" s="117" t="n">
        <f aca="false">G41+F42</f>
        <v>0.945062656641604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20087.2335575734</v>
      </c>
      <c r="E43" s="45" t="n">
        <f aca="false">L43+D43/$K$2</f>
        <v>15.4547853016779</v>
      </c>
      <c r="F43" s="117" t="n">
        <f aca="false">IF($K$9=0,0,E43/$K$9)</f>
        <v>0.00360902255639097</v>
      </c>
      <c r="G43" s="117" t="n">
        <f aca="false">G42+F43</f>
        <v>0.948671679197995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249416.48333987</v>
      </c>
      <c r="E44" s="45" t="n">
        <f aca="false">L44+D44/$K$2</f>
        <v>191.896917495834</v>
      </c>
      <c r="F44" s="117" t="n">
        <f aca="false">IF($K$9=0,0,E44/$K$9)</f>
        <v>0.044812030075188</v>
      </c>
      <c r="G44" s="117" t="n">
        <f aca="false">G43+F44</f>
        <v>0.993483709273183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2231.91483973073</v>
      </c>
      <c r="E45" s="45" t="n">
        <f aca="false">L45+D45/$K$2</f>
        <v>1.71719836685337</v>
      </c>
      <c r="F45" s="117" t="n">
        <f aca="false">IF($K$9=0,0,E45/$K$9)</f>
        <v>0.000401002506265727</v>
      </c>
      <c r="G45" s="117" t="n">
        <f aca="false">G44+F45</f>
        <v>0.993884711779449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3905.85096952778</v>
      </c>
      <c r="E46" s="45" t="n">
        <f aca="false">L46+D46/$K$2</f>
        <v>3.00509714199263</v>
      </c>
      <c r="F46" s="117" t="n">
        <f aca="false">IF($K$9=0,0,E46/$K$9)</f>
        <v>0.000701754385964844</v>
      </c>
      <c r="G46" s="117" t="n">
        <f aca="false">G45+F46</f>
        <v>0.994586466165414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2789.89354966361</v>
      </c>
      <c r="E47" s="45" t="n">
        <f aca="false">L47+D47/$K$2</f>
        <v>2.14649795856686</v>
      </c>
      <c r="F47" s="117" t="n">
        <f aca="false">IF($K$9=0,0,E47/$K$9)</f>
        <v>0.000501253132832194</v>
      </c>
      <c r="G47" s="117" t="n">
        <f aca="false">G46+F47</f>
        <v>0.995087719298246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5579.78709932563</v>
      </c>
      <c r="E48" s="45" t="n">
        <f aca="false">L48+D48/$K$2</f>
        <v>4.2929959171325</v>
      </c>
      <c r="F48" s="117" t="n">
        <f aca="false">IF($K$9=0,0,E48/$K$9)</f>
        <v>0.0010025062656641</v>
      </c>
      <c r="G48" s="117" t="n">
        <f aca="false">G47+F48</f>
        <v>0.99609022556391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6137.76580925851</v>
      </c>
      <c r="E49" s="45" t="n">
        <f aca="false">L49+D49/$K$2</f>
        <v>4.72229550884599</v>
      </c>
      <c r="F49" s="117" t="n">
        <f aca="false">IF($K$9=0,0,E49/$K$9)</f>
        <v>0.00110275689223057</v>
      </c>
      <c r="G49" s="117" t="n">
        <f aca="false">G48+F49</f>
        <v>0.997192982456141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1673.93612979785</v>
      </c>
      <c r="E50" s="45" t="n">
        <f aca="false">L50+D50/$K$2</f>
        <v>1.28789877513987</v>
      </c>
      <c r="F50" s="117" t="n">
        <f aca="false">IF($K$9=0,0,E50/$K$9)</f>
        <v>0.00030075187969926</v>
      </c>
      <c r="G50" s="117" t="n">
        <f aca="false">G49+F50</f>
        <v>0.99749373433584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3347.87225959569</v>
      </c>
      <c r="E51" s="45" t="n">
        <f aca="false">L51+D51/$K$2</f>
        <v>2.57579755027974</v>
      </c>
      <c r="F51" s="117" t="n">
        <f aca="false">IF($K$9=0,0,E51/$K$9)</f>
        <v>0.000601503759398519</v>
      </c>
      <c r="G51" s="117" t="n">
        <f aca="false">G50+F51</f>
        <v>0.998095238095238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2231.91483972993</v>
      </c>
      <c r="E52" s="45" t="n">
        <f aca="false">L52+D52/$K$2</f>
        <v>1.71719836685276</v>
      </c>
      <c r="F52" s="117" t="n">
        <f aca="false">IF($K$9=0,0,E52/$K$9)</f>
        <v>0.000401002506265584</v>
      </c>
      <c r="G52" s="117" t="n">
        <f aca="false">G51+F52</f>
        <v>0.998496240601504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2231.91483973073</v>
      </c>
      <c r="E53" s="45" t="n">
        <f aca="false">L53+D53/$K$2</f>
        <v>1.71719836685337</v>
      </c>
      <c r="F53" s="117" t="n">
        <f aca="false">IF($K$9=0,0,E53/$K$9)</f>
        <v>0.000401002506265727</v>
      </c>
      <c r="G53" s="117" t="n">
        <f aca="false">G52+F53</f>
        <v>0.99889724310777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3905.85096952778</v>
      </c>
      <c r="E54" s="45" t="n">
        <f aca="false">L54+D54/$K$2</f>
        <v>3.00509714199263</v>
      </c>
      <c r="F54" s="117" t="n">
        <f aca="false">IF($K$9=0,0,E54/$K$9)</f>
        <v>0.000701754385964844</v>
      </c>
      <c r="G54" s="117" t="n">
        <f aca="false">G53+F54</f>
        <v>0.999598997493735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2231.91483973073</v>
      </c>
      <c r="E55" s="45" t="n">
        <f aca="false">L55+D55/$K$2</f>
        <v>1.71719836685337</v>
      </c>
      <c r="F55" s="117" t="n">
        <f aca="false">IF($K$9=0,0,E55/$K$9)</f>
        <v>0.000401002506265727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5565837.63157763</v>
      </c>
      <c r="E78" s="61" t="n">
        <f aca="false">SUM(E5:E76)</f>
        <v>4282.26342733991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2417948.66577323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701.318645915256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2417948.66577323</v>
      </c>
      <c r="K9" s="45" t="n">
        <f aca="false">E78</f>
        <v>1864.12531506439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1162.80666914913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1656652.01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1656652.01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1511348.66577323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-0.0877090320415389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0.0837775179772965</v>
      </c>
      <c r="G23" s="117" t="n">
        <f aca="false">G22+F23</f>
        <v>0.0837775179772965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0.0741111807430642</v>
      </c>
      <c r="G24" s="117" t="n">
        <f aca="false">G23+F24</f>
        <v>0.157888698720361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0.0728832940956145</v>
      </c>
      <c r="G25" s="117" t="n">
        <f aca="false">G24+F25</f>
        <v>0.230771992815975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0</v>
      </c>
      <c r="E26" s="45" t="n">
        <f aca="false">L26+D26/$K$2</f>
        <v>135.56536604957</v>
      </c>
      <c r="F26" s="117" t="n">
        <f aca="false">IF($K$9=0,0,E26/$K$9)</f>
        <v>0.072723311546728</v>
      </c>
      <c r="G26" s="117" t="n">
        <f aca="false">G25+F26</f>
        <v>0.303495304362703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135.56536604957</v>
      </c>
      <c r="M26" s="140" t="n">
        <f aca="false">'CP RESUMO'!Y28</f>
        <v>0</v>
      </c>
      <c r="N26" s="141" t="n">
        <f aca="false">MAX(0,M26-M25)</f>
        <v>0</v>
      </c>
      <c r="O26" s="140" t="n">
        <f aca="false">IF(B26&lt;='VALOR POR PL'!$P$5,'CP RESUMO'!Y70,"")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160894.955848278</v>
      </c>
      <c r="E27" s="45" t="n">
        <f aca="false">L27+D27/$K$2</f>
        <v>259.355284239701</v>
      </c>
      <c r="F27" s="117" t="n">
        <f aca="false">IF($K$9=0,0,E27/$K$9)</f>
        <v>0.139129747417621</v>
      </c>
      <c r="G27" s="117" t="n">
        <f aca="false">G26+F27</f>
        <v>0.442625051780324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135.56536604957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160894.955848278</v>
      </c>
      <c r="E28" s="45" t="n">
        <f aca="false">L28+D28/$K$2</f>
        <v>123.789918190131</v>
      </c>
      <c r="F28" s="117" t="n">
        <f aca="false">IF($K$9=0,0,E28/$K$9)</f>
        <v>0.0664064358708929</v>
      </c>
      <c r="G28" s="117" t="n">
        <f aca="false">G27+F28</f>
        <v>0.509031487651217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160894.955848278</v>
      </c>
      <c r="E29" s="45" t="n">
        <f aca="false">L29+D29/$K$2</f>
        <v>123.789918190131</v>
      </c>
      <c r="F29" s="117" t="n">
        <f aca="false">IF($K$9=0,0,E29/$K$9)</f>
        <v>0.0664064358708929</v>
      </c>
      <c r="G29" s="117" t="n">
        <f aca="false">G28+F29</f>
        <v>0.57543792352211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160894.955848278</v>
      </c>
      <c r="E30" s="45" t="n">
        <f aca="false">L30+D30/$K$2</f>
        <v>123.789918190131</v>
      </c>
      <c r="F30" s="117" t="n">
        <f aca="false">IF($K$9=0,0,E30/$K$9)</f>
        <v>0.0664064358708929</v>
      </c>
      <c r="G30" s="117" t="n">
        <f aca="false">G29+F30</f>
        <v>0.641844359393003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160894.955848278</v>
      </c>
      <c r="E31" s="45" t="n">
        <f aca="false">L31+D31/$K$2</f>
        <v>123.789918190131</v>
      </c>
      <c r="F31" s="117" t="n">
        <f aca="false">IF($K$9=0,0,E31/$K$9)</f>
        <v>0.0664064358708929</v>
      </c>
      <c r="G31" s="117" t="n">
        <f aca="false">G30+F31</f>
        <v>0.708250795263896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160894.955848278</v>
      </c>
      <c r="E32" s="45" t="n">
        <f aca="false">L32+D32/$K$2</f>
        <v>123.789918190131</v>
      </c>
      <c r="F32" s="117" t="n">
        <f aca="false">IF($K$9=0,0,E32/$K$9)</f>
        <v>0.0664064358708929</v>
      </c>
      <c r="G32" s="117" t="n">
        <f aca="false">G31+F32</f>
        <v>0.774657231134789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160894.955848278</v>
      </c>
      <c r="E33" s="45" t="n">
        <f aca="false">L33+D33/$K$2</f>
        <v>123.789918190131</v>
      </c>
      <c r="F33" s="117" t="n">
        <f aca="false">IF($K$9=0,0,E33/$K$9)</f>
        <v>0.0664064358708929</v>
      </c>
      <c r="G33" s="117" t="n">
        <f aca="false">G32+F33</f>
        <v>0.841063667005681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167893.523025693</v>
      </c>
      <c r="E34" s="45" t="n">
        <f aca="false">L34+D34/$K$2</f>
        <v>129.174500035925</v>
      </c>
      <c r="F34" s="117" t="n">
        <f aca="false">IF($K$9=0,0,E34/$K$9)</f>
        <v>0.0692949658437869</v>
      </c>
      <c r="G34" s="117" t="n">
        <f aca="false">G33+F34</f>
        <v>0.910358632849468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6998.57630032558</v>
      </c>
      <c r="E35" s="45" t="n">
        <f aca="false">L35+D35/$K$2</f>
        <v>5.38458886480977</v>
      </c>
      <c r="F35" s="117" t="n">
        <f aca="false">IF($K$9=0,0,E35/$K$9)</f>
        <v>0.00288853373820729</v>
      </c>
      <c r="G35" s="117" t="n">
        <f aca="false">G34+F35</f>
        <v>0.913247166587676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6998.57630032558</v>
      </c>
      <c r="E36" s="45" t="n">
        <f aca="false">L36+D36/$K$2</f>
        <v>5.38458886480977</v>
      </c>
      <c r="F36" s="117" t="n">
        <f aca="false">IF($K$9=0,0,E36/$K$9)</f>
        <v>0.00288853373820729</v>
      </c>
      <c r="G36" s="117" t="n">
        <f aca="false">G35+F36</f>
        <v>0.916135700325883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5685.85345780111</v>
      </c>
      <c r="E37" s="45" t="n">
        <f aca="false">L37+D37/$K$2</f>
        <v>4.37460161924529</v>
      </c>
      <c r="F37" s="117" t="n">
        <f aca="false">IF($K$9=0,0,E37/$K$9)</f>
        <v>0.00234673151203582</v>
      </c>
      <c r="G37" s="117" t="n">
        <f aca="false">G36+F37</f>
        <v>0.918482431837919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5685.85345780111</v>
      </c>
      <c r="E38" s="45" t="n">
        <f aca="false">L38+D38/$K$2</f>
        <v>4.37460161924529</v>
      </c>
      <c r="F38" s="117" t="n">
        <f aca="false">IF($K$9=0,0,E38/$K$9)</f>
        <v>0.00234673151203582</v>
      </c>
      <c r="G38" s="117" t="n">
        <f aca="false">G37+F38</f>
        <v>0.920829163349955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6998.57630032558</v>
      </c>
      <c r="E39" s="45" t="n">
        <f aca="false">L39+D39/$K$2</f>
        <v>5.38458886480977</v>
      </c>
      <c r="F39" s="117" t="n">
        <f aca="false">IF($K$9=0,0,E39/$K$9)</f>
        <v>0.00288853373820729</v>
      </c>
      <c r="G39" s="117" t="n">
        <f aca="false">G38+F39</f>
        <v>0.923717697088162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6998.57630032558</v>
      </c>
      <c r="E40" s="45" t="n">
        <f aca="false">L40+D40/$K$2</f>
        <v>5.38458886480977</v>
      </c>
      <c r="F40" s="117" t="n">
        <f aca="false">IF($K$9=0,0,E40/$K$9)</f>
        <v>0.00288853373820729</v>
      </c>
      <c r="G40" s="117" t="n">
        <f aca="false">G39+F40</f>
        <v>0.926606230826369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6998.57630032558</v>
      </c>
      <c r="E41" s="45" t="n">
        <f aca="false">L41+D41/$K$2</f>
        <v>5.38458886480977</v>
      </c>
      <c r="F41" s="117" t="n">
        <f aca="false">IF($K$9=0,0,E41/$K$9)</f>
        <v>0.00288853373820729</v>
      </c>
      <c r="G41" s="117" t="n">
        <f aca="false">G40+F41</f>
        <v>0.929494764564576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9400.18227347623</v>
      </c>
      <c r="E42" s="45" t="n">
        <f aca="false">L42+D42/$K$2</f>
        <v>7.23234478340796</v>
      </c>
      <c r="F42" s="117" t="n">
        <f aca="false">IF($K$9=0,0,E42/$K$9)</f>
        <v>0.00387975246350761</v>
      </c>
      <c r="G42" s="117" t="n">
        <f aca="false">G41+F42</f>
        <v>0.933374517028084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5685.85345780111</v>
      </c>
      <c r="E43" s="45" t="n">
        <f aca="false">L43+D43/$K$2</f>
        <v>4.37460161924529</v>
      </c>
      <c r="F43" s="117" t="n">
        <f aca="false">IF($K$9=0,0,E43/$K$9)</f>
        <v>0.00234673151203582</v>
      </c>
      <c r="G43" s="117" t="n">
        <f aca="false">G42+F43</f>
        <v>0.93572124854012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3284.24748465046</v>
      </c>
      <c r="E44" s="45" t="n">
        <f aca="false">L44+D44/$K$2</f>
        <v>2.5268457006471</v>
      </c>
      <c r="F44" s="117" t="n">
        <f aca="false">IF($K$9=0,0,E44/$K$9)</f>
        <v>0.00135551278673549</v>
      </c>
      <c r="G44" s="117" t="n">
        <f aca="false">G43+F44</f>
        <v>0.937076761326855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3284.24748465046</v>
      </c>
      <c r="E45" s="45" t="n">
        <f aca="false">L45+D45/$K$2</f>
        <v>2.5268457006471</v>
      </c>
      <c r="F45" s="117" t="n">
        <f aca="false">IF($K$9=0,0,E45/$K$9)</f>
        <v>0.00135551278673549</v>
      </c>
      <c r="G45" s="117" t="n">
        <f aca="false">G44+F45</f>
        <v>0.938432274113591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0.938432274113591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0.938432274113591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149171.332691785</v>
      </c>
      <c r="E48" s="45" t="n">
        <f aca="false">L48+D48/$K$2</f>
        <v>114.769956415801</v>
      </c>
      <c r="F48" s="117" t="n">
        <f aca="false">IF($K$9=0,0,E48/$K$9)</f>
        <v>0.0615677258864093</v>
      </c>
      <c r="G48" s="117" t="n">
        <f aca="false">G47+F48</f>
        <v>1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1511348.66577323</v>
      </c>
      <c r="E78" s="61" t="n">
        <f aca="false">SUM(E5:E76)</f>
        <v>1864.12531506439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701.318645915256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14182785.8288323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14182785.8288323</v>
      </c>
      <c r="K9" s="45" t="n">
        <f aca="false">E78</f>
        <v>10912.2815365386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10880.0297434663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99.86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14141231.6188323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0.0946841361587485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0.00295554994291135</v>
      </c>
      <c r="G24" s="117" t="n">
        <f aca="false">G23+F24</f>
        <v>0.00295554994291135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0.00295554994291135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0.00295554994291135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n">
        <f aca="false">IF(B26&lt;='VALOR POR PL'!$P$5,'CP RESUMO'!Y71,"")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552815.488760168</v>
      </c>
      <c r="E27" s="45" t="n">
        <f aca="false">L27+D27/$K$2</f>
        <v>425.327094731237</v>
      </c>
      <c r="F27" s="117" t="n">
        <f aca="false">IF($K$9=0,0,E27/$K$9)</f>
        <v>0.0389769172750057</v>
      </c>
      <c r="G27" s="117" t="n">
        <f aca="false">G26+F27</f>
        <v>0.0419324672179171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552815.488760168</v>
      </c>
      <c r="E28" s="45" t="n">
        <f aca="false">L28+D28/$K$2</f>
        <v>425.327094731237</v>
      </c>
      <c r="F28" s="117" t="n">
        <f aca="false">IF($K$9=0,0,E28/$K$9)</f>
        <v>0.0389769172750057</v>
      </c>
      <c r="G28" s="117" t="n">
        <f aca="false">G27+F28</f>
        <v>0.0809093844929228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552815.488760168</v>
      </c>
      <c r="E29" s="45" t="n">
        <f aca="false">L29+D29/$K$2</f>
        <v>425.327094731237</v>
      </c>
      <c r="F29" s="117" t="n">
        <f aca="false">IF($K$9=0,0,E29/$K$9)</f>
        <v>0.0389769172750057</v>
      </c>
      <c r="G29" s="117" t="n">
        <f aca="false">G28+F29</f>
        <v>0.119886301767929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1075936.90404813</v>
      </c>
      <c r="E30" s="45" t="n">
        <f aca="false">L30+D30/$K$2</f>
        <v>827.808060405938</v>
      </c>
      <c r="F30" s="117" t="n">
        <f aca="false">IF($K$9=0,0,E30/$K$9)</f>
        <v>0.0758602183818399</v>
      </c>
      <c r="G30" s="117" t="n">
        <f aca="false">G29+F30</f>
        <v>0.195746520149768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1399979.67535739</v>
      </c>
      <c r="E31" s="45" t="n">
        <f aca="false">L31+D31/$K$2</f>
        <v>1077.121209715</v>
      </c>
      <c r="F31" s="117" t="n">
        <f aca="false">IF($K$9=0,0,E31/$K$9)</f>
        <v>0.0987072415707358</v>
      </c>
      <c r="G31" s="117" t="n">
        <f aca="false">G30+F31</f>
        <v>0.294453761720504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1399979.67535739</v>
      </c>
      <c r="E32" s="45" t="n">
        <f aca="false">L32+D32/$K$2</f>
        <v>1077.121209715</v>
      </c>
      <c r="F32" s="117" t="n">
        <f aca="false">IF($K$9=0,0,E32/$K$9)</f>
        <v>0.0987072415707358</v>
      </c>
      <c r="G32" s="117" t="n">
        <f aca="false">G31+F32</f>
        <v>0.39316100329124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332581.307571291</v>
      </c>
      <c r="E33" s="45" t="n">
        <f aca="false">L33+D33/$K$2</f>
        <v>255.882557900946</v>
      </c>
      <c r="F33" s="117" t="n">
        <f aca="false">IF($K$9=0,0,E33/$K$9)</f>
        <v>0.0234490429012623</v>
      </c>
      <c r="G33" s="117" t="n">
        <f aca="false">G32+F33</f>
        <v>0.416610046192502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8538.53626203824</v>
      </c>
      <c r="E34" s="45" t="n">
        <f aca="false">L34+D34/$K$2</f>
        <v>6.56940859188842</v>
      </c>
      <c r="F34" s="117" t="n">
        <f aca="false">IF($K$9=0,0,E34/$K$9)</f>
        <v>0.000602019712366425</v>
      </c>
      <c r="G34" s="117" t="n">
        <f aca="false">G33+F34</f>
        <v>0.417212065904869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8538.53626203824</v>
      </c>
      <c r="E35" s="45" t="n">
        <f aca="false">L35+D35/$K$2</f>
        <v>6.56940859188842</v>
      </c>
      <c r="F35" s="117" t="n">
        <f aca="false">IF($K$9=0,0,E35/$K$9)</f>
        <v>0.000602019712366425</v>
      </c>
      <c r="G35" s="117" t="n">
        <f aca="false">G34+F35</f>
        <v>0.417814085617235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494602.693225918</v>
      </c>
      <c r="E36" s="45" t="n">
        <f aca="false">L36+D36/$K$2</f>
        <v>380.539132555475</v>
      </c>
      <c r="F36" s="117" t="n">
        <f aca="false">IF($K$9=0,0,E36/$K$9)</f>
        <v>0.0348725544957102</v>
      </c>
      <c r="G36" s="117" t="n">
        <f aca="false">G35+F36</f>
        <v>0.452686640112945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689028.360390206</v>
      </c>
      <c r="E37" s="45" t="n">
        <f aca="false">L37+D37/$K$2</f>
        <v>530.127025509836</v>
      </c>
      <c r="F37" s="117" t="n">
        <f aca="false">IF($K$9=0,0,E37/$K$9)</f>
        <v>0.0485807687177757</v>
      </c>
      <c r="G37" s="117" t="n">
        <f aca="false">G36+F37</f>
        <v>0.501267408830721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680489.824128168</v>
      </c>
      <c r="E38" s="45" t="n">
        <f aca="false">L38+D38/$K$2</f>
        <v>523.557616917948</v>
      </c>
      <c r="F38" s="117" t="n">
        <f aca="false">IF($K$9=0,0,E38/$K$9)</f>
        <v>0.0479787490054093</v>
      </c>
      <c r="G38" s="117" t="n">
        <f aca="false">G37+F38</f>
        <v>0.54924615783613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680489.824128168</v>
      </c>
      <c r="E39" s="45" t="n">
        <f aca="false">L39+D39/$K$2</f>
        <v>523.557616917948</v>
      </c>
      <c r="F39" s="117" t="n">
        <f aca="false">IF($K$9=0,0,E39/$K$9)</f>
        <v>0.0479787490054093</v>
      </c>
      <c r="G39" s="117" t="n">
        <f aca="false">G38+F39</f>
        <v>0.59722490684154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194425.667164288</v>
      </c>
      <c r="E40" s="45" t="n">
        <f aca="false">L40+D40/$K$2</f>
        <v>149.587892954362</v>
      </c>
      <c r="F40" s="117" t="n">
        <f aca="false">IF($K$9=0,0,E40/$K$9)</f>
        <v>0.0137082142220656</v>
      </c>
      <c r="G40" s="117" t="n">
        <f aca="false">G39+F40</f>
        <v>0.610933121063605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194425.667164288</v>
      </c>
      <c r="E41" s="45" t="n">
        <f aca="false">L41+D41/$K$2</f>
        <v>149.587892954362</v>
      </c>
      <c r="F41" s="117" t="n">
        <f aca="false">IF($K$9=0,0,E41/$K$9)</f>
        <v>0.0137082142220656</v>
      </c>
      <c r="G41" s="117" t="n">
        <f aca="false">G40+F41</f>
        <v>0.624641335285671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194425.667164288</v>
      </c>
      <c r="E42" s="45" t="n">
        <f aca="false">L42+D42/$K$2</f>
        <v>149.587892954362</v>
      </c>
      <c r="F42" s="117" t="n">
        <f aca="false">IF($K$9=0,0,E42/$K$9)</f>
        <v>0.0137082142220656</v>
      </c>
      <c r="G42" s="117" t="n">
        <f aca="false">G41+F42</f>
        <v>0.638349549507737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194425.667164288</v>
      </c>
      <c r="E43" s="45" t="n">
        <f aca="false">L43+D43/$K$2</f>
        <v>149.587892954362</v>
      </c>
      <c r="F43" s="117" t="n">
        <f aca="false">IF($K$9=0,0,E43/$K$9)</f>
        <v>0.0137082142220656</v>
      </c>
      <c r="G43" s="117" t="n">
        <f aca="false">G42+F43</f>
        <v>0.652057763729802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194425.667164288</v>
      </c>
      <c r="E44" s="45" t="n">
        <f aca="false">L44+D44/$K$2</f>
        <v>149.587892954362</v>
      </c>
      <c r="F44" s="117" t="n">
        <f aca="false">IF($K$9=0,0,E44/$K$9)</f>
        <v>0.0137082142220656</v>
      </c>
      <c r="G44" s="117" t="n">
        <f aca="false">G43+F44</f>
        <v>0.665765977951868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194425.667164288</v>
      </c>
      <c r="E45" s="45" t="n">
        <f aca="false">L45+D45/$K$2</f>
        <v>149.587892954362</v>
      </c>
      <c r="F45" s="117" t="n">
        <f aca="false">IF($K$9=0,0,E45/$K$9)</f>
        <v>0.0137082142220656</v>
      </c>
      <c r="G45" s="117" t="n">
        <f aca="false">G44+F45</f>
        <v>0.679474192173933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194425.667164288</v>
      </c>
      <c r="E46" s="45" t="n">
        <f aca="false">L46+D46/$K$2</f>
        <v>149.587892954362</v>
      </c>
      <c r="F46" s="117" t="n">
        <f aca="false">IF($K$9=0,0,E46/$K$9)</f>
        <v>0.0137082142220656</v>
      </c>
      <c r="G46" s="117" t="n">
        <f aca="false">G45+F46</f>
        <v>0.693182406395999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0.693182406395999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0.693182406395999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0.693182406395999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0.693182406395999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0.693182406395999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4351640.14567106</v>
      </c>
      <c r="E52" s="45" t="n">
        <f aca="false">L52+D52/$K$2</f>
        <v>3348.07996177015</v>
      </c>
      <c r="F52" s="117" t="n">
        <f aca="false">IF($K$9=0,0,E52/$K$9)</f>
        <v>0.306817593604001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14141231.6188323</v>
      </c>
      <c r="E78" s="61" t="n">
        <f aca="false">SUM(E5:E76)</f>
        <v>10912.2815365386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487206.649787428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4.51020228573437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487206.649787428</v>
      </c>
      <c r="K9" s="45" t="n">
        <f aca="false">E78</f>
        <v>374.858048079306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370.347845793572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481356.649787428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0.0113133974198346</v>
      </c>
      <c r="G25" s="117" t="n">
        <f aca="false">G24+F25</f>
        <v>0.0113133974198346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0.0113133974198346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n">
        <f aca="false">IF(B26&lt;='VALOR POR PL'!$P$5,'CP RESUMO'!Y72,"")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0.269284211789724</v>
      </c>
      <c r="F27" s="117" t="n">
        <f aca="false">IF($K$9=0,0,E27/$K$9)</f>
        <v>0.000718363159519931</v>
      </c>
      <c r="G27" s="117" t="n">
        <f aca="false">G26+F27</f>
        <v>0.0120317605793545</v>
      </c>
      <c r="H27" s="139"/>
      <c r="L27" s="45" t="n">
        <f aca="false">C27/IF(B27&lt;='VALOR POR PL'!$P$5,IFERROR(INDEX('"INCC-FGV"'!$B$2:$B$800,MATCH(B27,'"INCC-FGV"'!$A$2:$A$800,0)),$K$2),$K$2)</f>
        <v>0.269284211789724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0.0120317605793545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0.0120317605793545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0.0120317605793545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0.0120317605793545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0.0120317605793545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0.0120317605793545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0.0120317605793545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0.0120317605793545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0.0120317605793545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0.0120317605793545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0.0120317605793545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10734.2532902597</v>
      </c>
      <c r="E39" s="45" t="n">
        <f aca="false">L39+D39/$K$2</f>
        <v>8.25875696119665</v>
      </c>
      <c r="F39" s="117" t="n">
        <f aca="false">IF($K$9=0,0,E39/$K$9)</f>
        <v>0.0220316917390804</v>
      </c>
      <c r="G39" s="117" t="n">
        <f aca="false">G38+F39</f>
        <v>0.0340634523184349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13429.8505290692</v>
      </c>
      <c r="E40" s="45" t="n">
        <f aca="false">L40+D40/$K$2</f>
        <v>10.3327048976406</v>
      </c>
      <c r="F40" s="117" t="n">
        <f aca="false">IF($K$9=0,0,E40/$K$9)</f>
        <v>0.027564313879836</v>
      </c>
      <c r="G40" s="117" t="n">
        <f aca="false">G39+F40</f>
        <v>0.0616277661982709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0.0616277661982709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53815.6734462345</v>
      </c>
      <c r="E42" s="45" t="n">
        <f aca="false">L42+D42/$K$2</f>
        <v>41.4048891597213</v>
      </c>
      <c r="F42" s="117" t="n">
        <f aca="false">IF($K$9=0,0,E42/$K$9)</f>
        <v>0.110454849167228</v>
      </c>
      <c r="G42" s="117" t="n">
        <f aca="false">G41+F42</f>
        <v>0.172082615365499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78412.9982503721</v>
      </c>
      <c r="E43" s="45" t="n">
        <f aca="false">L43+D43/$K$2</f>
        <v>60.3296640797728</v>
      </c>
      <c r="F43" s="117" t="n">
        <f aca="false">IF($K$9=0,0,E43/$K$9)</f>
        <v>0.160940026201623</v>
      </c>
      <c r="G43" s="117" t="n">
        <f aca="false">G42+F43</f>
        <v>0.333022641567122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114129.661664599</v>
      </c>
      <c r="E44" s="45" t="n">
        <f aca="false">L44+D44/$K$2</f>
        <v>87.8094742376558</v>
      </c>
      <c r="F44" s="117" t="n">
        <f aca="false">IF($K$9=0,0,E44/$K$9)</f>
        <v>0.234247269566635</v>
      </c>
      <c r="G44" s="117" t="n">
        <f aca="false">G43+F44</f>
        <v>0.567269911133757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16125.4477678788</v>
      </c>
      <c r="E45" s="45" t="n">
        <f aca="false">L45+D45/$K$2</f>
        <v>12.4066528340846</v>
      </c>
      <c r="F45" s="117" t="n">
        <f aca="false">IF($K$9=0,0,E45/$K$9)</f>
        <v>0.0330969360205916</v>
      </c>
      <c r="G45" s="117" t="n">
        <f aca="false">G44+F45</f>
        <v>0.600366847154349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14777.649148474</v>
      </c>
      <c r="E46" s="45" t="n">
        <f aca="false">L46+D46/$K$2</f>
        <v>11.3696788658626</v>
      </c>
      <c r="F46" s="117" t="n">
        <f aca="false">IF($K$9=0,0,E46/$K$9)</f>
        <v>0.0303306249502138</v>
      </c>
      <c r="G46" s="117" t="n">
        <f aca="false">G45+F46</f>
        <v>0.630697472104563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30903.0969163529</v>
      </c>
      <c r="E47" s="45" t="n">
        <f aca="false">L47+D47/$K$2</f>
        <v>23.7763316999473</v>
      </c>
      <c r="F47" s="117" t="n">
        <f aca="false">IF($K$9=0,0,E47/$K$9)</f>
        <v>0.0634275609708055</v>
      </c>
      <c r="G47" s="117" t="n">
        <f aca="false">G46+F47</f>
        <v>0.694125033075368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35427.8494243547</v>
      </c>
      <c r="E48" s="45" t="n">
        <f aca="false">L48+D48/$K$2</f>
        <v>27.2576014504069</v>
      </c>
      <c r="F48" s="117" t="n">
        <f aca="false">IF($K$9=0,0,E48/$K$9)</f>
        <v>0.0727144624213595</v>
      </c>
      <c r="G48" s="117" t="n">
        <f aca="false">G47+F48</f>
        <v>0.766839495496728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17425.1107223049</v>
      </c>
      <c r="E49" s="45" t="n">
        <f aca="false">L49+D49/$K$2</f>
        <v>13.4065920177273</v>
      </c>
      <c r="F49" s="117" t="n">
        <f aca="false">IF($K$9=0,0,E49/$K$9)</f>
        <v>0.0357644502670273</v>
      </c>
      <c r="G49" s="117" t="n">
        <f aca="false">G48+F49</f>
        <v>0.802603945763755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16125.4477678789</v>
      </c>
      <c r="E50" s="45" t="n">
        <f aca="false">L50+D50/$K$2</f>
        <v>12.4066528340847</v>
      </c>
      <c r="F50" s="117" t="n">
        <f aca="false">IF($K$9=0,0,E50/$K$9)</f>
        <v>0.0330969360205917</v>
      </c>
      <c r="G50" s="117" t="n">
        <f aca="false">G49+F50</f>
        <v>0.835700881784347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20168.8436260932</v>
      </c>
      <c r="E51" s="45" t="n">
        <f aca="false">L51+D51/$K$2</f>
        <v>15.5175747387506</v>
      </c>
      <c r="F51" s="117" t="n">
        <f aca="false">IF($K$9=0,0,E51/$K$9)</f>
        <v>0.041395869231725</v>
      </c>
      <c r="G51" s="117" t="n">
        <f aca="false">G50+F51</f>
        <v>0.877096751016072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12082.0519096644</v>
      </c>
      <c r="E52" s="45" t="n">
        <f aca="false">L52+D52/$K$2</f>
        <v>9.29573092941861</v>
      </c>
      <c r="F52" s="117" t="n">
        <f aca="false">IF($K$9=0,0,E52/$K$9)</f>
        <v>0.0247980028094581</v>
      </c>
      <c r="G52" s="117" t="n">
        <f aca="false">G51+F52</f>
        <v>0.90189475382553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17473.2463872837</v>
      </c>
      <c r="E53" s="45" t="n">
        <f aca="false">L53+D53/$K$2</f>
        <v>13.4436268023067</v>
      </c>
      <c r="F53" s="117" t="n">
        <f aca="false">IF($K$9=0,0,E53/$K$9)</f>
        <v>0.0358632470909695</v>
      </c>
      <c r="G53" s="117" t="n">
        <f aca="false">G52+F53</f>
        <v>0.937758000916499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29266.4843070756</v>
      </c>
      <c r="E54" s="45" t="n">
        <f aca="false">L54+D54/$K$2</f>
        <v>22.5171490242491</v>
      </c>
      <c r="F54" s="117" t="n">
        <f aca="false">IF($K$9=0,0,E54/$K$9)</f>
        <v>0.0600684689567752</v>
      </c>
      <c r="G54" s="117" t="n">
        <f aca="false">G53+F54</f>
        <v>0.997826469873275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1058.98462953234</v>
      </c>
      <c r="E55" s="45" t="n">
        <f aca="false">L55+D55/$K$2</f>
        <v>0.814765260745853</v>
      </c>
      <c r="F55" s="117" t="n">
        <f aca="false">IF($K$9=0,0,E55/$K$9)</f>
        <v>0.00217353012672541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481356.649787428</v>
      </c>
      <c r="E78" s="61" t="n">
        <f aca="false">SUM(E5:E76)</f>
        <v>374.858048079306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4.51020228573437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1892026.81054651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1892026.81054651</v>
      </c>
      <c r="K9" s="45" t="n">
        <f aca="false">E78</f>
        <v>1455.69413818012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1455.69413818012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1892026.81054651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n">
        <f aca="false">IF(B26&lt;='VALOR POR PL'!$P$5,'CP RESUMO'!Y73,"")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93087.7190788884</v>
      </c>
      <c r="E36" s="45" t="n">
        <f aca="false">L36+D36/$K$2</f>
        <v>71.6201515984621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111818.784503299</v>
      </c>
      <c r="E37" s="45" t="n">
        <f aca="false">L37+D37/$K$2</f>
        <v>86.0315235664454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209636.570608553</v>
      </c>
      <c r="E39" s="45" t="n">
        <f aca="false">L39+D39/$K$2</f>
        <v>161.290910510358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123927.756090797</v>
      </c>
      <c r="E40" s="45" t="n">
        <f aca="false">L40+D40/$K$2</f>
        <v>95.3479660507982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151740.55020583</v>
      </c>
      <c r="E41" s="45" t="n">
        <f aca="false">L41+D41/$K$2</f>
        <v>116.746669882046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155146.198464814</v>
      </c>
      <c r="E42" s="45" t="n">
        <f aca="false">L42+D42/$K$2</f>
        <v>119.36691933077</v>
      </c>
      <c r="F42" s="117" t="n">
        <f aca="false">IF($K$9=0,0,E42/$K$9)</f>
        <v>0.082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116170.446167556</v>
      </c>
      <c r="E43" s="45" t="n">
        <f aca="false">L43+D43/$K$2</f>
        <v>89.3796200842596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219475.110023395</v>
      </c>
      <c r="E44" s="45" t="n">
        <f aca="false">L44+D44/$K$2</f>
        <v>168.860520028894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131874.268695092</v>
      </c>
      <c r="E45" s="45" t="n">
        <f aca="false">L45+D45/$K$2</f>
        <v>101.461881431155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175958.493380825</v>
      </c>
      <c r="E46" s="45" t="n">
        <f aca="false">L46+D46/$K$2</f>
        <v>135.379554850752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93087.7190788884</v>
      </c>
      <c r="E47" s="45" t="n">
        <f aca="false">L47+D47/$K$2</f>
        <v>71.6201515984621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116170.446167556</v>
      </c>
      <c r="E48" s="45" t="n">
        <f aca="false">L48+D48/$K$2</f>
        <v>89.3796200842596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116359.648848611</v>
      </c>
      <c r="E49" s="45" t="n">
        <f aca="false">L49+D49/$K$2</f>
        <v>89.5251894980777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77573.0992324069</v>
      </c>
      <c r="E50" s="45" t="n">
        <f aca="false">L50+D50/$K$2</f>
        <v>59.683459665385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1892026.81054651</v>
      </c>
      <c r="E78" s="61" t="n">
        <f aca="false">SUM(E5:E76)</f>
        <v>1455.69413818012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1228549.9601744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1228549.9601744</v>
      </c>
      <c r="K9" s="45" t="n">
        <f aca="false">E78</f>
        <v>945.22602191389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945.22602191389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99.47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0.0053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99.47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1228549.9601744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n">
        <f aca="false">IF(B26&lt;='VALOR POR PL'!$P$5,'CP RESUMO'!Y74,"")</f>
        <v>0.53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3211.24951890364</v>
      </c>
      <c r="E27" s="45" t="n">
        <f aca="false">L27+D27/$K$2</f>
        <v>2.47068227302314</v>
      </c>
      <c r="F27" s="117" t="n">
        <f aca="false">IF($K$9=0,0,E27/$K$9)</f>
        <v>0.00261385342314266</v>
      </c>
      <c r="G27" s="117" t="n">
        <f aca="false">G26+F27</f>
        <v>0.00261385342314266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44957.4932646509</v>
      </c>
      <c r="E28" s="45" t="n">
        <f aca="false">L28+D28/$K$2</f>
        <v>34.5895518223239</v>
      </c>
      <c r="F28" s="117" t="n">
        <f aca="false">IF($K$9=0,0,E28/$K$9)</f>
        <v>0.0365939479239972</v>
      </c>
      <c r="G28" s="117" t="n">
        <f aca="false">G27+F28</f>
        <v>0.0392078013471399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49033.3099617209</v>
      </c>
      <c r="E29" s="45" t="n">
        <f aca="false">L29+D29/$K$2</f>
        <v>37.7254177842379</v>
      </c>
      <c r="F29" s="117" t="n">
        <f aca="false">IF($K$9=0,0,E29/$K$9)</f>
        <v>0.039911531114909</v>
      </c>
      <c r="G29" s="117" t="n">
        <f aca="false">G28+F29</f>
        <v>0.0791193324620489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71388.5469971654</v>
      </c>
      <c r="E30" s="45" t="n">
        <f aca="false">L30+D30/$K$2</f>
        <v>54.9251674541297</v>
      </c>
      <c r="F30" s="117" t="n">
        <f aca="false">IF($K$9=0,0,E30/$K$9)</f>
        <v>0.0581079722529406</v>
      </c>
      <c r="G30" s="117" t="n">
        <f aca="false">G29+F30</f>
        <v>0.137227304714989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59531.6256965982</v>
      </c>
      <c r="E31" s="45" t="n">
        <f aca="false">L31+D31/$K$2</f>
        <v>45.8026482921982</v>
      </c>
      <c r="F31" s="117" t="n">
        <f aca="false">IF($K$9=0,0,E31/$K$9)</f>
        <v>0.0484568211521062</v>
      </c>
      <c r="G31" s="117" t="n">
        <f aca="false">G30+F31</f>
        <v>0.185684125867096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59531.6256965981</v>
      </c>
      <c r="E32" s="45" t="n">
        <f aca="false">L32+D32/$K$2</f>
        <v>45.8026482921981</v>
      </c>
      <c r="F32" s="117" t="n">
        <f aca="false">IF($K$9=0,0,E32/$K$9)</f>
        <v>0.0484568211521061</v>
      </c>
      <c r="G32" s="117" t="n">
        <f aca="false">G31+F32</f>
        <v>0.234140947019202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21243.6506635164</v>
      </c>
      <c r="E33" s="45" t="n">
        <f aca="false">L33+D33/$K$2</f>
        <v>16.3445134984608</v>
      </c>
      <c r="F33" s="117" t="n">
        <f aca="false">IF($K$9=0,0,E33/$K$9)</f>
        <v>0.0172916457223284</v>
      </c>
      <c r="G33" s="117" t="n">
        <f aca="false">G32+F33</f>
        <v>0.25143259274153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130055.605515597</v>
      </c>
      <c r="E34" s="45" t="n">
        <f aca="false">L34+D34/$K$2</f>
        <v>100.062632057437</v>
      </c>
      <c r="F34" s="117" t="n">
        <f aca="false">IF($K$9=0,0,E34/$K$9)</f>
        <v>0.105861063637278</v>
      </c>
      <c r="G34" s="117" t="n">
        <f aca="false">G33+F34</f>
        <v>0.357293656378808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118939.741796315</v>
      </c>
      <c r="E35" s="45" t="n">
        <f aca="false">L35+D35/$K$2</f>
        <v>91.5102703431262</v>
      </c>
      <c r="F35" s="117" t="n">
        <f aca="false">IF($K$9=0,0,E35/$K$9)</f>
        <v>0.0968131094802453</v>
      </c>
      <c r="G35" s="117" t="n">
        <f aca="false">G34+F35</f>
        <v>0.454106765859053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111158.637192818</v>
      </c>
      <c r="E36" s="45" t="n">
        <f aca="false">L36+D36/$K$2</f>
        <v>85.5236171431085</v>
      </c>
      <c r="F36" s="117" t="n">
        <f aca="false">IF($K$9=0,0,E36/$K$9)</f>
        <v>0.0904795415703227</v>
      </c>
      <c r="G36" s="117" t="n">
        <f aca="false">G35+F36</f>
        <v>0.544586307429376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119557.28978072</v>
      </c>
      <c r="E37" s="45" t="n">
        <f aca="false">L37+D37/$K$2</f>
        <v>91.9854015494767</v>
      </c>
      <c r="F37" s="117" t="n">
        <f aca="false">IF($K$9=0,0,E37/$K$9)</f>
        <v>0.0973157736000804</v>
      </c>
      <c r="G37" s="117" t="n">
        <f aca="false">G36+F37</f>
        <v>0.641902081029456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84110.0354758991</v>
      </c>
      <c r="E38" s="45" t="n">
        <f aca="false">L38+D38/$K$2</f>
        <v>64.7128703049522</v>
      </c>
      <c r="F38" s="117" t="n">
        <f aca="false">IF($K$9=0,0,E38/$K$9)</f>
        <v>0.0684628531215442</v>
      </c>
      <c r="G38" s="117" t="n">
        <f aca="false">G37+F38</f>
        <v>0.710364934151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109923.541224009</v>
      </c>
      <c r="E39" s="45" t="n">
        <f aca="false">L39+D39/$K$2</f>
        <v>84.5733547304073</v>
      </c>
      <c r="F39" s="117" t="n">
        <f aca="false">IF($K$9=0,0,E39/$K$9)</f>
        <v>0.0894742133306524</v>
      </c>
      <c r="G39" s="117" t="n">
        <f aca="false">G38+F39</f>
        <v>0.799839147481653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72129.604578451</v>
      </c>
      <c r="E40" s="45" t="n">
        <f aca="false">L40+D40/$K$2</f>
        <v>55.4953249017505</v>
      </c>
      <c r="F40" s="117" t="n">
        <f aca="false">IF($K$9=0,0,E40/$K$9)</f>
        <v>0.0587111691967428</v>
      </c>
      <c r="G40" s="117" t="n">
        <f aca="false">G39+F40</f>
        <v>0.858550316678395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31865.4759952745</v>
      </c>
      <c r="E41" s="45" t="n">
        <f aca="false">L41+D41/$K$2</f>
        <v>24.5167702476911</v>
      </c>
      <c r="F41" s="117" t="n">
        <f aca="false">IF($K$9=0,0,E41/$K$9)</f>
        <v>0.0259374685834925</v>
      </c>
      <c r="G41" s="117" t="n">
        <f aca="false">G40+F41</f>
        <v>0.884487785261888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63483.9327967873</v>
      </c>
      <c r="E42" s="45" t="n">
        <f aca="false">L42+D42/$K$2</f>
        <v>48.843488012842</v>
      </c>
      <c r="F42" s="117" t="n">
        <f aca="false">IF($K$9=0,0,E42/$K$9)</f>
        <v>0.051673871519051</v>
      </c>
      <c r="G42" s="117" t="n">
        <f aca="false">G41+F42</f>
        <v>0.936161656780939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70894.5086096419</v>
      </c>
      <c r="E43" s="45" t="n">
        <f aca="false">L43+D43/$K$2</f>
        <v>54.5450624890493</v>
      </c>
      <c r="F43" s="117" t="n">
        <f aca="false">IF($K$9=0,0,E43/$K$9)</f>
        <v>0.0577058409570726</v>
      </c>
      <c r="G43" s="117" t="n">
        <f aca="false">G42+F43</f>
        <v>0.993867497738011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741.057581285307</v>
      </c>
      <c r="E44" s="45" t="n">
        <f aca="false">L44+D44/$K$2</f>
        <v>0.57015744762061</v>
      </c>
      <c r="F44" s="117" t="n">
        <f aca="false">IF($K$9=0,0,E44/$K$9)</f>
        <v>0.000603196943802032</v>
      </c>
      <c r="G44" s="117" t="n">
        <f aca="false">G43+F44</f>
        <v>0.994470694681814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6793.02782845014</v>
      </c>
      <c r="E45" s="45" t="n">
        <f aca="false">L45+D45/$K$2</f>
        <v>5.22644326985674</v>
      </c>
      <c r="F45" s="117" t="n">
        <f aca="false">IF($K$9=0,0,E45/$K$9)</f>
        <v>0.0055293053181865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1228549.9601744</v>
      </c>
      <c r="E78" s="61" t="n">
        <f aca="false">SUM(E5:E76)</f>
        <v>945.22602191389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2762031.88831744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426.694287151738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2762031.88831744</v>
      </c>
      <c r="K9" s="45" t="n">
        <f aca="false">E78</f>
        <v>2128.7401995847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1702.04591243296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2143087.63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87.45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0.1534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87.45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2212220.55831744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0.00298287220767606</v>
      </c>
      <c r="G20" s="117" t="n">
        <f aca="false">G19+F20</f>
        <v>0.00298287220767606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0.0264525954292536</v>
      </c>
      <c r="G21" s="117" t="n">
        <f aca="false">G20+F21</f>
        <v>0.0294354676369297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0.0119034283504774</v>
      </c>
      <c r="G22" s="117" t="n">
        <f aca="false">G21+F22</f>
        <v>0.041338895987407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0.0242275377655201</v>
      </c>
      <c r="G23" s="117" t="n">
        <f aca="false">G22+F23</f>
        <v>0.0655664337529271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0.0136731408095574</v>
      </c>
      <c r="G24" s="117" t="n">
        <f aca="false">G23+F24</f>
        <v>0.0792395745624845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0.0229756028361191</v>
      </c>
      <c r="G25" s="117" t="n">
        <f aca="false">G24+F25</f>
        <v>0.102215177398604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0</v>
      </c>
      <c r="E26" s="45" t="n">
        <f aca="false">L26+D26/$K$2</f>
        <v>101.133309533738</v>
      </c>
      <c r="F26" s="117" t="n">
        <f aca="false">IF($K$9=0,0,E26/$K$9)</f>
        <v>0.0475085261947271</v>
      </c>
      <c r="G26" s="117" t="n">
        <f aca="false">G25+F26</f>
        <v>0.149723703593331</v>
      </c>
      <c r="H26" s="139" t="n">
        <v>188.02</v>
      </c>
      <c r="L26" s="45" t="n">
        <f aca="false">C26/IF(B26&lt;='VALOR POR PL'!$P$5,IFERROR(INDEX('"INCC-FGV"'!$B$2:$B$800,MATCH(B26,'"INCC-FGV"'!$A$2:$A$800,0)),$K$2),$K$2)</f>
        <v>101.133309533738</v>
      </c>
      <c r="M26" s="140" t="n">
        <f aca="false">'CP RESUMO'!Y33</f>
        <v>12.55</v>
      </c>
      <c r="N26" s="141" t="n">
        <f aca="false">MAX(0,M26-M25)</f>
        <v>3.95</v>
      </c>
      <c r="O26" s="140" t="n">
        <f aca="false">IF(B26&lt;='VALOR POR PL'!$P$5,'CP RESUMO'!Y75,"")</f>
        <v>15.34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113582.25</v>
      </c>
      <c r="D27" s="45" t="n">
        <f aca="false">IF(B27&lt;='VALOR POR PL'!$P$5,0,IF($K$17&gt;0,$K$18*P27/$K$17,0))</f>
        <v>83732.9908293964</v>
      </c>
      <c r="E27" s="45" t="n">
        <f aca="false">L27+D27/$K$2</f>
        <v>151.811083145268</v>
      </c>
      <c r="F27" s="117" t="n">
        <f aca="false">IF($K$9=0,0,E27/$K$9)</f>
        <v>0.071314988637357</v>
      </c>
      <c r="G27" s="117" t="n">
        <f aca="false">G26+F27</f>
        <v>0.221038692230688</v>
      </c>
      <c r="H27" s="139" t="n">
        <v>234754.56</v>
      </c>
      <c r="L27" s="45" t="n">
        <f aca="false">C27/IF(B27&lt;='VALOR POR PL'!$P$5,IFERROR(INDEX('"INCC-FGV"'!$B$2:$B$800,MATCH(B27,'"INCC-FGV"'!$A$2:$A$800,0)),$K$2),$K$2)</f>
        <v>87.3883047558669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108018.08786753</v>
      </c>
      <c r="E28" s="45" t="n">
        <f aca="false">L28+D28/$K$2</f>
        <v>84.7774157236817</v>
      </c>
      <c r="F28" s="117" t="n">
        <f aca="false">IF($K$9=0,0,E28/$K$9)</f>
        <v>0.0398251584388838</v>
      </c>
      <c r="G28" s="117" t="n">
        <f aca="false">G27+F28</f>
        <v>0.260863850669572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1.67008529385063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100428.995043113</v>
      </c>
      <c r="E29" s="45" t="n">
        <f aca="false">L29+D29/$K$2</f>
        <v>77.2684079171967</v>
      </c>
      <c r="F29" s="117" t="n">
        <f aca="false">IF($K$9=0,0,E29/$K$9)</f>
        <v>0.0362977163358268</v>
      </c>
      <c r="G29" s="117" t="n">
        <f aca="false">G28+F29</f>
        <v>0.297161567005398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105994.329781018</v>
      </c>
      <c r="E30" s="45" t="n">
        <f aca="false">L30+D30/$K$2</f>
        <v>81.5502844264619</v>
      </c>
      <c r="F30" s="117" t="n">
        <f aca="false">IF($K$9=0,0,E30/$K$9)</f>
        <v>0.0383091766869305</v>
      </c>
      <c r="G30" s="117" t="n">
        <f aca="false">G29+F30</f>
        <v>0.335470743692329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90057.2348497437</v>
      </c>
      <c r="E31" s="45" t="n">
        <f aca="false">L31+D31/$K$2</f>
        <v>69.2885471499295</v>
      </c>
      <c r="F31" s="117" t="n">
        <f aca="false">IF($K$9=0,0,E31/$K$9)</f>
        <v>0.0325490856814971</v>
      </c>
      <c r="G31" s="117" t="n">
        <f aca="false">G30+F31</f>
        <v>0.368019829373826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12077.66</v>
      </c>
      <c r="D32" s="45" t="n">
        <f aca="false">IF(B32&lt;='VALOR POR PL'!$P$5,0,IF($K$17&gt;0,$K$18*P32/$K$17,0))</f>
        <v>132303.184905663</v>
      </c>
      <c r="E32" s="45" t="n">
        <f aca="false">L32+D32/$K$2</f>
        <v>111.084234337017</v>
      </c>
      <c r="F32" s="117" t="n">
        <f aca="false">IF($K$9=0,0,E32/$K$9)</f>
        <v>0.0521830866719614</v>
      </c>
      <c r="G32" s="117" t="n">
        <f aca="false">G31+F32</f>
        <v>0.420202916045787</v>
      </c>
      <c r="H32" s="139" t="n">
        <v>167357.28</v>
      </c>
      <c r="L32" s="45" t="n">
        <f aca="false">C32/IF(B32&lt;='VALOR POR PL'!$P$5,IFERROR(INDEX('"INCC-FGV"'!$B$2:$B$800,MATCH(B32,'"INCC-FGV"'!$A$2:$A$800,0)),$K$2),$K$2)</f>
        <v>9.29235186675509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190739.19965367</v>
      </c>
      <c r="E33" s="45" t="n">
        <f aca="false">L33+D33/$K$2</f>
        <v>146.751585817547</v>
      </c>
      <c r="F33" s="117" t="n">
        <f aca="false">IF($K$9=0,0,E33/$K$9)</f>
        <v>0.0689382320332831</v>
      </c>
      <c r="G33" s="117" t="n">
        <f aca="false">G32+F33</f>
        <v>0.489141148079071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185426.834676579</v>
      </c>
      <c r="E34" s="45" t="n">
        <f aca="false">L34+D34/$K$2</f>
        <v>142.664340058703</v>
      </c>
      <c r="F34" s="117" t="n">
        <f aca="false">IF($K$9=0,0,E34/$K$9)</f>
        <v>0.0670182016981387</v>
      </c>
      <c r="G34" s="117" t="n">
        <f aca="false">G33+F34</f>
        <v>0.556159349777209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206423.324824131</v>
      </c>
      <c r="E35" s="45" t="n">
        <f aca="false">L35+D35/$K$2</f>
        <v>158.818692343659</v>
      </c>
      <c r="F35" s="117" t="n">
        <f aca="false">IF($K$9=0,0,E35/$K$9)</f>
        <v>0.0746068930227573</v>
      </c>
      <c r="G35" s="117" t="n">
        <f aca="false">G34+F35</f>
        <v>0.630766242799967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105994.329781018</v>
      </c>
      <c r="E36" s="45" t="n">
        <f aca="false">L36+D36/$K$2</f>
        <v>81.5502844264619</v>
      </c>
      <c r="F36" s="117" t="n">
        <f aca="false">IF($K$9=0,0,E36/$K$9)</f>
        <v>0.0383091766869305</v>
      </c>
      <c r="G36" s="117" t="n">
        <f aca="false">G35+F36</f>
        <v>0.669075419486897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211735.689801223</v>
      </c>
      <c r="E37" s="45" t="n">
        <f aca="false">L37+D37/$K$2</f>
        <v>162.905938102503</v>
      </c>
      <c r="F37" s="117" t="n">
        <f aca="false">IF($K$9=0,0,E37/$K$9)</f>
        <v>0.0765269233579019</v>
      </c>
      <c r="G37" s="117" t="n">
        <f aca="false">G36+F37</f>
        <v>0.745602342844799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126990.819928571</v>
      </c>
      <c r="E38" s="45" t="n">
        <f aca="false">L38+D38/$K$2</f>
        <v>97.7046367114173</v>
      </c>
      <c r="F38" s="117" t="n">
        <f aca="false">IF($K$9=0,0,E38/$K$9)</f>
        <v>0.0458978680115492</v>
      </c>
      <c r="G38" s="117" t="n">
        <f aca="false">G37+F38</f>
        <v>0.791500210856348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105994.329781018</v>
      </c>
      <c r="E39" s="45" t="n">
        <f aca="false">L39+D39/$K$2</f>
        <v>81.5502844264619</v>
      </c>
      <c r="F39" s="117" t="n">
        <f aca="false">IF($K$9=0,0,E39/$K$9)</f>
        <v>0.0383091766869305</v>
      </c>
      <c r="G39" s="117" t="n">
        <f aca="false">G38+F39</f>
        <v>0.829809387543279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98911.1764782299</v>
      </c>
      <c r="E40" s="45" t="n">
        <f aca="false">L40+D40/$K$2</f>
        <v>76.1006234146699</v>
      </c>
      <c r="F40" s="117" t="n">
        <f aca="false">IF($K$9=0,0,E40/$K$9)</f>
        <v>0.0357491362400713</v>
      </c>
      <c r="G40" s="117" t="n">
        <f aca="false">G39+F40</f>
        <v>0.86555852378335</v>
      </c>
      <c r="H40" s="139" t="n">
        <v>32562.73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53376.6195317301</v>
      </c>
      <c r="E41" s="45" t="n">
        <f aca="false">L41+D41/$K$2</f>
        <v>50.6877669043011</v>
      </c>
      <c r="F41" s="117" t="n">
        <f aca="false">IF($K$9=0,0,E41/$K$9)</f>
        <v>0.0238111569059437</v>
      </c>
      <c r="G41" s="117" t="n">
        <f aca="false">G40+F41</f>
        <v>0.889369680689294</v>
      </c>
      <c r="H41" s="139" t="n">
        <v>36464.8</v>
      </c>
      <c r="L41" s="45" t="n">
        <f aca="false">C41/IF(B41&lt;='VALOR POR PL'!$P$5,IFERROR(INDEX('"INCC-FGV"'!$B$2:$B$800,MATCH(B41,'"INCC-FGV"'!$A$2:$A$800,0)),$K$2),$K$2)</f>
        <v>9.62067856543837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95622.5695876492</v>
      </c>
      <c r="E42" s="45" t="n">
        <f aca="false">L42+D42/$K$2</f>
        <v>73.5704236591948</v>
      </c>
      <c r="F42" s="117" t="n">
        <f aca="false">IF($K$9=0,0,E42/$K$9)</f>
        <v>0.0345605460326008</v>
      </c>
      <c r="G42" s="117" t="n">
        <f aca="false">G41+F42</f>
        <v>0.923930226721895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0.923930226721895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210470.840997153</v>
      </c>
      <c r="E44" s="45" t="n">
        <f aca="false">L44+D44/$K$2</f>
        <v>161.932784350397</v>
      </c>
      <c r="F44" s="117" t="n">
        <f aca="false">IF($K$9=0,0,E44/$K$9)</f>
        <v>0.0760697732781055</v>
      </c>
      <c r="G44" s="117" t="n">
        <f aca="false">G43+F44</f>
        <v>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549811.33</v>
      </c>
      <c r="D78" s="61" t="n">
        <f aca="false">SUM(D5:D76)</f>
        <v>2212220.55831744</v>
      </c>
      <c r="E78" s="61" t="n">
        <f aca="false">SUM(E5:E76)</f>
        <v>2128.7401995847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426.694287151738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19228243.9712931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19228243.9712931</v>
      </c>
      <c r="K9" s="45" t="n">
        <f aca="false">E78</f>
        <v>14793.8929197434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14793.8929197434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19228243.9712931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n">
        <f aca="false">IF(B26&lt;='VALOR POR PL'!$P$5,'CP RESUMO'!Y76,"")</f>
        <v>0.01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1922.82439712931</v>
      </c>
      <c r="E27" s="45" t="n">
        <f aca="false">L27+D27/$K$2</f>
        <v>1.47938929197434</v>
      </c>
      <c r="F27" s="117" t="n">
        <f aca="false">IF($K$9=0,0,E27/$K$9)</f>
        <v>1E-004</v>
      </c>
      <c r="G27" s="117" t="n">
        <f aca="false">G26+F27</f>
        <v>1E-004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1922.82439712931</v>
      </c>
      <c r="E28" s="45" t="n">
        <f aca="false">L28+D28/$K$2</f>
        <v>1.47938929197434</v>
      </c>
      <c r="F28" s="117" t="n">
        <f aca="false">IF($K$9=0,0,E28/$K$9)</f>
        <v>1E-004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28842.3659569396</v>
      </c>
      <c r="E30" s="45" t="n">
        <f aca="false">L30+D30/$K$2</f>
        <v>22.190839379615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553773.42637324</v>
      </c>
      <c r="E31" s="45" t="n">
        <f aca="false">L31+D31/$K$2</f>
        <v>426.064116088608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978717.618138817</v>
      </c>
      <c r="E32" s="45" t="n">
        <f aca="false">L32+D32/$K$2</f>
        <v>753.009149614937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1455578.06862688</v>
      </c>
      <c r="E33" s="45" t="n">
        <f aca="false">L33+D33/$K$2</f>
        <v>1119.89769402457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421098.542971318</v>
      </c>
      <c r="E34" s="45" t="n">
        <f aca="false">L34+D34/$K$2</f>
        <v>323.986254942379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1122929.44792351</v>
      </c>
      <c r="E35" s="45" t="n">
        <f aca="false">L35+D35/$K$2</f>
        <v>863.963346513012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2072804.70010539</v>
      </c>
      <c r="E36" s="45" t="n">
        <f aca="false">L36+D36/$K$2</f>
        <v>1594.78165674833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1611326.84479436</v>
      </c>
      <c r="E37" s="45" t="n">
        <f aca="false">L37+D37/$K$2</f>
        <v>1239.72822667449</v>
      </c>
      <c r="F37" s="117" t="n">
        <f aca="false">IF($K$9=0,0,E37/$K$9)</f>
        <v>0.0837999999999999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2188174.16393315</v>
      </c>
      <c r="E38" s="45" t="n">
        <f aca="false">L38+D38/$K$2</f>
        <v>1683.54501426679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1134466.39430629</v>
      </c>
      <c r="E39" s="45" t="n">
        <f aca="false">L39+D39/$K$2</f>
        <v>872.839682264858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1517108.44933502</v>
      </c>
      <c r="E40" s="45" t="n">
        <f aca="false">L40+D40/$K$2</f>
        <v>1167.23815136775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1090241.43317232</v>
      </c>
      <c r="E41" s="45" t="n">
        <f aca="false">L41+D41/$K$2</f>
        <v>838.813728549448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1336362.95600487</v>
      </c>
      <c r="E42" s="45" t="n">
        <f aca="false">L42+D42/$K$2</f>
        <v>1028.17555792216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1228684.78976563</v>
      </c>
      <c r="E43" s="45" t="n">
        <f aca="false">L43+D43/$K$2</f>
        <v>945.3297575716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947952.427784749</v>
      </c>
      <c r="E44" s="45" t="n">
        <f aca="false">L44+D44/$K$2</f>
        <v>729.338920943348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732596.095306263</v>
      </c>
      <c r="E45" s="45" t="n">
        <f aca="false">L45+D45/$K$2</f>
        <v>563.64732024222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171131.371344508</v>
      </c>
      <c r="E46" s="45" t="n">
        <f aca="false">L46+D46/$K$2</f>
        <v>131.665646985716</v>
      </c>
      <c r="F46" s="117" t="n">
        <f aca="false">IF($K$9=0,0,E46/$K$9)</f>
        <v>0.0089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215356.332478483</v>
      </c>
      <c r="E47" s="45" t="n">
        <f aca="false">L47+D47/$K$2</f>
        <v>165.691600701126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153825.951770344</v>
      </c>
      <c r="E48" s="45" t="n">
        <f aca="false">L48+D48/$K$2</f>
        <v>118.351143357946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199973.737301449</v>
      </c>
      <c r="E49" s="45" t="n">
        <f aca="false">L49+D49/$K$2</f>
        <v>153.856486365332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61530.3807081365</v>
      </c>
      <c r="E50" s="45" t="n">
        <f aca="false">L50+D50/$K$2</f>
        <v>47.3404573431777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1922.82439713029</v>
      </c>
      <c r="E51" s="45" t="n">
        <f aca="false">L51+D51/$K$2</f>
        <v>1.47938929197509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19228243.9712931</v>
      </c>
      <c r="E78" s="61" t="n">
        <f aca="false">SUM(E5:E76)</f>
        <v>14793.8929197434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213608.333219518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213608.333219518</v>
      </c>
      <c r="K9" s="45" t="n">
        <f aca="false">E78</f>
        <v>164.346718979242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164.346718979242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213608.333219518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n">
        <f aca="false">IF(B26&lt;='VALOR POR PL'!$P$5,'CP RESUMO'!Y77,"")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21360.8333219518</v>
      </c>
      <c r="E45" s="45" t="n">
        <f aca="false">L45+D45/$K$2</f>
        <v>16.4346718979242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117484.583270735</v>
      </c>
      <c r="E46" s="45" t="n">
        <f aca="false">L46+D46/$K$2</f>
        <v>90.3906954385832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74762.9166268314</v>
      </c>
      <c r="E47" s="45" t="n">
        <f aca="false">L47+D47/$K$2</f>
        <v>57.5213516427348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213608.333219518</v>
      </c>
      <c r="E78" s="61" t="n">
        <f aca="false">SUM(E5:E76)</f>
        <v>164.346718979242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8106321.23132182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314.593096788421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8106321.23132182</v>
      </c>
      <c r="K9" s="45" t="n">
        <f aca="false">E78</f>
        <v>6237.43037628067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5922.83727949225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7300636.99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96.24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0.000395302803193219</v>
      </c>
      <c r="G13" s="117" t="n">
        <f aca="false">G12+F13</f>
        <v>0.000395302803193219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0.000645133787779609</v>
      </c>
      <c r="G14" s="117" t="n">
        <f aca="false">G13+F14</f>
        <v>0.00104043659097283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0.00036724391772763</v>
      </c>
      <c r="G15" s="117" t="n">
        <f aca="false">G14+F15</f>
        <v>0.00140768050870046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0.00140768050870046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0.00140768050870046</v>
      </c>
      <c r="H17" s="139"/>
      <c r="I17" s="42" t="s">
        <v>3289</v>
      </c>
      <c r="K17" s="45" t="n">
        <f aca="false">SUM(P5:P76)</f>
        <v>96.24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0.00140768050870046</v>
      </c>
      <c r="H18" s="139"/>
      <c r="I18" s="42" t="s">
        <v>3290</v>
      </c>
      <c r="K18" s="45" t="n">
        <f aca="false">MAX(0,K10)*$K$2</f>
        <v>7698160.37132182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0.00140768050870046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0.00140768050870046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0.00140768050870046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0.00140768050870046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0.00140768050870046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0.00140768050870046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0.00118425123025723</v>
      </c>
      <c r="G25" s="117" t="n">
        <f aca="false">G24+F25</f>
        <v>0.00259193173895769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0</v>
      </c>
      <c r="E26" s="45" t="n">
        <f aca="false">L26+D26/$K$2</f>
        <v>209.896371741469</v>
      </c>
      <c r="F26" s="117" t="n">
        <f aca="false">IF($K$9=0,0,E26/$K$9)</f>
        <v>0.0336510965380311</v>
      </c>
      <c r="G26" s="117" t="n">
        <f aca="false">G25+F26</f>
        <v>0.0362430282769888</v>
      </c>
      <c r="H26" s="139" t="n">
        <v>75315.92</v>
      </c>
      <c r="L26" s="45" t="n">
        <f aca="false">C26/IF(B26&lt;='VALOR POR PL'!$P$5,IFERROR(INDEX('"INCC-FGV"'!$B$2:$B$800,MATCH(B26,'"INCC-FGV"'!$A$2:$A$800,0)),$K$2),$K$2)</f>
        <v>209.896371741469</v>
      </c>
      <c r="M26" s="140" t="n">
        <f aca="false">'CP RESUMO'!Y36</f>
        <v>3.76</v>
      </c>
      <c r="N26" s="141" t="n">
        <f aca="false">MAX(0,M26-M25)</f>
        <v>3.76</v>
      </c>
      <c r="O26" s="140" t="n">
        <f aca="false">IF(B26&lt;='VALOR POR PL'!$P$5,'CP RESUMO'!Y78,"")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101360.82</v>
      </c>
      <c r="D27" s="45" t="n">
        <f aca="false">IF(B27&lt;='VALOR POR PL'!$P$5,0,IF($K$17&gt;0,$K$18*P27/$K$17,0))</f>
        <v>538327.29944925</v>
      </c>
      <c r="E27" s="45" t="n">
        <f aca="false">L27+D27/$K$2</f>
        <v>492.165460106121</v>
      </c>
      <c r="F27" s="117" t="n">
        <f aca="false">IF($K$9=0,0,E27/$K$9)</f>
        <v>0.0789051629301865</v>
      </c>
      <c r="G27" s="117" t="n">
        <f aca="false">G26+F27</f>
        <v>0.115148191207175</v>
      </c>
      <c r="H27" s="139" t="n">
        <v>94583.85</v>
      </c>
      <c r="L27" s="45" t="n">
        <f aca="false">C27/IF(B27&lt;='VALOR POR PL'!$P$5,IFERROR(INDEX('"INCC-FGV"'!$B$2:$B$800,MATCH(B27,'"INCC-FGV"'!$A$2:$A$800,0)),$K$2),$K$2)</f>
        <v>77.9853386287433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12026.31</v>
      </c>
      <c r="D28" s="45" t="n">
        <f aca="false">IF(B28&lt;='VALOR POR PL'!$P$5,0,IF($K$17&gt;0,$K$18*P28/$K$17,0))</f>
        <v>761497.160587944</v>
      </c>
      <c r="E28" s="45" t="n">
        <f aca="false">L28+D28/$K$2</f>
        <v>595.136165937504</v>
      </c>
      <c r="F28" s="117" t="n">
        <f aca="false">IF($K$9=0,0,E28/$K$9)</f>
        <v>0.095413676792394</v>
      </c>
      <c r="G28" s="117" t="n">
        <f aca="false">G27+F28</f>
        <v>0.210561867999569</v>
      </c>
      <c r="H28" s="139" t="n">
        <v>152611.43</v>
      </c>
      <c r="L28" s="45" t="n">
        <f aca="false">C28/IF(B28&lt;='VALOR POR PL'!$P$5,IFERROR(INDEX('"INCC-FGV"'!$B$2:$B$800,MATCH(B28,'"INCC-FGV"'!$A$2:$A$800,0)),$K$2),$K$2)</f>
        <v>9.25284402596823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410344.583384049</v>
      </c>
      <c r="E29" s="45" t="n">
        <f aca="false">L29+D29/$K$2</f>
        <v>315.712336282162</v>
      </c>
      <c r="F29" s="117" t="n">
        <f aca="false">IF($K$9=0,0,E29/$K$9)</f>
        <v>0.0506157691928288</v>
      </c>
      <c r="G29" s="117" t="n">
        <f aca="false">G28+F29</f>
        <v>0.261177637192398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503132.05253132</v>
      </c>
      <c r="E30" s="45" t="n">
        <f aca="false">L30+D30/$K$2</f>
        <v>387.101480548693</v>
      </c>
      <c r="F30" s="117" t="n">
        <f aca="false">IF($K$9=0,0,E30/$K$9)</f>
        <v>0.0620610503358466</v>
      </c>
      <c r="G30" s="117" t="n">
        <f aca="false">G29+F30</f>
        <v>0.323238687528245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239967.592622251</v>
      </c>
      <c r="E31" s="45" t="n">
        <f aca="false">L31+D31/$K$2</f>
        <v>184.62709724103</v>
      </c>
      <c r="F31" s="117" t="n">
        <f aca="false">IF($K$9=0,0,E31/$K$9)</f>
        <v>0.0295998650250461</v>
      </c>
      <c r="G31" s="117" t="n">
        <f aca="false">G30+F31</f>
        <v>0.352838552553291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286361.327195886</v>
      </c>
      <c r="E32" s="45" t="n">
        <f aca="false">L32+D32/$K$2</f>
        <v>220.321669374296</v>
      </c>
      <c r="F32" s="117" t="n">
        <f aca="false">IF($K$9=0,0,E32/$K$9)</f>
        <v>0.035322505596555</v>
      </c>
      <c r="G32" s="117" t="n">
        <f aca="false">G31+F32</f>
        <v>0.388161058149846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715903.317989716</v>
      </c>
      <c r="E33" s="45" t="n">
        <f aca="false">L33+D33/$K$2</f>
        <v>550.80417343574</v>
      </c>
      <c r="F33" s="117" t="n">
        <f aca="false">IF($K$9=0,0,E33/$K$9)</f>
        <v>0.0883062639913875</v>
      </c>
      <c r="G33" s="117" t="n">
        <f aca="false">G32+F33</f>
        <v>0.476467322141233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537527.407473842</v>
      </c>
      <c r="E34" s="45" t="n">
        <f aca="false">L34+D34/$K$2</f>
        <v>413.564697819908</v>
      </c>
      <c r="F34" s="117" t="n">
        <f aca="false">IF($K$9=0,0,E34/$K$9)</f>
        <v>0.0663036976561032</v>
      </c>
      <c r="G34" s="117" t="n">
        <f aca="false">G33+F34</f>
        <v>0.542771019797336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657511.203784968</v>
      </c>
      <c r="E35" s="45" t="n">
        <f aca="false">L35+D35/$K$2</f>
        <v>505.878246440423</v>
      </c>
      <c r="F35" s="117" t="n">
        <f aca="false">IF($K$9=0,0,E35/$K$9)</f>
        <v>0.0811036301686262</v>
      </c>
      <c r="G35" s="117" t="n">
        <f aca="false">G34+F35</f>
        <v>0.623874649965963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803891.435284542</v>
      </c>
      <c r="E36" s="45" t="n">
        <f aca="false">L36+D36/$K$2</f>
        <v>618.500775757452</v>
      </c>
      <c r="F36" s="117" t="n">
        <f aca="false">IF($K$9=0,0,E36/$K$9)</f>
        <v>0.0991595478339044</v>
      </c>
      <c r="G36" s="117" t="n">
        <f aca="false">G35+F36</f>
        <v>0.723034197799867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775895.216145279</v>
      </c>
      <c r="E37" s="45" t="n">
        <f aca="false">L37+D37/$K$2</f>
        <v>596.960947745998</v>
      </c>
      <c r="F37" s="117" t="n">
        <f aca="false">IF($K$9=0,0,E37/$K$9)</f>
        <v>0.095706230247649</v>
      </c>
      <c r="G37" s="117" t="n">
        <f aca="false">G36+F37</f>
        <v>0.818740428047516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471136.37351502</v>
      </c>
      <c r="E38" s="45" t="n">
        <f aca="false">L38+D38/$K$2</f>
        <v>362.484534249889</v>
      </c>
      <c r="F38" s="117" t="n">
        <f aca="false">IF($K$9=0,0,E38/$K$9)</f>
        <v>0.0581144016658405</v>
      </c>
      <c r="G38" s="117" t="n">
        <f aca="false">G37+F38</f>
        <v>0.876854829713357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343153.657449818</v>
      </c>
      <c r="E39" s="45" t="n">
        <f aca="false">L39+D39/$K$2</f>
        <v>264.016749054673</v>
      </c>
      <c r="F39" s="117" t="n">
        <f aca="false">IF($K$9=0,0,E39/$K$9)</f>
        <v>0.0423278069858158</v>
      </c>
      <c r="G39" s="117" t="n">
        <f aca="false">G38+F39</f>
        <v>0.919182636699172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265564.135835292</v>
      </c>
      <c r="E40" s="45" t="n">
        <f aca="false">L40+D40/$K$2</f>
        <v>204.320654280074</v>
      </c>
      <c r="F40" s="117" t="n">
        <f aca="false">IF($K$9=0,0,E40/$K$9)</f>
        <v>0.0327571839610511</v>
      </c>
      <c r="G40" s="117" t="n">
        <f aca="false">G39+F40</f>
        <v>0.951939820660223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172776.666688021</v>
      </c>
      <c r="E41" s="45" t="n">
        <f aca="false">L41+D41/$K$2</f>
        <v>132.931510013542</v>
      </c>
      <c r="F41" s="117" t="n">
        <f aca="false">IF($K$9=0,0,E41/$K$9)</f>
        <v>0.0213119028180331</v>
      </c>
      <c r="G41" s="117" t="n">
        <f aca="false">G40+F41</f>
        <v>0.973251723478257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107185.524704606</v>
      </c>
      <c r="E42" s="45" t="n">
        <f aca="false">L42+D42/$K$2</f>
        <v>82.4667701009937</v>
      </c>
      <c r="F42" s="117" t="n">
        <f aca="false">IF($K$9=0,0,E42/$K$9)</f>
        <v>0.0132212730445206</v>
      </c>
      <c r="G42" s="117" t="n">
        <f aca="false">G41+F42</f>
        <v>0.986472996522777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66391.0339588227</v>
      </c>
      <c r="E43" s="45" t="n">
        <f aca="false">L43+D43/$K$2</f>
        <v>51.0801635700183</v>
      </c>
      <c r="F43" s="117" t="n">
        <f aca="false">IF($K$9=0,0,E43/$K$9)</f>
        <v>0.00818929599026273</v>
      </c>
      <c r="G43" s="117" t="n">
        <f aca="false">G42+F43</f>
        <v>0.99466229251304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41594.3827211899</v>
      </c>
      <c r="E44" s="45" t="n">
        <f aca="false">L44+D44/$K$2</f>
        <v>32.002030188445</v>
      </c>
      <c r="F44" s="117" t="n">
        <f aca="false">IF($K$9=0,0,E44/$K$9)</f>
        <v>0.00513064327100795</v>
      </c>
      <c r="G44" s="117" t="n">
        <f aca="false">G43+F44</f>
        <v>0.999792935784048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0.999792935784048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0.999792935784048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0.999792935784048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1.2915486304205</v>
      </c>
      <c r="F48" s="117" t="n">
        <f aca="false">IF($K$9=0,0,E48/$K$9)</f>
        <v>0.000207064215952121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1.2915486304205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408160.86</v>
      </c>
      <c r="D78" s="61" t="n">
        <f aca="false">SUM(D5:D76)</f>
        <v>7698160.37132182</v>
      </c>
      <c r="E78" s="61" t="n">
        <f aca="false">SUM(E5:E76)</f>
        <v>6237.43037628067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314.593096788421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2215245.52343845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2215245.52343845</v>
      </c>
      <c r="K9" s="45" t="n">
        <f aca="false">E78</f>
        <v>1704.37327057097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1704.37327057097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2215245.52343845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n">
        <f aca="false">IF(B26&lt;='VALOR POR PL'!$P$5,'CP RESUMO'!Y79,"")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664.573657031535</v>
      </c>
      <c r="E32" s="45" t="n">
        <f aca="false">L32+D32/$K$2</f>
        <v>0.51131198117129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39431.3703172044</v>
      </c>
      <c r="E33" s="45" t="n">
        <f aca="false">L33+D33/$K$2</f>
        <v>30.3378442161632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35443.9283750152</v>
      </c>
      <c r="E34" s="45" t="n">
        <f aca="false">L34+D34/$K$2</f>
        <v>27.2699723291355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53165.8925625228</v>
      </c>
      <c r="E35" s="45" t="n">
        <f aca="false">L35+D35/$K$2</f>
        <v>40.9049584937032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72217.0040640935</v>
      </c>
      <c r="E36" s="45" t="n">
        <f aca="false">L36+D36/$K$2</f>
        <v>55.5625686206136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129148.814016462</v>
      </c>
      <c r="E37" s="45" t="n">
        <f aca="false">L37+D37/$K$2</f>
        <v>99.3649616742874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93704.8856414465</v>
      </c>
      <c r="E38" s="45" t="n">
        <f aca="false">L38+D38/$K$2</f>
        <v>72.0949893451519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197821.425243054</v>
      </c>
      <c r="E39" s="45" t="n">
        <f aca="false">L39+D39/$K$2</f>
        <v>152.200533061987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232379.255408693</v>
      </c>
      <c r="E40" s="45" t="n">
        <f aca="false">L40+D40/$K$2</f>
        <v>178.788756082895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72881.5777211252</v>
      </c>
      <c r="E41" s="45" t="n">
        <f aca="false">L41+D41/$K$2</f>
        <v>56.073880601785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165700.365153196</v>
      </c>
      <c r="E42" s="45" t="n">
        <f aca="false">L42+D42/$K$2</f>
        <v>127.487120638708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165257.316048508</v>
      </c>
      <c r="E43" s="45" t="n">
        <f aca="false">L43+D43/$K$2</f>
        <v>127.146245984594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238360.418321977</v>
      </c>
      <c r="E44" s="45" t="n">
        <f aca="false">L44+D44/$K$2</f>
        <v>183.390563913436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157947.005821161</v>
      </c>
      <c r="E45" s="45" t="n">
        <f aca="false">L45+D45/$K$2</f>
        <v>121.52181419171</v>
      </c>
      <c r="F45" s="117" t="n">
        <f aca="false">IF($K$9=0,0,E45/$K$9)</f>
        <v>0.0712999999999999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105002.637810982</v>
      </c>
      <c r="E46" s="45" t="n">
        <f aca="false">L46+D46/$K$2</f>
        <v>80.7872930250638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85508.4772047242</v>
      </c>
      <c r="E47" s="45" t="n">
        <f aca="false">L47+D47/$K$2</f>
        <v>65.7888082440394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85508.4772047242</v>
      </c>
      <c r="E48" s="45" t="n">
        <f aca="false">L48+D48/$K$2</f>
        <v>65.7888082440394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93704.8856414466</v>
      </c>
      <c r="E49" s="45" t="n">
        <f aca="false">L49+D49/$K$2</f>
        <v>72.094989345152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81521.0352625351</v>
      </c>
      <c r="E50" s="45" t="n">
        <f aca="false">L50+D50/$K$2</f>
        <v>62.7209363570117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85508.4772047242</v>
      </c>
      <c r="E51" s="45" t="n">
        <f aca="false">L51+D51/$K$2</f>
        <v>65.7888082440394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24367.7007578228</v>
      </c>
      <c r="E52" s="45" t="n">
        <f aca="false">L52+D52/$K$2</f>
        <v>18.7481059762806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2215245.52343845</v>
      </c>
      <c r="E78" s="61" t="n">
        <f aca="false">SUM(E5:E76)</f>
        <v>1704.37327057097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1237854.2905789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1237854.2905789</v>
      </c>
      <c r="K9" s="45" t="n">
        <f aca="false">E78</f>
        <v>952.384619854478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952.384619854478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1237854.2905789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n">
        <f aca="false">IF(B26&lt;='VALOR POR PL'!$P$5,'CP RESUMO'!Y80,"")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3292.69241293987</v>
      </c>
      <c r="E33" s="45" t="n">
        <f aca="false">L33+D33/$K$2</f>
        <v>2.53334308881291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3292.69241293987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12279.5145625427</v>
      </c>
      <c r="E34" s="45" t="n">
        <f aca="false">L34+D34/$K$2</f>
        <v>9.44765542895642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12279.5145625427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26638.6243332579</v>
      </c>
      <c r="E35" s="45" t="n">
        <f aca="false">L35+D35/$K$2</f>
        <v>20.4953170192684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26638.6243332579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25425.5271284906</v>
      </c>
      <c r="E36" s="45" t="n">
        <f aca="false">L36+D36/$K$2</f>
        <v>19.561980091811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495141.71623156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25425.5271284906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24460.000781839</v>
      </c>
      <c r="E37" s="45" t="n">
        <f aca="false">L37+D37/$K$2</f>
        <v>18.8191200883245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742712.57434734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24460.000781839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53871.4187259937</v>
      </c>
      <c r="E38" s="45" t="n">
        <f aca="false">L38+D38/$K$2</f>
        <v>41.4477786560669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6585.38482587974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47286.0339001139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82119.2536370042</v>
      </c>
      <c r="E39" s="45" t="n">
        <f aca="false">L39+D39/$K$2</f>
        <v>63.1811956811461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17973.6442992056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64145.6093377985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97790.488955733</v>
      </c>
      <c r="E40" s="45" t="n">
        <f aca="false">L40+D40/$K$2</f>
        <v>75.2383849685038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28718.2195414305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69072.2694143026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48994.2728211128</v>
      </c>
      <c r="E41" s="45" t="n">
        <f aca="false">L41+D41/$K$2</f>
        <v>37.6953832538403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4159.1904163451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44835.0824047677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66819.374605449</v>
      </c>
      <c r="E42" s="45" t="n">
        <f aca="false">L42+D42/$K$2</f>
        <v>51.4097217797447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16042.5916059025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50776.7829995465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141437.231241545</v>
      </c>
      <c r="E43" s="45" t="n">
        <f aca="false">L43+D43/$K$2</f>
        <v>108.819466664573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74370.2857779803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67066.9454635648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106925.853620205</v>
      </c>
      <c r="E44" s="45" t="n">
        <f aca="false">L44+D44/$K$2</f>
        <v>82.2669834630298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37878.3412917143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69047.512328491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83010.508726221</v>
      </c>
      <c r="E45" s="45" t="n">
        <f aca="false">L45+D45/$K$2</f>
        <v>63.8669126074413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25895.9117589106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57114.5969673104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69715.9536454036</v>
      </c>
      <c r="E46" s="45" t="n">
        <f aca="false">L46+D46/$K$2</f>
        <v>53.6383017902042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25895.9117589106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43820.041886493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89595.8935521008</v>
      </c>
      <c r="E47" s="45" t="n">
        <f aca="false">L47+D47/$K$2</f>
        <v>68.9335987850672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49761.7424812718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39834.151070829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99325.4282760509</v>
      </c>
      <c r="E48" s="45" t="n">
        <f aca="false">L48+D48/$K$2</f>
        <v>76.4193418971233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58476.2366869472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40849.1915891037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60729.1314958008</v>
      </c>
      <c r="E49" s="45" t="n">
        <f aca="false">L49+D49/$K$2</f>
        <v>46.7239894500607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29857.0454887631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30872.0860070377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45825.3658372309</v>
      </c>
      <c r="E50" s="45" t="n">
        <f aca="false">L50+D50/$K$2</f>
        <v>35.2572786270128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25895.9117589106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19929.4540783203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37853.5842059027</v>
      </c>
      <c r="E51" s="45" t="n">
        <f aca="false">L51+D51/$K$2</f>
        <v>29.1239216751499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31887.1265253124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5966.45768059029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21885.2638574349</v>
      </c>
      <c r="E52" s="45" t="n">
        <f aca="false">L52+D52/$K$2</f>
        <v>16.8381600790272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21885.2638574349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27925.99279546</v>
      </c>
      <c r="E53" s="45" t="n">
        <f aca="false">L53+D53/$K$2</f>
        <v>21.485797023917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27925.99279546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11932.9153611806</v>
      </c>
      <c r="E54" s="45" t="n">
        <f aca="false">L54+D54/$K$2</f>
        <v>9.18098773539716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11932.9153611806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1237854.2905789</v>
      </c>
      <c r="E78" s="61" t="n">
        <f aca="false">SUM(E5:E76)</f>
        <v>952.384619854478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495141.71623156</v>
      </c>
      <c r="U78" s="61" t="n">
        <f aca="false">SUM(U5:U76)</f>
        <v>742712.57434734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2396377.38006817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105.358998526773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2396377.38006817</v>
      </c>
      <c r="K9" s="45" t="n">
        <f aca="false">E78</f>
        <v>1845.53584906186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1740.17685053509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2265361.17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0.00378508174915971</v>
      </c>
      <c r="G18" s="117" t="n">
        <f aca="false">G17+F18</f>
        <v>0.00378508174915971</v>
      </c>
      <c r="H18" s="139"/>
      <c r="I18" s="42" t="s">
        <v>3290</v>
      </c>
      <c r="K18" s="45" t="n">
        <f aca="false">MAX(0,K10)*$K$2</f>
        <v>2261780.94006817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0.000355974068040877</v>
      </c>
      <c r="G19" s="117" t="n">
        <f aca="false">G18+F19</f>
        <v>0.00414105581720058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0.00402690643998023</v>
      </c>
      <c r="G20" s="117" t="n">
        <f aca="false">G19+F20</f>
        <v>0.00816796225718081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0.0122036814272883</v>
      </c>
      <c r="G21" s="117" t="n">
        <f aca="false">G20+F21</f>
        <v>0.0203716436844691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0.00580579655640653</v>
      </c>
      <c r="G22" s="117" t="n">
        <f aca="false">G21+F22</f>
        <v>0.0261774402408756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0.000941895204665114</v>
      </c>
      <c r="G23" s="117" t="n">
        <f aca="false">G22+F23</f>
        <v>0.0271193354455407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0.00882254087651245</v>
      </c>
      <c r="G24" s="117" t="n">
        <f aca="false">G23+F24</f>
        <v>0.0359418763220532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0.00834926865826093</v>
      </c>
      <c r="G25" s="117" t="n">
        <f aca="false">G24+F25</f>
        <v>0.0442911449803141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4.54158594551842</v>
      </c>
      <c r="F26" s="117" t="n">
        <f aca="false">IF($K$9=0,0,E26/$K$9)</f>
        <v>0.00246084948597831</v>
      </c>
      <c r="G26" s="117" t="n">
        <f aca="false">G25+F26</f>
        <v>0.0467519944662924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4.54158594551842</v>
      </c>
      <c r="M26" s="140" t="n">
        <f aca="false">'CP RESUMO'!Y39</f>
        <v>5.94</v>
      </c>
      <c r="N26" s="141" t="n">
        <f aca="false">MAX(0,M26-M25)</f>
        <v>0</v>
      </c>
      <c r="O26" s="140" t="n">
        <f aca="false">IF(B26&lt;='VALOR POR PL'!$P$5,'CP RESUMO'!Y81,"")</f>
        <v>5.94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12.8567669583656</v>
      </c>
      <c r="F27" s="117" t="n">
        <f aca="false">IF($K$9=0,0,E27/$K$9)</f>
        <v>0.00696641409859422</v>
      </c>
      <c r="G27" s="117" t="n">
        <f aca="false">G26+F27</f>
        <v>0.0537184085648866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12.8567669583656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0.62398537555915</v>
      </c>
      <c r="F28" s="117" t="n">
        <f aca="false">IF($K$9=0,0,E28/$K$9)</f>
        <v>0.000338105258630625</v>
      </c>
      <c r="G28" s="117" t="n">
        <f aca="false">G27+F28</f>
        <v>0.0540565138235172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0.62398537555915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0.0540565138235172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0.0540565138235172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0.0540565138235172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0.0540565138235172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5049.69165866804</v>
      </c>
      <c r="E33" s="45" t="n">
        <f aca="false">L33+D33/$K$2</f>
        <v>3.88514925167306</v>
      </c>
      <c r="F33" s="117" t="n">
        <f aca="false">IF($K$9=0,0,E33/$K$9)</f>
        <v>0.0021051605438323</v>
      </c>
      <c r="G33" s="117" t="n">
        <f aca="false">G32+F33</f>
        <v>0.0561616743673495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43283.0713600118</v>
      </c>
      <c r="E34" s="45" t="n">
        <f aca="false">L34+D34/$K$2</f>
        <v>33.3012793000548</v>
      </c>
      <c r="F34" s="117" t="n">
        <f aca="false">IF($K$9=0,0,E34/$K$9)</f>
        <v>0.0180442332328482</v>
      </c>
      <c r="G34" s="117" t="n">
        <f aca="false">G33+F34</f>
        <v>0.0742059076001978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79111.8359857994</v>
      </c>
      <c r="E35" s="45" t="n">
        <f aca="false">L35+D35/$K$2</f>
        <v>60.8673382762112</v>
      </c>
      <c r="F35" s="117" t="n">
        <f aca="false">IF($K$9=0,0,E35/$K$9)</f>
        <v>0.0329808485200393</v>
      </c>
      <c r="G35" s="117" t="n">
        <f aca="false">G34+F35</f>
        <v>0.107186756120237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89211.2193031354</v>
      </c>
      <c r="E36" s="45" t="n">
        <f aca="false">L36+D36/$K$2</f>
        <v>68.6376367795573</v>
      </c>
      <c r="F36" s="117" t="n">
        <f aca="false">IF($K$9=0,0,E36/$K$9)</f>
        <v>0.0371911696077039</v>
      </c>
      <c r="G36" s="117" t="n">
        <f aca="false">G35+F36</f>
        <v>0.144377925727941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21160.6126648947</v>
      </c>
      <c r="E37" s="45" t="n">
        <f aca="false">L37+D37/$K$2</f>
        <v>16.2806254355824</v>
      </c>
      <c r="F37" s="117" t="n">
        <f aca="false">IF($K$9=0,0,E37/$K$9)</f>
        <v>0.00882162513605915</v>
      </c>
      <c r="G37" s="117" t="n">
        <f aca="false">G36+F37</f>
        <v>0.153199550864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105081.678801806</v>
      </c>
      <c r="E38" s="45" t="n">
        <f aca="false">L38+D38/$K$2</f>
        <v>80.8481058562441</v>
      </c>
      <c r="F38" s="117" t="n">
        <f aca="false">IF($K$9=0,0,E38/$K$9)</f>
        <v>0.0438073884597482</v>
      </c>
      <c r="G38" s="117" t="n">
        <f aca="false">G37+F38</f>
        <v>0.197006939323748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247194.429767179</v>
      </c>
      <c r="E39" s="45" t="n">
        <f aca="false">L39+D39/$K$2</f>
        <v>190.187306224757</v>
      </c>
      <c r="F39" s="117" t="n">
        <f aca="false">IF($K$9=0,0,E39/$K$9)</f>
        <v>0.1030526209076</v>
      </c>
      <c r="G39" s="117" t="n">
        <f aca="false">G38+F39</f>
        <v>0.300059560231348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378967.335907659</v>
      </c>
      <c r="E40" s="45" t="n">
        <f aca="false">L40+D40/$K$2</f>
        <v>295.610087161651</v>
      </c>
      <c r="F40" s="117" t="n">
        <f aca="false">IF($K$9=0,0,E40/$K$9)</f>
        <v>0.16017574912561</v>
      </c>
      <c r="G40" s="117" t="n">
        <f aca="false">G39+F40</f>
        <v>0.460235309356958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4.03888617894936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169765.824334268</v>
      </c>
      <c r="E41" s="45" t="n">
        <f aca="false">L41+D41/$K$2</f>
        <v>132.171895910318</v>
      </c>
      <c r="F41" s="117" t="n">
        <f aca="false">IF($K$9=0,0,E41/$K$9)</f>
        <v>0.0716170839908122</v>
      </c>
      <c r="G41" s="117" t="n">
        <f aca="false">G40+F41</f>
        <v>0.53185239334777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1.55687821121423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207277.819512946</v>
      </c>
      <c r="E42" s="45" t="n">
        <f aca="false">L42+D42/$K$2</f>
        <v>159.476126425818</v>
      </c>
      <c r="F42" s="117" t="n">
        <f aca="false">IF($K$9=0,0,E42/$K$9)</f>
        <v>0.0864118280373067</v>
      </c>
      <c r="G42" s="117" t="n">
        <f aca="false">G41+F42</f>
        <v>0.618264221385077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410948.716412557</v>
      </c>
      <c r="E43" s="45" t="n">
        <f aca="false">L43+D43/$K$2</f>
        <v>316.177146243298</v>
      </c>
      <c r="F43" s="117" t="n">
        <f aca="false">IF($K$9=0,0,E43/$K$9)</f>
        <v>0.171319969971876</v>
      </c>
      <c r="G43" s="117" t="n">
        <f aca="false">G42+F43</f>
        <v>0.789584191356953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147643.365639151</v>
      </c>
      <c r="E44" s="45" t="n">
        <f aca="false">L44+D44/$K$2</f>
        <v>113.594363834631</v>
      </c>
      <c r="F44" s="117" t="n">
        <f aca="false">IF($K$9=0,0,E44/$K$9)</f>
        <v>0.061550884472049</v>
      </c>
      <c r="G44" s="117" t="n">
        <f aca="false">G43+F44</f>
        <v>0.851135075829002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69252.9141760188</v>
      </c>
      <c r="E45" s="45" t="n">
        <f aca="false">L45+D45/$K$2</f>
        <v>53.2820468800876</v>
      </c>
      <c r="F45" s="117" t="n">
        <f aca="false">IF($K$9=0,0,E45/$K$9)</f>
        <v>0.0288707731725572</v>
      </c>
      <c r="G45" s="117" t="n">
        <f aca="false">G44+F45</f>
        <v>0.880005849001559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82478.2970915779</v>
      </c>
      <c r="E46" s="45" t="n">
        <f aca="false">L46+D46/$K$2</f>
        <v>63.4574377773265</v>
      </c>
      <c r="F46" s="117" t="n">
        <f aca="false">IF($K$9=0,0,E46/$K$9)</f>
        <v>0.0343842888825941</v>
      </c>
      <c r="G46" s="117" t="n">
        <f aca="false">G45+F46</f>
        <v>0.914390137884153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41840.3023146783</v>
      </c>
      <c r="E47" s="45" t="n">
        <f aca="false">L47+D47/$K$2</f>
        <v>32.1912366567198</v>
      </c>
      <c r="F47" s="117" t="n">
        <f aca="false">IF($K$9=0,0,E47/$K$9)</f>
        <v>0.0174427587917534</v>
      </c>
      <c r="G47" s="117" t="n">
        <f aca="false">G46+F47</f>
        <v>0.931832896675906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37752.4566862324</v>
      </c>
      <c r="E48" s="45" t="n">
        <f aca="false">L48+D48/$K$2</f>
        <v>29.0461158339365</v>
      </c>
      <c r="F48" s="117" t="n">
        <f aca="false">IF($K$9=0,0,E48/$K$9)</f>
        <v>0.0157385812086509</v>
      </c>
      <c r="G48" s="117" t="n">
        <f aca="false">G47+F48</f>
        <v>0.947571477884557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31740.9189973422</v>
      </c>
      <c r="E49" s="45" t="n">
        <f aca="false">L49+D49/$K$2</f>
        <v>24.4209381533736</v>
      </c>
      <c r="F49" s="117" t="n">
        <f aca="false">IF($K$9=0,0,E49/$K$9)</f>
        <v>0.0132324377040888</v>
      </c>
      <c r="G49" s="117" t="n">
        <f aca="false">G48+F49</f>
        <v>0.960803915588646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21401.0741724503</v>
      </c>
      <c r="E50" s="45" t="n">
        <f aca="false">L50+D50/$K$2</f>
        <v>16.4656325428049</v>
      </c>
      <c r="F50" s="117" t="n">
        <f aca="false">IF($K$9=0,0,E50/$K$9)</f>
        <v>0.00892187087624164</v>
      </c>
      <c r="G50" s="117" t="n">
        <f aca="false">G49+F50</f>
        <v>0.969725786464888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21160.6126648946</v>
      </c>
      <c r="E51" s="45" t="n">
        <f aca="false">L51+D51/$K$2</f>
        <v>16.2806254355823</v>
      </c>
      <c r="F51" s="117" t="n">
        <f aca="false">IF($K$9=0,0,E51/$K$9)</f>
        <v>0.0088216251360591</v>
      </c>
      <c r="G51" s="117" t="n">
        <f aca="false">G50+F51</f>
        <v>0.978547411600947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23324.7662328952</v>
      </c>
      <c r="E52" s="45" t="n">
        <f aca="false">L52+D52/$K$2</f>
        <v>17.9456894005851</v>
      </c>
      <c r="F52" s="117" t="n">
        <f aca="false">IF($K$9=0,0,E52/$K$9)</f>
        <v>0.00972383679770154</v>
      </c>
      <c r="G52" s="117" t="n">
        <f aca="false">G51+F52</f>
        <v>0.988271248398648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20439.228142228</v>
      </c>
      <c r="E53" s="45" t="n">
        <f aca="false">L53+D53/$K$2</f>
        <v>15.7256041139149</v>
      </c>
      <c r="F53" s="117" t="n">
        <f aca="false">IF($K$9=0,0,E53/$K$9)</f>
        <v>0.00852088791551176</v>
      </c>
      <c r="G53" s="117" t="n">
        <f aca="false">G52+F53</f>
        <v>0.99679213631416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7694.76824177971</v>
      </c>
      <c r="E54" s="45" t="n">
        <f aca="false">L54+D54/$K$2</f>
        <v>5.92022743112073</v>
      </c>
      <c r="F54" s="117" t="n">
        <f aca="false">IF($K$9=0,0,E54/$K$9)</f>
        <v>0.00320786368583962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2261780.94006817</v>
      </c>
      <c r="E78" s="61" t="n">
        <f aca="false">SUM(E5:E76)</f>
        <v>1845.53584906186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105.358998526773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0.0249188362297737</v>
      </c>
      <c r="G5" s="117" t="n">
        <f aca="false">F5</f>
        <v>0.0249188362297737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0.0165953703293151</v>
      </c>
      <c r="G6" s="117" t="n">
        <f aca="false">G5+F6</f>
        <v>0.0415142065590888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0.00232581899981407</v>
      </c>
      <c r="G7" s="117" t="n">
        <f aca="false">G6+F7</f>
        <v>0.0438400255589029</v>
      </c>
      <c r="H7" s="139"/>
      <c r="I7" s="42" t="s">
        <v>3278</v>
      </c>
      <c r="J7" s="45" t="n">
        <f aca="false">C78+D78</f>
        <v>2622683.42751909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0.0023167181182624</v>
      </c>
      <c r="G8" s="117" t="n">
        <f aca="false">G7+F8</f>
        <v>0.0461567436771653</v>
      </c>
      <c r="H8" s="139"/>
      <c r="I8" s="42" t="s">
        <v>3279</v>
      </c>
      <c r="K8" s="66" t="n">
        <f aca="false">SUM(L5:L76)</f>
        <v>266.591965440433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0.00471375082092093</v>
      </c>
      <c r="G9" s="117" t="n">
        <f aca="false">G8+F9</f>
        <v>0.0508704944980862</v>
      </c>
      <c r="H9" s="139"/>
      <c r="I9" s="42" t="s">
        <v>3280</v>
      </c>
      <c r="J9" s="45" t="n">
        <f aca="false">C78+D78</f>
        <v>2622683.42751909</v>
      </c>
      <c r="K9" s="45" t="n">
        <f aca="false">E78</f>
        <v>2032.97582278988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0.0508704944980862</v>
      </c>
      <c r="H10" s="139"/>
      <c r="I10" s="42" t="s">
        <v>3281</v>
      </c>
      <c r="K10" s="52" t="n">
        <f aca="false">IF(K6-K8&gt;0,(K6-K8)*'VALOR POR PL'!$G$65,K6-K8)</f>
        <v>1766.38385734945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0.000765300098030167</v>
      </c>
      <c r="G11" s="117" t="n">
        <f aca="false">G10+F11</f>
        <v>0.0516357945961164</v>
      </c>
      <c r="H11" s="139"/>
      <c r="I11" s="42" t="s">
        <v>3282</v>
      </c>
      <c r="K11" s="56" t="n">
        <f aca="false">SUMPRODUCT((B5:B76&gt;'VALOR POR PL'!$P$5)*H5:H76)</f>
        <v>2223793.43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0.0516357945961164</v>
      </c>
      <c r="H12" s="139"/>
      <c r="I12" s="42" t="s">
        <v>3283</v>
      </c>
      <c r="K12" s="140" t="n">
        <f aca="false">SUMPRODUCT((B5:B76&gt;'VALOR POR PL'!$P$5)*N5:N76)</f>
        <v>79.02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0.0516357945961164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0.0516357945961164</v>
      </c>
      <c r="H14" s="139"/>
      <c r="I14" s="42" t="s">
        <v>3285</v>
      </c>
      <c r="K14" s="58" t="n">
        <f aca="false">IFERROR(INDEX('CP RESUMO'!$D$82:$BW$82,MATCH('VALOR POR PL'!$P$5,'CP RESUMO'!$D$4:$BW$4,0))/100,0)</f>
        <v>0.118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0.0516357945961164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0.0038947381730726</v>
      </c>
      <c r="G16" s="117" t="n">
        <f aca="false">G15+F16</f>
        <v>0.0555305327691889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0.0555305327691889</v>
      </c>
      <c r="H17" s="139"/>
      <c r="I17" s="42" t="s">
        <v>3289</v>
      </c>
      <c r="K17" s="45" t="n">
        <f aca="false">SUM(P5:P76)</f>
        <v>79.02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0.0107698376474034</v>
      </c>
      <c r="G18" s="117" t="n">
        <f aca="false">G17+F18</f>
        <v>0.0663003704165923</v>
      </c>
      <c r="H18" s="139"/>
      <c r="I18" s="42" t="s">
        <v>3290</v>
      </c>
      <c r="K18" s="45" t="n">
        <f aca="false">MAX(0,K10)*$K$2</f>
        <v>2295843.28751909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0.00664852830797839</v>
      </c>
      <c r="G19" s="117" t="n">
        <f aca="false">G18+F19</f>
        <v>0.0729488987245707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0.0115912914986307</v>
      </c>
      <c r="G20" s="117" t="n">
        <f aca="false">G19+F20</f>
        <v>0.0845401902232014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0.0099821540687796</v>
      </c>
      <c r="G21" s="117" t="n">
        <f aca="false">G20+F21</f>
        <v>0.094522344291981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0.00248597505436447</v>
      </c>
      <c r="G22" s="117" t="n">
        <f aca="false">G21+F22</f>
        <v>0.0970083193463455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0.000248126358814128</v>
      </c>
      <c r="G23" s="117" t="n">
        <f aca="false">G22+F23</f>
        <v>0.0972564457051596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0.00871513088542555</v>
      </c>
      <c r="G24" s="117" t="n">
        <f aca="false">G23+F24</f>
        <v>0.105971576590585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0.00170828934810831</v>
      </c>
      <c r="G25" s="117" t="n">
        <f aca="false">G24+F25</f>
        <v>0.107679865938693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0</v>
      </c>
      <c r="E26" s="45" t="n">
        <f aca="false">L26+D26/$K$2</f>
        <v>41.5605943333369</v>
      </c>
      <c r="F26" s="117" t="n">
        <f aca="false">IF($K$9=0,0,E26/$K$9)</f>
        <v>0.0204432309855524</v>
      </c>
      <c r="G26" s="117" t="n">
        <f aca="false">G25+F26</f>
        <v>0.128123096924246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41.5605943333369</v>
      </c>
      <c r="M26" s="140" t="n">
        <f aca="false">'CP RESUMO'!Y40</f>
        <v>20.98</v>
      </c>
      <c r="N26" s="141" t="n">
        <f aca="false">MAX(0,M26-M25)</f>
        <v>2.62</v>
      </c>
      <c r="O26" s="140" t="n">
        <f aca="false">IF(B26&lt;='VALOR POR PL'!$P$5,'CP RESUMO'!Y82,"")</f>
        <v>11.8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76121.3542558848</v>
      </c>
      <c r="E27" s="45" t="n">
        <f aca="false">L27+D27/$K$2</f>
        <v>58.5665110890352</v>
      </c>
      <c r="F27" s="117" t="n">
        <f aca="false">IF($K$9=0,0,E27/$K$9)</f>
        <v>0.0288082673844411</v>
      </c>
      <c r="G27" s="117" t="n">
        <f aca="false">G26+F27</f>
        <v>0.156931364308687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0.156931364308687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0.156931364308687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207735.75684335</v>
      </c>
      <c r="E30" s="45" t="n">
        <f aca="false">L30+D30/$K$2</f>
        <v>159.828455834581</v>
      </c>
      <c r="F30" s="117" t="n">
        <f aca="false">IF($K$9=0,0,E30/$K$9)</f>
        <v>0.0786179816025779</v>
      </c>
      <c r="G30" s="117" t="n">
        <f aca="false">G29+F30</f>
        <v>0.235549345911265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221100.574766138</v>
      </c>
      <c r="E31" s="45" t="n">
        <f aca="false">L31+D31/$K$2</f>
        <v>170.111125720442</v>
      </c>
      <c r="F31" s="117" t="n">
        <f aca="false">IF($K$9=0,0,E31/$K$9)</f>
        <v>0.0836759216777088</v>
      </c>
      <c r="G31" s="117" t="n">
        <f aca="false">G30+F31</f>
        <v>0.319225267588974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240276.18309014</v>
      </c>
      <c r="E32" s="45" t="n">
        <f aca="false">L32+D32/$K$2</f>
        <v>189.819866627485</v>
      </c>
      <c r="F32" s="117" t="n">
        <f aca="false">IF($K$9=0,0,E32/$K$9)</f>
        <v>0.0933704496136073</v>
      </c>
      <c r="G32" s="117" t="n">
        <f aca="false">G31+F32</f>
        <v>0.412595717202581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4.95534498385064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190012.846119651</v>
      </c>
      <c r="E33" s="45" t="n">
        <f aca="false">L33+D33/$K$2</f>
        <v>146.948891487427</v>
      </c>
      <c r="F33" s="117" t="n">
        <f aca="false">IF($K$9=0,0,E33/$K$9)</f>
        <v>0.0722826557207979</v>
      </c>
      <c r="G33" s="117" t="n">
        <f aca="false">G32+F33</f>
        <v>0.484878372923379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0.756150066705546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24986.3987252141</v>
      </c>
      <c r="E34" s="45" t="n">
        <f aca="false">L34+D34/$K$2</f>
        <v>19.224121960523</v>
      </c>
      <c r="F34" s="117" t="n">
        <f aca="false">IF($K$9=0,0,E34/$K$9)</f>
        <v>0.00945614883611426</v>
      </c>
      <c r="G34" s="117" t="n">
        <f aca="false">G33+F34</f>
        <v>0.494334521759493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26729.6358455779</v>
      </c>
      <c r="E35" s="45" t="n">
        <f aca="false">L35+D35/$K$2</f>
        <v>20.5653397717223</v>
      </c>
      <c r="F35" s="117" t="n">
        <f aca="false">IF($K$9=0,0,E35/$K$9)</f>
        <v>0.0101158801502618</v>
      </c>
      <c r="G35" s="117" t="n">
        <f aca="false">G34+F35</f>
        <v>0.504450401909755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36026.9004875178</v>
      </c>
      <c r="E36" s="45" t="n">
        <f aca="false">L36+D36/$K$2</f>
        <v>27.7185014314516</v>
      </c>
      <c r="F36" s="117" t="n">
        <f aca="false">IF($K$9=0,0,E36/$K$9)</f>
        <v>0.0136344471590484</v>
      </c>
      <c r="G36" s="117" t="n">
        <f aca="false">G35+F36</f>
        <v>0.518084849068803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73215.9590552785</v>
      </c>
      <c r="E37" s="45" t="n">
        <f aca="false">L37+D37/$K$2</f>
        <v>56.3311480703698</v>
      </c>
      <c r="F37" s="117" t="n">
        <f aca="false">IF($K$9=0,0,E37/$K$9)</f>
        <v>0.0277087151941953</v>
      </c>
      <c r="G37" s="117" t="n">
        <f aca="false">G36+F37</f>
        <v>0.545793564262999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65952.4710537626</v>
      </c>
      <c r="E38" s="45" t="n">
        <f aca="false">L38+D38/$K$2</f>
        <v>50.7427405237059</v>
      </c>
      <c r="F38" s="117" t="n">
        <f aca="false">IF($K$9=0,0,E38/$K$9)</f>
        <v>0.0249598347185806</v>
      </c>
      <c r="G38" s="117" t="n">
        <f aca="false">G37+F38</f>
        <v>0.570753398981579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31959.3472066692</v>
      </c>
      <c r="E39" s="45" t="n">
        <f aca="false">L39+D39/$K$2</f>
        <v>24.5889932053201</v>
      </c>
      <c r="F39" s="117" t="n">
        <f aca="false">IF($K$9=0,0,E39/$K$9)</f>
        <v>0.0120950740927043</v>
      </c>
      <c r="G39" s="117" t="n">
        <f aca="false">G38+F39</f>
        <v>0.582848473074283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71472.7219349149</v>
      </c>
      <c r="E40" s="45" t="n">
        <f aca="false">L40+D40/$K$2</f>
        <v>54.9899302591706</v>
      </c>
      <c r="F40" s="117" t="n">
        <f aca="false">IF($K$9=0,0,E40/$K$9)</f>
        <v>0.0270489838800479</v>
      </c>
      <c r="G40" s="117" t="n">
        <f aca="false">G39+F40</f>
        <v>0.609897456954331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95006.4230598255</v>
      </c>
      <c r="E41" s="45" t="n">
        <f aca="false">L41+D41/$K$2</f>
        <v>73.505682712281</v>
      </c>
      <c r="F41" s="117" t="n">
        <f aca="false">IF($K$9=0,0,E41/$K$9)</f>
        <v>0.0361566930055312</v>
      </c>
      <c r="G41" s="117" t="n">
        <f aca="false">G40+F41</f>
        <v>0.646054149959862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0.409312001920381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98783.4368206135</v>
      </c>
      <c r="E42" s="45" t="n">
        <f aca="false">L42+D42/$K$2</f>
        <v>76.0023426346256</v>
      </c>
      <c r="F42" s="117" t="n">
        <f aca="false">IF($K$9=0,0,E42/$K$9)</f>
        <v>0.0373847744683586</v>
      </c>
      <c r="G42" s="117" t="n">
        <f aca="false">G41+F42</f>
        <v>0.683438924428221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97040.1997002501</v>
      </c>
      <c r="E43" s="45" t="n">
        <f aca="false">L43+D43/$K$2</f>
        <v>74.6611248234266</v>
      </c>
      <c r="F43" s="117" t="n">
        <f aca="false">IF($K$9=0,0,E43/$K$9)</f>
        <v>0.0367250431542113</v>
      </c>
      <c r="G43" s="117" t="n">
        <f aca="false">G42+F43</f>
        <v>0.720163967582432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63047.0758531565</v>
      </c>
      <c r="E44" s="45" t="n">
        <f aca="false">L44+D44/$K$2</f>
        <v>48.5073775050406</v>
      </c>
      <c r="F44" s="117" t="n">
        <f aca="false">IF($K$9=0,0,E44/$K$9)</f>
        <v>0.0238602825283349</v>
      </c>
      <c r="G44" s="117" t="n">
        <f aca="false">G43+F44</f>
        <v>0.744024250110767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111567.175703282</v>
      </c>
      <c r="E45" s="45" t="n">
        <f aca="false">L45+D45/$K$2</f>
        <v>85.8379399167539</v>
      </c>
      <c r="F45" s="117" t="n">
        <f aca="false">IF($K$9=0,0,E45/$K$9)</f>
        <v>0.0422228041054405</v>
      </c>
      <c r="G45" s="117" t="n">
        <f aca="false">G44+F45</f>
        <v>0.786247054216208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137134.653468617</v>
      </c>
      <c r="E46" s="45" t="n">
        <f aca="false">L46+D46/$K$2</f>
        <v>105.50913448101</v>
      </c>
      <c r="F46" s="117" t="n">
        <f aca="false">IF($K$9=0,0,E46/$K$9)</f>
        <v>0.0518988633796039</v>
      </c>
      <c r="G46" s="117" t="n">
        <f aca="false">G45+F46</f>
        <v>0.838145917595811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56074.1273717011</v>
      </c>
      <c r="E47" s="45" t="n">
        <f aca="false">L47+D47/$K$2</f>
        <v>43.1425062602433</v>
      </c>
      <c r="F47" s="117" t="n">
        <f aca="false">IF($K$9=0,0,E47/$K$9)</f>
        <v>0.0212213572717447</v>
      </c>
      <c r="G47" s="117" t="n">
        <f aca="false">G46+F47</f>
        <v>0.859367274867556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70310.5638546722</v>
      </c>
      <c r="E48" s="45" t="n">
        <f aca="false">L48+D48/$K$2</f>
        <v>54.0957850517043</v>
      </c>
      <c r="F48" s="117" t="n">
        <f aca="false">IF($K$9=0,0,E48/$K$9)</f>
        <v>0.0266091630039495</v>
      </c>
      <c r="G48" s="117" t="n">
        <f aca="false">G47+F48</f>
        <v>0.885976437871506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70020.0243346118</v>
      </c>
      <c r="E49" s="45" t="n">
        <f aca="false">L49+D49/$K$2</f>
        <v>53.8722487498379</v>
      </c>
      <c r="F49" s="117" t="n">
        <f aca="false">IF($K$9=0,0,E49/$K$9)</f>
        <v>0.026499207784925</v>
      </c>
      <c r="G49" s="117" t="n">
        <f aca="false">G48+F49</f>
        <v>0.912475645656431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60722.7596926711</v>
      </c>
      <c r="E50" s="45" t="n">
        <f aca="false">L50+D50/$K$2</f>
        <v>46.719087090108</v>
      </c>
      <c r="F50" s="117" t="n">
        <f aca="false">IF($K$9=0,0,E50/$K$9)</f>
        <v>0.022980640776138</v>
      </c>
      <c r="G50" s="117" t="n">
        <f aca="false">G49+F50</f>
        <v>0.935456286432569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74668.6566555818</v>
      </c>
      <c r="E51" s="45" t="n">
        <f aca="false">L51+D51/$K$2</f>
        <v>57.4488295797026</v>
      </c>
      <c r="F51" s="117" t="n">
        <f aca="false">IF($K$9=0,0,E51/$K$9)</f>
        <v>0.0282584912893183</v>
      </c>
      <c r="G51" s="117" t="n">
        <f aca="false">G50+F51</f>
        <v>0.963714777721887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92391.5673792797</v>
      </c>
      <c r="E52" s="45" t="n">
        <f aca="false">L52+D52/$K$2</f>
        <v>71.0845439935616</v>
      </c>
      <c r="F52" s="117" t="n">
        <f aca="false">IF($K$9=0,0,E52/$K$9)</f>
        <v>0.0349657596498178</v>
      </c>
      <c r="G52" s="117" t="n">
        <f aca="false">G51+F52</f>
        <v>0.998680537371705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3486.47424072768</v>
      </c>
      <c r="E53" s="45" t="n">
        <f aca="false">L53+D53/$K$2</f>
        <v>2.68243562239866</v>
      </c>
      <c r="F53" s="117" t="n">
        <f aca="false">IF($K$9=0,0,E53/$K$9)</f>
        <v>0.00131946262829506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2295843.28751909</v>
      </c>
      <c r="E78" s="61" t="n">
        <f aca="false">SUM(E5:E76)</f>
        <v>2032.97582278988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266.591965440433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798595.731073916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798595.731073916</v>
      </c>
      <c r="K9" s="45" t="n">
        <f aca="false">E78</f>
        <v>614.426348516795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614.426348516795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798595.731073916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n">
        <f aca="false">IF(B26&lt;='VALOR POR PL'!$P$5,'CP RESUMO'!Y83,"")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3593.68078983262</v>
      </c>
      <c r="E32" s="45" t="n">
        <f aca="false">L32+D32/$K$2</f>
        <v>2.76491856832558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11180.3402350348</v>
      </c>
      <c r="E33" s="45" t="n">
        <f aca="false">L33+D33/$K$2</f>
        <v>8.60196887923513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6867.92328723568</v>
      </c>
      <c r="E35" s="45" t="n">
        <f aca="false">L35+D35/$K$2</f>
        <v>5.28406659724444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7906.09773763177</v>
      </c>
      <c r="E36" s="45" t="n">
        <f aca="false">L36+D36/$K$2</f>
        <v>6.08282085031627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5590.17011751742</v>
      </c>
      <c r="E38" s="45" t="n">
        <f aca="false">L38+D38/$K$2</f>
        <v>4.30098443961757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9263.71048045743</v>
      </c>
      <c r="E39" s="45" t="n">
        <f aca="false">L39+D39/$K$2</f>
        <v>7.12734564279482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11899.0763930014</v>
      </c>
      <c r="E40" s="45" t="n">
        <f aca="false">L40+D40/$K$2</f>
        <v>9.15495259290025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17569.1060836262</v>
      </c>
      <c r="E41" s="45" t="n">
        <f aca="false">L41+D41/$K$2</f>
        <v>13.5173796673695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44401.9226477098</v>
      </c>
      <c r="E42" s="45" t="n">
        <f aca="false">L42+D42/$K$2</f>
        <v>34.1621049775338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35617.3696058967</v>
      </c>
      <c r="E43" s="45" t="n">
        <f aca="false">L43+D43/$K$2</f>
        <v>27.4034151438491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123143.461731598</v>
      </c>
      <c r="E44" s="45" t="n">
        <f aca="false">L44+D44/$K$2</f>
        <v>94.7445429412898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125938.546790357</v>
      </c>
      <c r="E45" s="45" t="n">
        <f aca="false">L45+D45/$K$2</f>
        <v>96.8950351610986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148618.665552856</v>
      </c>
      <c r="E46" s="45" t="n">
        <f aca="false">L46+D46/$K$2</f>
        <v>114.344743458976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40009.6461268033</v>
      </c>
      <c r="E47" s="45" t="n">
        <f aca="false">L47+D47/$K$2</f>
        <v>30.7827600606915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35697.2291790041</v>
      </c>
      <c r="E48" s="45" t="n">
        <f aca="false">L48+D48/$K$2</f>
        <v>27.4648577787007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44641.501367032</v>
      </c>
      <c r="E49" s="45" t="n">
        <f aca="false">L49+D49/$K$2</f>
        <v>34.3464328820889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28350.148453124</v>
      </c>
      <c r="E50" s="45" t="n">
        <f aca="false">L50+D50/$K$2</f>
        <v>21.8121353723462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25794.6421136875</v>
      </c>
      <c r="E51" s="45" t="n">
        <f aca="false">L51+D51/$K$2</f>
        <v>19.8459710570925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23318.9953473584</v>
      </c>
      <c r="E52" s="45" t="n">
        <f aca="false">L52+D52/$K$2</f>
        <v>17.9412493766904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22360.6804700696</v>
      </c>
      <c r="E53" s="45" t="n">
        <f aca="false">L53+D53/$K$2</f>
        <v>17.2039377584703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17489.2465105188</v>
      </c>
      <c r="E54" s="45" t="n">
        <f aca="false">L54+D54/$K$2</f>
        <v>13.4559370325178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9343.57005356484</v>
      </c>
      <c r="E55" s="45" t="n">
        <f aca="false">L55+D55/$K$2</f>
        <v>7.18878827764651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798595.731073916</v>
      </c>
      <c r="E78" s="61" t="n">
        <f aca="false">SUM(E5:E76)</f>
        <v>614.426348516795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2026-10-07T19:11:43Z</dcterms:created>
  <dc:creator>openpyxl</dc:creator>
  <dc:description/>
  <dc:language>en-US</dc:language>
  <cp:lastModifiedBy/>
  <dcterms:modified xsi:type="dcterms:W3CDTF">2026-10-07T19:12:08Z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